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Form1A" sheetId="4" r:id="rId1"/>
    <sheet name="Jul" sheetId="1" r:id="rId2"/>
  </sheets>
  <definedNames>
    <definedName name="_xlnm._FilterDatabase" localSheetId="0" hidden="1">InstructionsForm1A!$B$2:$F$381</definedName>
    <definedName name="ART">Jul!$D$332</definedName>
    <definedName name="CXCA">Jul!$M$196</definedName>
    <definedName name="GEND_GBV">Jul!$D$259</definedName>
    <definedName name="HAART">Jul!$K$313</definedName>
    <definedName name="HIV_TEST">Jul!$F$22</definedName>
    <definedName name="HTS_SELF">Jul!$J$111</definedName>
    <definedName name="IPT">Jul!$D$167</definedName>
    <definedName name="PMTCT_TST">Jul!$K$277</definedName>
    <definedName name="PREP">Jul!$J$123</definedName>
    <definedName name="_xlnm.Print_Area" localSheetId="0">InstructionsForm1A!$B$1:$F$381</definedName>
    <definedName name="_xlnm.Print_Area" localSheetId="1">Jul!$A$1:$AJ$482</definedName>
    <definedName name="_xlnm.Print_Titles" localSheetId="1">Jul!$1:$6</definedName>
    <definedName name="TB">Jul!$D$401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7" i="1" l="1"/>
  <c r="Z57" i="1"/>
  <c r="AA57" i="1"/>
  <c r="AB57" i="1"/>
  <c r="AC57" i="1"/>
  <c r="AD57" i="1"/>
  <c r="AE57" i="1"/>
  <c r="AF57" i="1"/>
  <c r="AG57" i="1"/>
  <c r="AH57" i="1"/>
  <c r="AI57" i="1"/>
  <c r="F57" i="1"/>
  <c r="G57" i="1"/>
  <c r="H57" i="1"/>
  <c r="I57" i="1"/>
  <c r="J57" i="1"/>
  <c r="K57" i="1"/>
  <c r="L57" i="1"/>
  <c r="M57" i="1"/>
  <c r="N57" i="1"/>
  <c r="O57" i="1"/>
  <c r="P57" i="1"/>
  <c r="Q57" i="1"/>
  <c r="R57" i="1"/>
  <c r="S57" i="1"/>
  <c r="T57" i="1"/>
  <c r="U57" i="1"/>
  <c r="V57" i="1"/>
  <c r="W57" i="1"/>
  <c r="X57" i="1"/>
  <c r="D57" i="1"/>
  <c r="E57" i="1"/>
  <c r="Y56" i="1" l="1"/>
  <c r="W56" i="1"/>
  <c r="D406" i="1" l="1"/>
  <c r="E406" i="1"/>
  <c r="F406" i="1"/>
  <c r="AI56" i="1" l="1"/>
  <c r="AJ216" i="1" l="1"/>
  <c r="AJ208" i="1"/>
  <c r="AJ200" i="1"/>
  <c r="Z43" i="1" l="1"/>
  <c r="AA43" i="1"/>
  <c r="AA53" i="1"/>
  <c r="Z53" i="1"/>
  <c r="AA52" i="1"/>
  <c r="Z52" i="1"/>
  <c r="AA51" i="1"/>
  <c r="Z51" i="1"/>
  <c r="AA48" i="1"/>
  <c r="Z48" i="1"/>
  <c r="AA47" i="1"/>
  <c r="Z47" i="1"/>
  <c r="AA46" i="1"/>
  <c r="Z46" i="1"/>
  <c r="AA45" i="1"/>
  <c r="Z45" i="1"/>
  <c r="AA44" i="1"/>
  <c r="Z44" i="1"/>
  <c r="AA42" i="1"/>
  <c r="Z42" i="1"/>
  <c r="AA41" i="1"/>
  <c r="Z41" i="1"/>
  <c r="AA36"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76" i="1"/>
  <c r="AA475" i="1"/>
  <c r="AA474" i="1"/>
  <c r="AA473" i="1"/>
  <c r="AA471" i="1"/>
  <c r="AA470" i="1"/>
  <c r="AA469" i="1"/>
  <c r="AA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A451" i="1"/>
  <c r="Z451" i="1"/>
  <c r="AA450" i="1"/>
  <c r="Z450" i="1"/>
  <c r="AA449" i="1"/>
  <c r="Z449" i="1"/>
  <c r="AA448" i="1"/>
  <c r="Z448" i="1"/>
  <c r="AA446" i="1"/>
  <c r="Z446" i="1"/>
  <c r="AA445" i="1"/>
  <c r="Z445" i="1"/>
  <c r="AA444" i="1"/>
  <c r="Z444" i="1"/>
  <c r="AA443" i="1"/>
  <c r="Z443" i="1"/>
  <c r="AA441" i="1"/>
  <c r="Z441" i="1"/>
  <c r="AA440" i="1"/>
  <c r="Z440" i="1"/>
  <c r="AA439" i="1"/>
  <c r="Z439" i="1"/>
  <c r="AA438" i="1"/>
  <c r="Z438" i="1"/>
  <c r="AA436" i="1"/>
  <c r="Z436" i="1"/>
  <c r="AA435" i="1"/>
  <c r="Z435" i="1"/>
  <c r="AA434" i="1"/>
  <c r="Z434" i="1"/>
  <c r="AA433" i="1"/>
  <c r="Z433" i="1"/>
  <c r="AA431" i="1"/>
  <c r="Z431" i="1"/>
  <c r="AA430" i="1"/>
  <c r="Z430" i="1"/>
  <c r="AA429" i="1"/>
  <c r="Z429" i="1"/>
  <c r="AA428" i="1"/>
  <c r="Z428" i="1"/>
  <c r="AA426" i="1"/>
  <c r="Z426" i="1"/>
  <c r="AA425" i="1"/>
  <c r="Z425" i="1"/>
  <c r="AA424" i="1"/>
  <c r="Z424" i="1"/>
  <c r="AA423" i="1"/>
  <c r="Z423" i="1"/>
  <c r="AA421" i="1"/>
  <c r="Z421" i="1"/>
  <c r="AA420" i="1"/>
  <c r="Z420" i="1"/>
  <c r="AA419" i="1"/>
  <c r="Z419" i="1"/>
  <c r="AA418" i="1"/>
  <c r="Z418" i="1"/>
  <c r="AB417" i="1"/>
  <c r="AC417" i="1"/>
  <c r="AD417" i="1"/>
  <c r="AE417" i="1"/>
  <c r="AF417" i="1"/>
  <c r="AG417" i="1"/>
  <c r="AH417" i="1"/>
  <c r="AI417" i="1"/>
  <c r="AB422" i="1"/>
  <c r="AC422" i="1"/>
  <c r="AD422" i="1"/>
  <c r="AE422" i="1"/>
  <c r="AF422" i="1"/>
  <c r="AG422" i="1"/>
  <c r="AH422" i="1"/>
  <c r="AI422" i="1"/>
  <c r="AB427" i="1"/>
  <c r="AC427" i="1"/>
  <c r="AD427" i="1"/>
  <c r="AE427" i="1"/>
  <c r="AF427" i="1"/>
  <c r="AG427" i="1"/>
  <c r="AH427" i="1"/>
  <c r="AI427" i="1"/>
  <c r="AB432" i="1"/>
  <c r="AC432" i="1"/>
  <c r="AD432" i="1"/>
  <c r="AE432" i="1"/>
  <c r="AF432" i="1"/>
  <c r="AG432" i="1"/>
  <c r="AH432" i="1"/>
  <c r="AI432" i="1"/>
  <c r="AB437" i="1"/>
  <c r="AC437" i="1"/>
  <c r="AD437" i="1"/>
  <c r="AE437" i="1"/>
  <c r="AF437" i="1"/>
  <c r="AG437" i="1"/>
  <c r="AH437" i="1"/>
  <c r="AI437" i="1"/>
  <c r="AB442" i="1"/>
  <c r="AC442" i="1"/>
  <c r="AD442" i="1"/>
  <c r="AE442" i="1"/>
  <c r="AF442" i="1"/>
  <c r="AG442" i="1"/>
  <c r="AH442" i="1"/>
  <c r="AI442" i="1"/>
  <c r="AB447" i="1"/>
  <c r="AC447" i="1"/>
  <c r="AD447" i="1"/>
  <c r="AE447" i="1"/>
  <c r="AF447" i="1"/>
  <c r="AG447" i="1"/>
  <c r="AH447" i="1"/>
  <c r="AI447"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78" i="1"/>
  <c r="AC478" i="1"/>
  <c r="AD478" i="1"/>
  <c r="AE478" i="1"/>
  <c r="AF478" i="1"/>
  <c r="AG478" i="1"/>
  <c r="AH478" i="1"/>
  <c r="AI478" i="1"/>
  <c r="AB479" i="1"/>
  <c r="AC479" i="1"/>
  <c r="AD479" i="1"/>
  <c r="AE479" i="1"/>
  <c r="AF479" i="1"/>
  <c r="AG479" i="1"/>
  <c r="AH479" i="1"/>
  <c r="AI479" i="1"/>
  <c r="AB480" i="1"/>
  <c r="AC480" i="1"/>
  <c r="AD480" i="1"/>
  <c r="AE480" i="1"/>
  <c r="AF480" i="1"/>
  <c r="AG480" i="1"/>
  <c r="AH480" i="1"/>
  <c r="AI480" i="1"/>
  <c r="AB481" i="1"/>
  <c r="AC481" i="1"/>
  <c r="AD481" i="1"/>
  <c r="AE481" i="1"/>
  <c r="AF481" i="1"/>
  <c r="AG481" i="1"/>
  <c r="AH481" i="1"/>
  <c r="AI481" i="1"/>
  <c r="Z411" i="1"/>
  <c r="AA411" i="1"/>
  <c r="Z410" i="1"/>
  <c r="AA410" i="1"/>
  <c r="Z404" i="1"/>
  <c r="AA404" i="1"/>
  <c r="Z405" i="1"/>
  <c r="AA405" i="1"/>
  <c r="Z406" i="1"/>
  <c r="AA406" i="1"/>
  <c r="Z407" i="1"/>
  <c r="AA407" i="1"/>
  <c r="Z408" i="1"/>
  <c r="AA408" i="1"/>
  <c r="Z409" i="1"/>
  <c r="AA409" i="1"/>
  <c r="Z403" i="1"/>
  <c r="AA403" i="1"/>
  <c r="Z402" i="1"/>
  <c r="AA402" i="1"/>
  <c r="AA401" i="1"/>
  <c r="Z401" i="1"/>
  <c r="AB404" i="1"/>
  <c r="AC404" i="1"/>
  <c r="AD404" i="1"/>
  <c r="AE404" i="1"/>
  <c r="AF404" i="1"/>
  <c r="AG404" i="1"/>
  <c r="AH404" i="1"/>
  <c r="AI404" i="1"/>
  <c r="AB406" i="1"/>
  <c r="AC406" i="1"/>
  <c r="AD406" i="1"/>
  <c r="AE406" i="1"/>
  <c r="AF406" i="1"/>
  <c r="AG406" i="1"/>
  <c r="AH406" i="1"/>
  <c r="AI406" i="1"/>
  <c r="AB408" i="1"/>
  <c r="AC408" i="1"/>
  <c r="AD408" i="1"/>
  <c r="AE408" i="1"/>
  <c r="AF408" i="1"/>
  <c r="AG408" i="1"/>
  <c r="AH408" i="1"/>
  <c r="AI408" i="1"/>
  <c r="AB411" i="1"/>
  <c r="AC411" i="1"/>
  <c r="AD411" i="1"/>
  <c r="AE411" i="1"/>
  <c r="AF411" i="1"/>
  <c r="AG411" i="1"/>
  <c r="AH411" i="1"/>
  <c r="AI411" i="1"/>
  <c r="Z356" i="1"/>
  <c r="AA356" i="1"/>
  <c r="Z357" i="1"/>
  <c r="AA357" i="1"/>
  <c r="Z358" i="1"/>
  <c r="AA358" i="1"/>
  <c r="Z359" i="1"/>
  <c r="AA359" i="1"/>
  <c r="Z360" i="1"/>
  <c r="AA360" i="1"/>
  <c r="Z361" i="1"/>
  <c r="AA361" i="1"/>
  <c r="Z362" i="1"/>
  <c r="AA362" i="1"/>
  <c r="Z363" i="1"/>
  <c r="AA363" i="1"/>
  <c r="Z364" i="1"/>
  <c r="AA364" i="1"/>
  <c r="Z365" i="1"/>
  <c r="AA365" i="1"/>
  <c r="Z366" i="1"/>
  <c r="AA366" i="1"/>
  <c r="AB358" i="1"/>
  <c r="AC358" i="1"/>
  <c r="AD358" i="1"/>
  <c r="AD361" i="1" s="1"/>
  <c r="AE358" i="1"/>
  <c r="AF358" i="1"/>
  <c r="AG358" i="1"/>
  <c r="AH358" i="1"/>
  <c r="AH361" i="1" s="1"/>
  <c r="AI358" i="1"/>
  <c r="AB361" i="1"/>
  <c r="AC361" i="1"/>
  <c r="AE361" i="1"/>
  <c r="AF361" i="1"/>
  <c r="AG361" i="1"/>
  <c r="AI361" i="1"/>
  <c r="AB365" i="1"/>
  <c r="AC365" i="1"/>
  <c r="AD365" i="1"/>
  <c r="AE365" i="1"/>
  <c r="AF365" i="1"/>
  <c r="AG365" i="1"/>
  <c r="AH365" i="1"/>
  <c r="AI365" i="1"/>
  <c r="Y54" i="1"/>
  <c r="AB54" i="1"/>
  <c r="AF54" i="1"/>
  <c r="Y55" i="1"/>
  <c r="AC55" i="1"/>
  <c r="AD55" i="1"/>
  <c r="AG55" i="1"/>
  <c r="AH55" i="1"/>
  <c r="AB43" i="1"/>
  <c r="AC43" i="1"/>
  <c r="AC54" i="1" s="1"/>
  <c r="AD43" i="1"/>
  <c r="AD56" i="1" s="1"/>
  <c r="AE43" i="1"/>
  <c r="AE56" i="1" s="1"/>
  <c r="AF43" i="1"/>
  <c r="AG43" i="1"/>
  <c r="AG54" i="1" s="1"/>
  <c r="AH43" i="1"/>
  <c r="AH56" i="1" s="1"/>
  <c r="AI43" i="1"/>
  <c r="AI54" i="1" s="1"/>
  <c r="AB44" i="1"/>
  <c r="AB55" i="1" s="1"/>
  <c r="AC44" i="1"/>
  <c r="AD44" i="1"/>
  <c r="AE44" i="1"/>
  <c r="AE55" i="1" s="1"/>
  <c r="AF44" i="1"/>
  <c r="AF55" i="1" s="1"/>
  <c r="AG44" i="1"/>
  <c r="AH44" i="1"/>
  <c r="AI44" i="1"/>
  <c r="AI55" i="1" s="1"/>
  <c r="AB56" i="1"/>
  <c r="AC56" i="1"/>
  <c r="AF56" i="1"/>
  <c r="AG56" i="1"/>
  <c r="AE54" i="1" l="1"/>
  <c r="AH54" i="1"/>
  <c r="AD54" i="1"/>
  <c r="D411" i="1"/>
  <c r="E411" i="1"/>
  <c r="E56" i="1" l="1"/>
  <c r="F56" i="1"/>
  <c r="G56" i="1"/>
  <c r="H56" i="1"/>
  <c r="I56" i="1"/>
  <c r="J56" i="1"/>
  <c r="K56" i="1"/>
  <c r="L56" i="1"/>
  <c r="M56" i="1"/>
  <c r="N56" i="1"/>
  <c r="O56" i="1"/>
  <c r="P56" i="1"/>
  <c r="Q56" i="1"/>
  <c r="R56" i="1"/>
  <c r="S56" i="1"/>
  <c r="T56" i="1"/>
  <c r="U56" i="1"/>
  <c r="V56" i="1"/>
  <c r="X56" i="1"/>
  <c r="D56" i="1" l="1"/>
  <c r="E54" i="1"/>
  <c r="F54" i="1"/>
  <c r="G54" i="1"/>
  <c r="H54" i="1"/>
  <c r="I54" i="1"/>
  <c r="J54" i="1"/>
  <c r="K54" i="1"/>
  <c r="L54" i="1"/>
  <c r="M54" i="1"/>
  <c r="N54" i="1"/>
  <c r="O54" i="1"/>
  <c r="P54" i="1"/>
  <c r="Q54" i="1"/>
  <c r="R54" i="1"/>
  <c r="S54" i="1"/>
  <c r="T54" i="1"/>
  <c r="U54" i="1"/>
  <c r="V54" i="1"/>
  <c r="W54" i="1"/>
  <c r="X54" i="1"/>
  <c r="E55" i="1"/>
  <c r="F55" i="1"/>
  <c r="G55" i="1"/>
  <c r="H55" i="1"/>
  <c r="I55" i="1"/>
  <c r="J55" i="1"/>
  <c r="K55" i="1"/>
  <c r="L55" i="1"/>
  <c r="M55" i="1"/>
  <c r="N55" i="1"/>
  <c r="O55" i="1"/>
  <c r="P55" i="1"/>
  <c r="Q55" i="1"/>
  <c r="R55" i="1"/>
  <c r="S55" i="1"/>
  <c r="T55" i="1"/>
  <c r="U55" i="1"/>
  <c r="V55" i="1"/>
  <c r="W55" i="1"/>
  <c r="X55" i="1"/>
  <c r="D54" i="1"/>
  <c r="AK186" i="1"/>
  <c r="AK185" i="1"/>
  <c r="AL166" i="1"/>
  <c r="AJ180" i="1"/>
  <c r="AJ192" i="1"/>
  <c r="AJ191" i="1"/>
  <c r="AJ190" i="1"/>
  <c r="AJ189" i="1"/>
  <c r="AJ188" i="1"/>
  <c r="AJ187" i="1"/>
  <c r="AJ186" i="1"/>
  <c r="AJ185" i="1"/>
  <c r="AK184" i="1"/>
  <c r="AJ184" i="1"/>
  <c r="AK183" i="1"/>
  <c r="AJ183" i="1"/>
  <c r="AJ182" i="1"/>
  <c r="AK181" i="1"/>
  <c r="AJ181" i="1"/>
  <c r="AL180" i="1" l="1"/>
  <c r="AL370" i="1"/>
  <c r="AK61" i="1" l="1"/>
  <c r="AK59" i="1"/>
  <c r="AJ51" i="1"/>
  <c r="H472" i="1" l="1"/>
  <c r="I472" i="1"/>
  <c r="J472" i="1"/>
  <c r="K472" i="1"/>
  <c r="L472" i="1"/>
  <c r="M472" i="1"/>
  <c r="N472" i="1"/>
  <c r="O472" i="1"/>
  <c r="P472" i="1"/>
  <c r="Q472" i="1"/>
  <c r="R472" i="1"/>
  <c r="S472" i="1"/>
  <c r="T472" i="1"/>
  <c r="U472" i="1"/>
  <c r="V472" i="1"/>
  <c r="W472" i="1"/>
  <c r="X472" i="1"/>
  <c r="Y472" i="1"/>
  <c r="Z472" i="1"/>
  <c r="AA472" i="1"/>
  <c r="G472" i="1"/>
  <c r="AH315" i="1" l="1"/>
  <c r="AF315" i="1"/>
  <c r="AD315" i="1"/>
  <c r="AB315" i="1"/>
  <c r="AA314" i="1"/>
  <c r="AA315" i="1"/>
  <c r="AA316" i="1"/>
  <c r="AA317" i="1"/>
  <c r="AA318" i="1"/>
  <c r="AA319" i="1"/>
  <c r="AA320" i="1"/>
  <c r="AA321" i="1"/>
  <c r="AA322" i="1"/>
  <c r="AK322" i="1" s="1"/>
  <c r="AA323" i="1"/>
  <c r="AK323" i="1" s="1"/>
  <c r="AA313" i="1"/>
  <c r="AJ323" i="1"/>
  <c r="AJ166" i="1"/>
  <c r="AJ161" i="1" l="1"/>
  <c r="AJ148" i="1"/>
  <c r="AJ149" i="1"/>
  <c r="AJ150" i="1"/>
  <c r="AJ151" i="1"/>
  <c r="AJ152" i="1"/>
  <c r="AJ153" i="1"/>
  <c r="AJ154" i="1"/>
  <c r="AJ155" i="1"/>
  <c r="AJ156" i="1"/>
  <c r="AJ157" i="1"/>
  <c r="AJ158" i="1"/>
  <c r="AJ159" i="1"/>
  <c r="AJ160" i="1"/>
  <c r="AJ62" i="1" l="1"/>
  <c r="AJ61" i="1"/>
  <c r="AJ60" i="1"/>
  <c r="AJ59" i="1"/>
  <c r="AM61" i="1" l="1"/>
  <c r="AM59" i="1"/>
  <c r="AJ298" i="1" l="1"/>
  <c r="AK297" i="1"/>
  <c r="AJ297" i="1"/>
  <c r="AK126" i="1"/>
  <c r="AK118" i="1"/>
  <c r="AK116" i="1"/>
  <c r="AL111" i="1" s="1"/>
  <c r="AK51" i="1"/>
  <c r="AJ32" i="1"/>
  <c r="AA197" i="1" l="1"/>
  <c r="AA198" i="1"/>
  <c r="AA200" i="1"/>
  <c r="AA201" i="1"/>
  <c r="AA202" i="1"/>
  <c r="AA203" i="1"/>
  <c r="AA204" i="1"/>
  <c r="AA205" i="1"/>
  <c r="AA206" i="1"/>
  <c r="AA208" i="1"/>
  <c r="AA209" i="1"/>
  <c r="AA210" i="1"/>
  <c r="AA211" i="1"/>
  <c r="AA212" i="1"/>
  <c r="AA213" i="1"/>
  <c r="AA214" i="1"/>
  <c r="AA216" i="1"/>
  <c r="AA217" i="1"/>
  <c r="AA218" i="1"/>
  <c r="AA219" i="1"/>
  <c r="AA196" i="1"/>
  <c r="AI199" i="1"/>
  <c r="AI207" i="1"/>
  <c r="AI215" i="1"/>
  <c r="AG199" i="1"/>
  <c r="AG207" i="1"/>
  <c r="AG215" i="1"/>
  <c r="AE199" i="1"/>
  <c r="AE207" i="1"/>
  <c r="AE215" i="1"/>
  <c r="AC199" i="1"/>
  <c r="AC207" i="1"/>
  <c r="AC215" i="1"/>
  <c r="AA339" i="1"/>
  <c r="Z339" i="1"/>
  <c r="AA367" i="1"/>
  <c r="Z367" i="1"/>
  <c r="AA368" i="1"/>
  <c r="Z368" i="1"/>
  <c r="AB369" i="1"/>
  <c r="AC369" i="1"/>
  <c r="AD369" i="1"/>
  <c r="AE369" i="1"/>
  <c r="AF369" i="1"/>
  <c r="AG369" i="1"/>
  <c r="AH369" i="1"/>
  <c r="AI369" i="1"/>
  <c r="Z332" i="1"/>
  <c r="AA332" i="1"/>
  <c r="Z333" i="1"/>
  <c r="AA333" i="1"/>
  <c r="Z334" i="1"/>
  <c r="AA334" i="1"/>
  <c r="Z335" i="1"/>
  <c r="AA335" i="1"/>
  <c r="Z336" i="1"/>
  <c r="AA336" i="1"/>
  <c r="AA337" i="1"/>
  <c r="Z337" i="1"/>
  <c r="AB331" i="1"/>
  <c r="AC331" i="1"/>
  <c r="AD331" i="1"/>
  <c r="AE331" i="1"/>
  <c r="AF331" i="1"/>
  <c r="AG331" i="1"/>
  <c r="AH331" i="1"/>
  <c r="AI331" i="1"/>
  <c r="AA369" i="1" l="1"/>
  <c r="AA207" i="1"/>
  <c r="AA199" i="1"/>
  <c r="AA215" i="1"/>
  <c r="F472" i="1"/>
  <c r="L481" i="1" l="1"/>
  <c r="M481" i="1"/>
  <c r="N481" i="1"/>
  <c r="O481" i="1"/>
  <c r="P481" i="1"/>
  <c r="Q481" i="1"/>
  <c r="R481" i="1"/>
  <c r="S481" i="1"/>
  <c r="T481" i="1"/>
  <c r="U481" i="1"/>
  <c r="V481" i="1"/>
  <c r="W481" i="1"/>
  <c r="X481" i="1"/>
  <c r="Y481" i="1"/>
  <c r="Z481" i="1"/>
  <c r="AA481" i="1"/>
  <c r="F462" i="1" l="1"/>
  <c r="G462" i="1"/>
  <c r="H462" i="1"/>
  <c r="I462" i="1"/>
  <c r="J462" i="1"/>
  <c r="K462" i="1"/>
  <c r="M462" i="1"/>
  <c r="N462" i="1"/>
  <c r="O462" i="1"/>
  <c r="P462" i="1"/>
  <c r="Q462" i="1"/>
  <c r="R462" i="1"/>
  <c r="S462" i="1"/>
  <c r="T462" i="1"/>
  <c r="U462" i="1"/>
  <c r="V462" i="1"/>
  <c r="W462" i="1"/>
  <c r="X462" i="1"/>
  <c r="Y462" i="1"/>
  <c r="Z462" i="1"/>
  <c r="AA462" i="1"/>
  <c r="M457" i="1"/>
  <c r="N457" i="1"/>
  <c r="O457" i="1"/>
  <c r="P457" i="1"/>
  <c r="Q457" i="1"/>
  <c r="R457" i="1"/>
  <c r="S457" i="1"/>
  <c r="T457" i="1"/>
  <c r="U457" i="1"/>
  <c r="V457" i="1"/>
  <c r="W457" i="1"/>
  <c r="X457" i="1"/>
  <c r="Y457" i="1"/>
  <c r="Z457" i="1"/>
  <c r="AA457" i="1"/>
  <c r="H452" i="1"/>
  <c r="I452" i="1"/>
  <c r="J452" i="1"/>
  <c r="K452" i="1"/>
  <c r="L452" i="1"/>
  <c r="M452" i="1"/>
  <c r="N452" i="1"/>
  <c r="O452" i="1"/>
  <c r="P452" i="1"/>
  <c r="Q452" i="1"/>
  <c r="R452" i="1"/>
  <c r="S452" i="1"/>
  <c r="T452" i="1"/>
  <c r="U452" i="1"/>
  <c r="V452" i="1"/>
  <c r="W452" i="1"/>
  <c r="X452" i="1"/>
  <c r="Y452" i="1"/>
  <c r="Z452" i="1"/>
  <c r="AA452" i="1"/>
  <c r="F452" i="1"/>
  <c r="G452" i="1"/>
  <c r="F442" i="1"/>
  <c r="H442" i="1"/>
  <c r="I442" i="1"/>
  <c r="J442" i="1"/>
  <c r="K442" i="1"/>
  <c r="L442" i="1"/>
  <c r="M442" i="1"/>
  <c r="N442" i="1"/>
  <c r="O442" i="1"/>
  <c r="P442" i="1"/>
  <c r="Q442" i="1"/>
  <c r="R442" i="1"/>
  <c r="S442" i="1"/>
  <c r="T442" i="1"/>
  <c r="U442" i="1"/>
  <c r="V442" i="1"/>
  <c r="W442" i="1"/>
  <c r="X442" i="1"/>
  <c r="Y442" i="1"/>
  <c r="Z442" i="1"/>
  <c r="AA442" i="1"/>
  <c r="H437" i="1"/>
  <c r="I437" i="1"/>
  <c r="J437" i="1"/>
  <c r="K437" i="1"/>
  <c r="L437" i="1"/>
  <c r="M437" i="1"/>
  <c r="N437" i="1"/>
  <c r="O437" i="1"/>
  <c r="P437" i="1"/>
  <c r="Q437" i="1"/>
  <c r="R437" i="1"/>
  <c r="S437" i="1"/>
  <c r="T437" i="1"/>
  <c r="U437" i="1"/>
  <c r="V437" i="1"/>
  <c r="W437" i="1"/>
  <c r="X437" i="1"/>
  <c r="Y437" i="1"/>
  <c r="Z437" i="1"/>
  <c r="AA437" i="1"/>
  <c r="F437" i="1"/>
  <c r="H432" i="1"/>
  <c r="I432" i="1"/>
  <c r="J432" i="1"/>
  <c r="K432" i="1"/>
  <c r="L432" i="1"/>
  <c r="M432" i="1"/>
  <c r="N432" i="1"/>
  <c r="O432" i="1"/>
  <c r="P432" i="1"/>
  <c r="Q432" i="1"/>
  <c r="R432" i="1"/>
  <c r="S432" i="1"/>
  <c r="T432" i="1"/>
  <c r="U432" i="1"/>
  <c r="V432" i="1"/>
  <c r="W432" i="1"/>
  <c r="X432" i="1"/>
  <c r="Y432" i="1"/>
  <c r="Z432" i="1"/>
  <c r="AA432" i="1"/>
  <c r="F432" i="1"/>
  <c r="J427" i="1"/>
  <c r="AK452" i="1" l="1"/>
  <c r="I427" i="1"/>
  <c r="K427" i="1"/>
  <c r="L427" i="1"/>
  <c r="M427" i="1"/>
  <c r="N427" i="1"/>
  <c r="O427" i="1"/>
  <c r="P427" i="1"/>
  <c r="Q427" i="1"/>
  <c r="R427" i="1"/>
  <c r="S427" i="1"/>
  <c r="T427" i="1"/>
  <c r="U427" i="1"/>
  <c r="V427" i="1"/>
  <c r="W427" i="1"/>
  <c r="X427" i="1"/>
  <c r="Y427" i="1"/>
  <c r="Z427" i="1"/>
  <c r="AA427" i="1"/>
  <c r="F427" i="1"/>
  <c r="G427" i="1"/>
  <c r="I422" i="1"/>
  <c r="J422" i="1"/>
  <c r="K422" i="1"/>
  <c r="L422" i="1"/>
  <c r="M422" i="1"/>
  <c r="N422" i="1"/>
  <c r="O422" i="1"/>
  <c r="P422" i="1"/>
  <c r="Q422" i="1"/>
  <c r="R422" i="1"/>
  <c r="S422" i="1"/>
  <c r="T422" i="1"/>
  <c r="U422" i="1"/>
  <c r="V422" i="1"/>
  <c r="W422" i="1"/>
  <c r="X422" i="1"/>
  <c r="Y422" i="1"/>
  <c r="Z422" i="1"/>
  <c r="AA422" i="1"/>
  <c r="F422" i="1"/>
  <c r="G422" i="1"/>
  <c r="J417" i="1"/>
  <c r="K417" i="1"/>
  <c r="L417" i="1"/>
  <c r="M417" i="1"/>
  <c r="N417" i="1"/>
  <c r="O417" i="1"/>
  <c r="P417" i="1"/>
  <c r="Q417" i="1"/>
  <c r="R417" i="1"/>
  <c r="S417" i="1"/>
  <c r="T417" i="1"/>
  <c r="U417" i="1"/>
  <c r="V417" i="1"/>
  <c r="W417" i="1"/>
  <c r="X417" i="1"/>
  <c r="Y417" i="1"/>
  <c r="Z417" i="1"/>
  <c r="AA417" i="1"/>
  <c r="G417" i="1"/>
  <c r="H417" i="1"/>
  <c r="I417" i="1"/>
  <c r="F417" i="1" l="1"/>
  <c r="AK417" i="1" s="1"/>
  <c r="H422" i="1"/>
  <c r="AK422" i="1" s="1"/>
  <c r="K127" i="1" l="1"/>
  <c r="L127" i="1"/>
  <c r="M127" i="1"/>
  <c r="N127" i="1"/>
  <c r="O127" i="1"/>
  <c r="P127" i="1"/>
  <c r="Q127" i="1"/>
  <c r="R127" i="1"/>
  <c r="S127" i="1"/>
  <c r="T127" i="1"/>
  <c r="U127" i="1"/>
  <c r="V127" i="1"/>
  <c r="W127" i="1"/>
  <c r="X127" i="1"/>
  <c r="Y127" i="1"/>
  <c r="Z127" i="1"/>
  <c r="AA127" i="1"/>
  <c r="J127" i="1"/>
  <c r="AK127" i="1" l="1"/>
  <c r="AK472" i="1"/>
  <c r="H467" i="1"/>
  <c r="I467" i="1"/>
  <c r="J467" i="1"/>
  <c r="K467" i="1"/>
  <c r="L467" i="1"/>
  <c r="M467" i="1"/>
  <c r="N467" i="1"/>
  <c r="O467" i="1"/>
  <c r="P467" i="1"/>
  <c r="Q467" i="1"/>
  <c r="R467" i="1"/>
  <c r="S467" i="1"/>
  <c r="T467" i="1"/>
  <c r="U467" i="1"/>
  <c r="V467" i="1"/>
  <c r="W467" i="1"/>
  <c r="X467" i="1"/>
  <c r="Y467" i="1"/>
  <c r="Z467" i="1"/>
  <c r="AA467" i="1"/>
  <c r="F467" i="1"/>
  <c r="H427" i="1"/>
  <c r="AK427" i="1" s="1"/>
  <c r="G432" i="1"/>
  <c r="AK432" i="1" s="1"/>
  <c r="G437" i="1"/>
  <c r="AK437" i="1" s="1"/>
  <c r="G442" i="1"/>
  <c r="AK442" i="1" s="1"/>
  <c r="G457" i="1"/>
  <c r="H457" i="1"/>
  <c r="I457" i="1"/>
  <c r="J457" i="1"/>
  <c r="K457" i="1"/>
  <c r="L457" i="1"/>
  <c r="F457" i="1"/>
  <c r="L462" i="1"/>
  <c r="AK462"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67" i="1"/>
  <c r="Z355" i="1"/>
  <c r="AA355"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AA340" i="1"/>
  <c r="Z340" i="1"/>
  <c r="AI354" i="1"/>
  <c r="AH354" i="1"/>
  <c r="AI341" i="1"/>
  <c r="AH341" i="1"/>
  <c r="G478" i="1" l="1"/>
  <c r="H478" i="1"/>
  <c r="I478" i="1"/>
  <c r="J478" i="1"/>
  <c r="K478" i="1"/>
  <c r="L478" i="1"/>
  <c r="M478" i="1"/>
  <c r="N478" i="1"/>
  <c r="O478" i="1"/>
  <c r="P478" i="1"/>
  <c r="Q478" i="1"/>
  <c r="R478" i="1"/>
  <c r="S478" i="1"/>
  <c r="T478" i="1"/>
  <c r="U478" i="1"/>
  <c r="V478" i="1"/>
  <c r="W478" i="1"/>
  <c r="X478" i="1"/>
  <c r="Y478" i="1"/>
  <c r="Z478" i="1"/>
  <c r="AA478" i="1"/>
  <c r="G479" i="1"/>
  <c r="H479" i="1"/>
  <c r="I479" i="1"/>
  <c r="J479" i="1"/>
  <c r="K479" i="1"/>
  <c r="L479" i="1"/>
  <c r="M479" i="1"/>
  <c r="N479" i="1"/>
  <c r="O479" i="1"/>
  <c r="P479" i="1"/>
  <c r="Q479" i="1"/>
  <c r="R479" i="1"/>
  <c r="S479" i="1"/>
  <c r="T479" i="1"/>
  <c r="U479" i="1"/>
  <c r="V479" i="1"/>
  <c r="W479" i="1"/>
  <c r="X479" i="1"/>
  <c r="Y479" i="1"/>
  <c r="Z479" i="1"/>
  <c r="AA479" i="1"/>
  <c r="G480" i="1"/>
  <c r="H480" i="1"/>
  <c r="I480" i="1"/>
  <c r="J480" i="1"/>
  <c r="K480" i="1"/>
  <c r="L480" i="1"/>
  <c r="M480" i="1"/>
  <c r="N480" i="1"/>
  <c r="O480" i="1"/>
  <c r="P480" i="1"/>
  <c r="Q480" i="1"/>
  <c r="R480" i="1"/>
  <c r="S480" i="1"/>
  <c r="T480" i="1"/>
  <c r="U480" i="1"/>
  <c r="V480" i="1"/>
  <c r="W480" i="1"/>
  <c r="X480" i="1"/>
  <c r="Y480" i="1"/>
  <c r="Z480" i="1"/>
  <c r="AA480" i="1"/>
  <c r="F478" i="1"/>
  <c r="F479" i="1"/>
  <c r="F480" i="1"/>
  <c r="AM481" i="1"/>
  <c r="AM480" i="1"/>
  <c r="AM479" i="1"/>
  <c r="AM476" i="1"/>
  <c r="AM475" i="1"/>
  <c r="AJ475" i="1"/>
  <c r="AM474" i="1"/>
  <c r="AJ474" i="1"/>
  <c r="AK473" i="1"/>
  <c r="AJ473" i="1"/>
  <c r="AM471" i="1"/>
  <c r="AM470" i="1"/>
  <c r="AJ470" i="1"/>
  <c r="AM469" i="1"/>
  <c r="AJ469" i="1"/>
  <c r="AK468" i="1"/>
  <c r="AJ468" i="1"/>
  <c r="AM466" i="1"/>
  <c r="AM465" i="1"/>
  <c r="AJ465" i="1"/>
  <c r="AM464" i="1"/>
  <c r="AJ464" i="1"/>
  <c r="AK463" i="1"/>
  <c r="AJ463" i="1"/>
  <c r="AM461" i="1"/>
  <c r="AM460" i="1"/>
  <c r="AJ460" i="1"/>
  <c r="AM459" i="1"/>
  <c r="AJ459" i="1"/>
  <c r="AK458" i="1"/>
  <c r="AJ458" i="1"/>
  <c r="K461" i="1"/>
  <c r="K481" i="1" s="1"/>
  <c r="J461" i="1"/>
  <c r="J481" i="1" s="1"/>
  <c r="I461" i="1"/>
  <c r="I481" i="1" s="1"/>
  <c r="H461" i="1"/>
  <c r="H481" i="1" s="1"/>
  <c r="G461" i="1"/>
  <c r="G481" i="1" s="1"/>
  <c r="F461" i="1"/>
  <c r="AM456" i="1"/>
  <c r="AM455" i="1"/>
  <c r="AJ455" i="1"/>
  <c r="AM454" i="1"/>
  <c r="AJ454" i="1"/>
  <c r="AK453" i="1"/>
  <c r="AJ453" i="1"/>
  <c r="AM451" i="1"/>
  <c r="AM450" i="1"/>
  <c r="AJ450" i="1"/>
  <c r="AM449" i="1"/>
  <c r="AJ449" i="1"/>
  <c r="AK448" i="1"/>
  <c r="AJ448" i="1"/>
  <c r="AM446" i="1"/>
  <c r="AM445" i="1"/>
  <c r="AJ445" i="1"/>
  <c r="AM444" i="1"/>
  <c r="AJ444" i="1"/>
  <c r="AK443" i="1"/>
  <c r="AJ443" i="1"/>
  <c r="AM441" i="1"/>
  <c r="AM440" i="1"/>
  <c r="AJ440" i="1"/>
  <c r="AM439" i="1"/>
  <c r="AJ439" i="1"/>
  <c r="AK438" i="1"/>
  <c r="AJ438" i="1"/>
  <c r="AM436" i="1"/>
  <c r="AM435" i="1"/>
  <c r="AJ435" i="1"/>
  <c r="AM434" i="1"/>
  <c r="AJ434" i="1"/>
  <c r="AK433" i="1"/>
  <c r="AJ433" i="1"/>
  <c r="AM431" i="1"/>
  <c r="AM430" i="1"/>
  <c r="AJ430" i="1"/>
  <c r="AM429" i="1"/>
  <c r="AJ429" i="1"/>
  <c r="AK428" i="1"/>
  <c r="AJ428" i="1"/>
  <c r="AM426" i="1"/>
  <c r="AM425" i="1"/>
  <c r="AJ425" i="1"/>
  <c r="AM424" i="1"/>
  <c r="AJ424" i="1"/>
  <c r="AK423" i="1"/>
  <c r="AJ423" i="1"/>
  <c r="AM421" i="1"/>
  <c r="AM420" i="1"/>
  <c r="AJ420" i="1"/>
  <c r="AM419" i="1"/>
  <c r="AJ419" i="1"/>
  <c r="AK418" i="1"/>
  <c r="AJ418" i="1"/>
  <c r="F481" i="1" l="1"/>
  <c r="AK457" i="1"/>
  <c r="AK478" i="1"/>
  <c r="AM463" i="1"/>
  <c r="AM443" i="1"/>
  <c r="AM428" i="1"/>
  <c r="AM433" i="1"/>
  <c r="AM438" i="1"/>
  <c r="AM458" i="1"/>
  <c r="AM423" i="1"/>
  <c r="AM468" i="1"/>
  <c r="AM448" i="1"/>
  <c r="AM453" i="1"/>
  <c r="AJ456" i="1"/>
  <c r="AJ461" i="1"/>
  <c r="AJ466" i="1"/>
  <c r="AJ480" i="1"/>
  <c r="AJ478" i="1"/>
  <c r="AJ471" i="1"/>
  <c r="AJ479" i="1"/>
  <c r="AM473" i="1"/>
  <c r="AJ441" i="1"/>
  <c r="AJ462" i="1"/>
  <c r="AJ457" i="1"/>
  <c r="AJ467" i="1"/>
  <c r="AJ452" i="1"/>
  <c r="AJ437" i="1"/>
  <c r="AJ426" i="1"/>
  <c r="AJ431" i="1"/>
  <c r="AJ427" i="1"/>
  <c r="AJ422" i="1"/>
  <c r="AJ417" i="1"/>
  <c r="AJ421" i="1"/>
  <c r="AM418" i="1"/>
  <c r="AM478" i="1" l="1"/>
  <c r="AB354" i="1" l="1"/>
  <c r="AC354" i="1"/>
  <c r="AD354" i="1"/>
  <c r="AE354" i="1"/>
  <c r="AF354" i="1"/>
  <c r="AG354" i="1"/>
  <c r="AA354" i="1" l="1"/>
  <c r="Z354" i="1"/>
  <c r="D55" i="1"/>
  <c r="AA331" i="1"/>
  <c r="Y331" i="1"/>
  <c r="W331" i="1"/>
  <c r="U331" i="1"/>
  <c r="S331" i="1"/>
  <c r="Q331" i="1"/>
  <c r="O331" i="1"/>
  <c r="M331" i="1"/>
  <c r="AB341" i="1" l="1"/>
  <c r="AC341" i="1"/>
  <c r="AD341" i="1"/>
  <c r="AE341" i="1"/>
  <c r="AF341" i="1"/>
  <c r="AG341"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41" i="1" l="1"/>
  <c r="Z341" i="1"/>
  <c r="AJ66" i="1"/>
  <c r="AJ138" i="1"/>
  <c r="AK327" i="1" l="1"/>
  <c r="AK325" i="1"/>
  <c r="AM325" i="1"/>
  <c r="AM318" i="1"/>
  <c r="AM317" i="1"/>
  <c r="AM316" i="1"/>
  <c r="AJ403" i="1" l="1"/>
  <c r="AQ21" i="1" l="1"/>
  <c r="AQ20" i="1"/>
  <c r="AQ19" i="1"/>
  <c r="AQ4" i="1"/>
  <c r="AQ3" i="1"/>
  <c r="AP21" i="1"/>
  <c r="AP20" i="1"/>
  <c r="AP19" i="1"/>
  <c r="AP4" i="1"/>
  <c r="AP3" i="1"/>
  <c r="A3" i="1" l="1"/>
  <c r="G404" i="1" l="1"/>
  <c r="H404" i="1"/>
  <c r="I404" i="1"/>
  <c r="J404" i="1"/>
  <c r="K404" i="1"/>
  <c r="L404" i="1"/>
  <c r="M404" i="1"/>
  <c r="N404" i="1"/>
  <c r="O404" i="1"/>
  <c r="P404" i="1"/>
  <c r="Q404" i="1"/>
  <c r="R404" i="1"/>
  <c r="S404" i="1"/>
  <c r="T404" i="1"/>
  <c r="U404" i="1"/>
  <c r="V404" i="1"/>
  <c r="W404" i="1"/>
  <c r="X404" i="1"/>
  <c r="Y404" i="1"/>
  <c r="F404" i="1"/>
  <c r="Y199" i="1" l="1"/>
  <c r="W199" i="1"/>
  <c r="U199" i="1"/>
  <c r="S199" i="1"/>
  <c r="Q199" i="1"/>
  <c r="O199" i="1"/>
  <c r="M199" i="1"/>
  <c r="Y215" i="1"/>
  <c r="W215" i="1"/>
  <c r="U215" i="1"/>
  <c r="S215" i="1"/>
  <c r="Q215" i="1"/>
  <c r="O215" i="1"/>
  <c r="M215" i="1"/>
  <c r="Y207" i="1"/>
  <c r="W207" i="1"/>
  <c r="U207" i="1"/>
  <c r="S207" i="1"/>
  <c r="Q207" i="1"/>
  <c r="O207" i="1"/>
  <c r="AK197" i="1" l="1"/>
  <c r="AK213" i="1"/>
  <c r="AK124" i="1"/>
  <c r="AK125" i="1"/>
  <c r="AJ339" i="1" l="1"/>
  <c r="G44" i="1"/>
  <c r="H44" i="1"/>
  <c r="I44" i="1"/>
  <c r="J44" i="1"/>
  <c r="K44" i="1"/>
  <c r="L44" i="1"/>
  <c r="M44" i="1"/>
  <c r="N44" i="1"/>
  <c r="O44" i="1"/>
  <c r="P44" i="1"/>
  <c r="Q44" i="1"/>
  <c r="R44" i="1"/>
  <c r="S44" i="1"/>
  <c r="T44" i="1"/>
  <c r="U44" i="1"/>
  <c r="V44" i="1"/>
  <c r="W44" i="1"/>
  <c r="X44" i="1"/>
  <c r="Y44" i="1"/>
  <c r="F44" i="1"/>
  <c r="Z55" i="1" l="1"/>
  <c r="AA55" i="1"/>
  <c r="M447" i="1"/>
  <c r="Q447" i="1"/>
  <c r="X447" i="1"/>
  <c r="T447" i="1"/>
  <c r="P447" i="1"/>
  <c r="L447" i="1"/>
  <c r="H447" i="1"/>
  <c r="Y447" i="1"/>
  <c r="F447" i="1"/>
  <c r="AA447" i="1"/>
  <c r="W447" i="1"/>
  <c r="S447" i="1"/>
  <c r="O447" i="1"/>
  <c r="K447" i="1"/>
  <c r="G447" i="1"/>
  <c r="U447" i="1"/>
  <c r="I447" i="1"/>
  <c r="Z447" i="1"/>
  <c r="V447" i="1"/>
  <c r="R447" i="1"/>
  <c r="N447" i="1"/>
  <c r="J447" i="1"/>
  <c r="AJ451" i="1"/>
  <c r="G43" i="1"/>
  <c r="H43" i="1"/>
  <c r="I43" i="1"/>
  <c r="J43" i="1"/>
  <c r="K43" i="1"/>
  <c r="L43" i="1"/>
  <c r="M43" i="1"/>
  <c r="N43" i="1"/>
  <c r="O43" i="1"/>
  <c r="P43" i="1"/>
  <c r="Q43" i="1"/>
  <c r="R43" i="1"/>
  <c r="S43" i="1"/>
  <c r="T43" i="1"/>
  <c r="U43" i="1"/>
  <c r="V43" i="1"/>
  <c r="W43" i="1"/>
  <c r="X43" i="1"/>
  <c r="Y43" i="1"/>
  <c r="F43" i="1"/>
  <c r="E331" i="1"/>
  <c r="E309" i="1"/>
  <c r="Z54" i="1" l="1"/>
  <c r="Z56" i="1"/>
  <c r="AA54" i="1"/>
  <c r="AA56" i="1"/>
  <c r="AJ447" i="1"/>
  <c r="AJ57" i="1"/>
  <c r="AK447" i="1"/>
  <c r="AL417" i="1" s="1"/>
  <c r="F477" i="1"/>
  <c r="R477" i="1"/>
  <c r="Z477" i="1"/>
  <c r="P477" i="1"/>
  <c r="N477" i="1"/>
  <c r="V477" i="1"/>
  <c r="G477" i="1"/>
  <c r="AJ432" i="1"/>
  <c r="H477" i="1"/>
  <c r="T477" i="1"/>
  <c r="I477" i="1"/>
  <c r="J477" i="1"/>
  <c r="X477" i="1"/>
  <c r="L477" i="1"/>
  <c r="AJ442" i="1"/>
  <c r="AJ446" i="1"/>
  <c r="AJ8" i="1"/>
  <c r="AJ56" i="1" l="1"/>
  <c r="AJ436" i="1"/>
  <c r="F331" i="1"/>
  <c r="G331" i="1"/>
  <c r="H331" i="1"/>
  <c r="I331" i="1"/>
  <c r="J331" i="1"/>
  <c r="K331" i="1"/>
  <c r="L331" i="1"/>
  <c r="N331" i="1"/>
  <c r="P331" i="1"/>
  <c r="R331" i="1"/>
  <c r="T331" i="1"/>
  <c r="V331" i="1"/>
  <c r="X331" i="1"/>
  <c r="Z331" i="1"/>
  <c r="AJ413" i="1" l="1"/>
  <c r="AJ9" i="1"/>
  <c r="AJ10" i="1"/>
  <c r="K112" i="1" l="1"/>
  <c r="L112" i="1"/>
  <c r="M112" i="1"/>
  <c r="N112" i="1"/>
  <c r="O112" i="1"/>
  <c r="P112" i="1"/>
  <c r="Q112" i="1"/>
  <c r="R112" i="1"/>
  <c r="S112" i="1"/>
  <c r="T112" i="1"/>
  <c r="U112" i="1"/>
  <c r="V112" i="1"/>
  <c r="W112" i="1"/>
  <c r="X112" i="1"/>
  <c r="Y112" i="1"/>
  <c r="Z112" i="1"/>
  <c r="AA112" i="1"/>
  <c r="J112" i="1"/>
  <c r="Y477" i="1" l="1"/>
  <c r="U477" i="1"/>
  <c r="Q477" i="1"/>
  <c r="M477" i="1"/>
  <c r="AA477" i="1"/>
  <c r="W477" i="1"/>
  <c r="S477" i="1"/>
  <c r="O477" i="1"/>
  <c r="AJ472" i="1"/>
  <c r="K477" i="1"/>
  <c r="AM357" i="1"/>
  <c r="AM356" i="1"/>
  <c r="E358" i="1"/>
  <c r="F358" i="1"/>
  <c r="G358" i="1"/>
  <c r="H358" i="1"/>
  <c r="I358" i="1"/>
  <c r="J358" i="1"/>
  <c r="K358" i="1"/>
  <c r="L358" i="1"/>
  <c r="M358" i="1"/>
  <c r="N358" i="1"/>
  <c r="O358" i="1"/>
  <c r="P358" i="1"/>
  <c r="Q358" i="1"/>
  <c r="R358" i="1"/>
  <c r="S358" i="1"/>
  <c r="T358" i="1"/>
  <c r="U358" i="1"/>
  <c r="V358" i="1"/>
  <c r="W358" i="1"/>
  <c r="X358" i="1"/>
  <c r="Y358" i="1"/>
  <c r="E365" i="1"/>
  <c r="F365" i="1"/>
  <c r="G365" i="1"/>
  <c r="H365" i="1"/>
  <c r="I365" i="1"/>
  <c r="J365" i="1"/>
  <c r="K365" i="1"/>
  <c r="L365" i="1"/>
  <c r="M365" i="1"/>
  <c r="N365" i="1"/>
  <c r="O365" i="1"/>
  <c r="P365" i="1"/>
  <c r="Q365" i="1"/>
  <c r="R365" i="1"/>
  <c r="S365" i="1"/>
  <c r="T365" i="1"/>
  <c r="U365" i="1"/>
  <c r="V365" i="1"/>
  <c r="W365" i="1"/>
  <c r="X365" i="1"/>
  <c r="Y365" i="1"/>
  <c r="AJ481" i="1" l="1"/>
  <c r="AJ477" i="1"/>
  <c r="AJ476" i="1"/>
  <c r="AK8" i="1"/>
  <c r="AK9" i="1"/>
  <c r="G406" i="1" l="1"/>
  <c r="H406" i="1"/>
  <c r="I406" i="1"/>
  <c r="J406" i="1"/>
  <c r="K406" i="1"/>
  <c r="L406" i="1"/>
  <c r="M406" i="1"/>
  <c r="N406" i="1"/>
  <c r="O406" i="1"/>
  <c r="P406" i="1"/>
  <c r="Q406" i="1"/>
  <c r="R406" i="1"/>
  <c r="S406" i="1"/>
  <c r="T406" i="1"/>
  <c r="U406" i="1"/>
  <c r="V406" i="1"/>
  <c r="W406" i="1"/>
  <c r="X406" i="1"/>
  <c r="Y406" i="1"/>
  <c r="W408" i="1"/>
  <c r="AJ373" i="1"/>
  <c r="AJ374" i="1"/>
  <c r="AJ375" i="1"/>
  <c r="AJ376" i="1"/>
  <c r="AJ377" i="1"/>
  <c r="E370" i="1"/>
  <c r="F370" i="1"/>
  <c r="G370" i="1"/>
  <c r="H370" i="1"/>
  <c r="I370" i="1"/>
  <c r="J370" i="1"/>
  <c r="K370" i="1"/>
  <c r="L370" i="1"/>
  <c r="M370" i="1"/>
  <c r="N370" i="1"/>
  <c r="O370" i="1"/>
  <c r="P370" i="1"/>
  <c r="Q370" i="1"/>
  <c r="R370" i="1"/>
  <c r="S370" i="1"/>
  <c r="T370" i="1"/>
  <c r="U370" i="1"/>
  <c r="V370" i="1"/>
  <c r="W370" i="1"/>
  <c r="X370" i="1"/>
  <c r="Y370" i="1"/>
  <c r="Z370" i="1"/>
  <c r="AA370" i="1"/>
  <c r="D370" i="1"/>
  <c r="AJ319" i="1"/>
  <c r="AJ318" i="1"/>
  <c r="AJ322" i="1"/>
  <c r="AJ321" i="1"/>
  <c r="AJ316" i="1"/>
  <c r="AJ317" i="1"/>
  <c r="AJ289" i="1"/>
  <c r="AJ290" i="1"/>
  <c r="AJ142" i="1"/>
  <c r="AJ143" i="1"/>
  <c r="AJ144" i="1"/>
  <c r="AJ145" i="1"/>
  <c r="AJ141" i="1"/>
  <c r="AJ140" i="1"/>
  <c r="AJ134" i="1"/>
  <c r="AJ136" i="1"/>
  <c r="AJ137" i="1"/>
  <c r="AJ135" i="1"/>
  <c r="AJ128" i="1"/>
  <c r="AJ129" i="1"/>
  <c r="AJ130" i="1"/>
  <c r="AJ132" i="1"/>
  <c r="AJ133" i="1"/>
  <c r="AJ125" i="1"/>
  <c r="AJ124" i="1"/>
  <c r="AJ127" i="1" l="1"/>
  <c r="D309" i="1"/>
  <c r="E369" i="1"/>
  <c r="F369" i="1"/>
  <c r="G369" i="1"/>
  <c r="H369" i="1"/>
  <c r="I369" i="1"/>
  <c r="J369" i="1"/>
  <c r="K369" i="1"/>
  <c r="L369" i="1"/>
  <c r="M369" i="1"/>
  <c r="N369" i="1"/>
  <c r="O369" i="1"/>
  <c r="P369" i="1"/>
  <c r="Q369" i="1"/>
  <c r="R369" i="1"/>
  <c r="S369" i="1"/>
  <c r="T369" i="1"/>
  <c r="U369" i="1"/>
  <c r="V369" i="1"/>
  <c r="W369" i="1"/>
  <c r="X369" i="1"/>
  <c r="Y369" i="1"/>
  <c r="Z369" i="1"/>
  <c r="AN370" i="1"/>
  <c r="D365" i="1"/>
  <c r="AK266" i="1" l="1"/>
  <c r="AK267" i="1"/>
  <c r="AK264" i="1"/>
  <c r="AK255" i="1"/>
  <c r="AK246" i="1"/>
  <c r="AK244" i="1"/>
  <c r="AK241" i="1"/>
  <c r="AK237" i="1"/>
  <c r="AK235" i="1"/>
  <c r="E250" i="1"/>
  <c r="F250" i="1"/>
  <c r="G250" i="1"/>
  <c r="H250" i="1"/>
  <c r="I250" i="1"/>
  <c r="J250" i="1"/>
  <c r="K250" i="1"/>
  <c r="L250" i="1"/>
  <c r="M250" i="1"/>
  <c r="N250" i="1"/>
  <c r="O250" i="1"/>
  <c r="P250" i="1"/>
  <c r="Q250" i="1"/>
  <c r="R250" i="1"/>
  <c r="S250" i="1"/>
  <c r="T250" i="1"/>
  <c r="U250" i="1"/>
  <c r="V250" i="1"/>
  <c r="W250" i="1"/>
  <c r="X250" i="1"/>
  <c r="Y250" i="1"/>
  <c r="Z250" i="1"/>
  <c r="AA250" i="1"/>
  <c r="D250" i="1"/>
  <c r="E232" i="1"/>
  <c r="F232" i="1"/>
  <c r="G232" i="1"/>
  <c r="H232" i="1"/>
  <c r="I232" i="1"/>
  <c r="J232" i="1"/>
  <c r="K232" i="1"/>
  <c r="L232" i="1"/>
  <c r="M232" i="1"/>
  <c r="N232" i="1"/>
  <c r="O232" i="1"/>
  <c r="P232" i="1"/>
  <c r="Q232" i="1"/>
  <c r="R232" i="1"/>
  <c r="S232" i="1"/>
  <c r="T232" i="1"/>
  <c r="U232" i="1"/>
  <c r="V232" i="1"/>
  <c r="W232" i="1"/>
  <c r="X232" i="1"/>
  <c r="Y232" i="1"/>
  <c r="Z232" i="1"/>
  <c r="AA232" i="1"/>
  <c r="D232" i="1"/>
  <c r="AA252" i="1"/>
  <c r="Z252" i="1"/>
  <c r="Y252" i="1"/>
  <c r="X252" i="1"/>
  <c r="W252" i="1"/>
  <c r="V252" i="1"/>
  <c r="U252" i="1"/>
  <c r="T252" i="1"/>
  <c r="S252" i="1"/>
  <c r="R252" i="1"/>
  <c r="Q252" i="1"/>
  <c r="P252" i="1"/>
  <c r="O252" i="1"/>
  <c r="N252" i="1"/>
  <c r="M252" i="1"/>
  <c r="L252" i="1"/>
  <c r="K252" i="1"/>
  <c r="J252" i="1"/>
  <c r="I252" i="1"/>
  <c r="H252" i="1"/>
  <c r="G252" i="1"/>
  <c r="F252" i="1"/>
  <c r="E252" i="1"/>
  <c r="D252" i="1"/>
  <c r="AA243" i="1"/>
  <c r="Z243" i="1"/>
  <c r="Y243" i="1"/>
  <c r="X243" i="1"/>
  <c r="W243" i="1"/>
  <c r="V243" i="1"/>
  <c r="U243" i="1"/>
  <c r="T243" i="1"/>
  <c r="S243" i="1"/>
  <c r="R243" i="1"/>
  <c r="Q243" i="1"/>
  <c r="P243" i="1"/>
  <c r="O243" i="1"/>
  <c r="N243" i="1"/>
  <c r="M243" i="1"/>
  <c r="L243" i="1"/>
  <c r="K243" i="1"/>
  <c r="J243" i="1"/>
  <c r="I243" i="1"/>
  <c r="H243" i="1"/>
  <c r="G243" i="1"/>
  <c r="F243" i="1"/>
  <c r="E243" i="1"/>
  <c r="D243" i="1"/>
  <c r="AJ241" i="1"/>
  <c r="AA234" i="1"/>
  <c r="Z234" i="1"/>
  <c r="Y234" i="1"/>
  <c r="X234" i="1"/>
  <c r="W234" i="1"/>
  <c r="V234" i="1"/>
  <c r="U234" i="1"/>
  <c r="T234" i="1"/>
  <c r="S234" i="1"/>
  <c r="R234" i="1"/>
  <c r="Q234" i="1"/>
  <c r="P234" i="1"/>
  <c r="O234" i="1"/>
  <c r="N234" i="1"/>
  <c r="M234" i="1"/>
  <c r="L234" i="1"/>
  <c r="K234" i="1"/>
  <c r="J234" i="1"/>
  <c r="I234" i="1"/>
  <c r="H234" i="1"/>
  <c r="G234" i="1"/>
  <c r="F234" i="1"/>
  <c r="E234" i="1"/>
  <c r="D234" i="1"/>
  <c r="AK253" i="1"/>
  <c r="AK228" i="1"/>
  <c r="AK226" i="1"/>
  <c r="E225" i="1"/>
  <c r="F225" i="1"/>
  <c r="G225" i="1"/>
  <c r="H225" i="1"/>
  <c r="I225" i="1"/>
  <c r="J225" i="1"/>
  <c r="K225" i="1"/>
  <c r="L225" i="1"/>
  <c r="M225" i="1"/>
  <c r="N225" i="1"/>
  <c r="O225" i="1"/>
  <c r="P225" i="1"/>
  <c r="Q225" i="1"/>
  <c r="R225" i="1"/>
  <c r="S225" i="1"/>
  <c r="T225" i="1"/>
  <c r="U225" i="1"/>
  <c r="V225" i="1"/>
  <c r="W225" i="1"/>
  <c r="X225" i="1"/>
  <c r="Y225" i="1"/>
  <c r="Z225" i="1"/>
  <c r="AA225" i="1"/>
  <c r="E223" i="1"/>
  <c r="F223" i="1"/>
  <c r="G223" i="1"/>
  <c r="H223" i="1"/>
  <c r="I223" i="1"/>
  <c r="J223" i="1"/>
  <c r="K223" i="1"/>
  <c r="L223" i="1"/>
  <c r="M223" i="1"/>
  <c r="N223" i="1"/>
  <c r="O223" i="1"/>
  <c r="P223" i="1"/>
  <c r="Q223" i="1"/>
  <c r="R223" i="1"/>
  <c r="S223" i="1"/>
  <c r="T223" i="1"/>
  <c r="U223" i="1"/>
  <c r="V223" i="1"/>
  <c r="W223" i="1"/>
  <c r="X223" i="1"/>
  <c r="Y223" i="1"/>
  <c r="Z223" i="1"/>
  <c r="AA223" i="1"/>
  <c r="D18" i="1"/>
  <c r="E18" i="1"/>
  <c r="AJ16" i="1"/>
  <c r="AJ17" i="1"/>
  <c r="AJ15" i="1"/>
  <c r="AJ12" i="1"/>
  <c r="AJ13" i="1"/>
  <c r="AJ223" i="1"/>
  <c r="D223" i="1"/>
  <c r="D14" i="1"/>
  <c r="E14" i="1"/>
  <c r="AJ261" i="1"/>
  <c r="AJ242" i="1"/>
  <c r="AJ244" i="1"/>
  <c r="AJ245" i="1"/>
  <c r="AJ246" i="1"/>
  <c r="AJ247" i="1"/>
  <c r="AJ248" i="1"/>
  <c r="AJ249" i="1"/>
  <c r="AJ251" i="1"/>
  <c r="AJ253" i="1"/>
  <c r="AJ254" i="1"/>
  <c r="AJ255" i="1"/>
  <c r="AJ256" i="1"/>
  <c r="AJ257" i="1"/>
  <c r="AJ258" i="1"/>
  <c r="AJ240" i="1"/>
  <c r="AJ233" i="1"/>
  <c r="AJ235" i="1"/>
  <c r="AJ236" i="1"/>
  <c r="AJ237" i="1"/>
  <c r="AJ238" i="1"/>
  <c r="AJ239" i="1"/>
  <c r="AJ231" i="1"/>
  <c r="D225" i="1"/>
  <c r="AJ226" i="1"/>
  <c r="AJ227" i="1"/>
  <c r="AJ228" i="1"/>
  <c r="AJ229" i="1"/>
  <c r="AJ230" i="1"/>
  <c r="G14" i="1"/>
  <c r="H14" i="1"/>
  <c r="I14" i="1"/>
  <c r="J14" i="1"/>
  <c r="K14" i="1"/>
  <c r="L14" i="1"/>
  <c r="M14" i="1"/>
  <c r="N14" i="1"/>
  <c r="O14" i="1"/>
  <c r="P14" i="1"/>
  <c r="Q14" i="1"/>
  <c r="R14" i="1"/>
  <c r="S14" i="1"/>
  <c r="T14" i="1"/>
  <c r="U14" i="1"/>
  <c r="V14" i="1"/>
  <c r="W14" i="1"/>
  <c r="X14" i="1"/>
  <c r="Y14" i="1"/>
  <c r="Z14" i="1"/>
  <c r="AA14" i="1"/>
  <c r="M207" i="1"/>
  <c r="AK205" i="1" s="1"/>
  <c r="AL196" i="1" s="1"/>
  <c r="F14" i="1"/>
  <c r="AJ18" i="1" l="1"/>
  <c r="AJ243" i="1"/>
  <c r="AJ252" i="1"/>
  <c r="AJ234" i="1"/>
  <c r="AK250" i="1"/>
  <c r="AL250" i="1" s="1"/>
  <c r="AJ232" i="1"/>
  <c r="AJ370" i="1"/>
  <c r="AK232" i="1"/>
  <c r="AL232" i="1" s="1"/>
  <c r="AJ14" i="1"/>
  <c r="AK223" i="1"/>
  <c r="AJ250" i="1"/>
  <c r="AL241" i="1"/>
  <c r="AK261" i="1"/>
  <c r="AK259" i="1"/>
  <c r="AJ225" i="1"/>
  <c r="AJ215" i="1"/>
  <c r="AJ199" i="1"/>
  <c r="AJ207" i="1"/>
  <c r="AK16" i="1"/>
  <c r="AK15" i="1"/>
  <c r="AK12" i="1"/>
  <c r="AK11" i="1"/>
  <c r="G18" i="1"/>
  <c r="H18" i="1"/>
  <c r="I18" i="1"/>
  <c r="J18" i="1"/>
  <c r="K18" i="1"/>
  <c r="L18" i="1"/>
  <c r="M18" i="1"/>
  <c r="N18" i="1"/>
  <c r="O18" i="1"/>
  <c r="P18" i="1"/>
  <c r="Q18" i="1"/>
  <c r="R18" i="1"/>
  <c r="S18" i="1"/>
  <c r="T18" i="1"/>
  <c r="U18" i="1"/>
  <c r="V18" i="1"/>
  <c r="W18" i="1"/>
  <c r="X18" i="1"/>
  <c r="Y18" i="1"/>
  <c r="Z18" i="1"/>
  <c r="AA18" i="1"/>
  <c r="F18" i="1"/>
  <c r="AL223" i="1" l="1"/>
  <c r="AK295" i="1"/>
  <c r="AK410" i="1" l="1"/>
  <c r="AK167" i="1"/>
  <c r="AM409" i="1"/>
  <c r="AK407" i="1"/>
  <c r="AK405" i="1"/>
  <c r="AK401" i="1"/>
  <c r="AK387" i="1"/>
  <c r="F337" i="4"/>
  <c r="E341" i="1"/>
  <c r="F341" i="1"/>
  <c r="G341" i="1"/>
  <c r="H341" i="1"/>
  <c r="I341" i="1"/>
  <c r="J341" i="1"/>
  <c r="K341" i="1"/>
  <c r="L341" i="1"/>
  <c r="M341" i="1"/>
  <c r="N341" i="1"/>
  <c r="O341" i="1"/>
  <c r="P341" i="1"/>
  <c r="Q341" i="1"/>
  <c r="R341" i="1"/>
  <c r="S341" i="1"/>
  <c r="T341" i="1"/>
  <c r="U341" i="1"/>
  <c r="V341" i="1"/>
  <c r="W341" i="1"/>
  <c r="X341" i="1"/>
  <c r="Y341" i="1"/>
  <c r="AK357" i="1"/>
  <c r="AK356" i="1"/>
  <c r="AJ359" i="1" l="1"/>
  <c r="AJ360" i="1"/>
  <c r="AJ362" i="1"/>
  <c r="AJ363" i="1"/>
  <c r="AJ364" i="1"/>
  <c r="AJ366" i="1"/>
  <c r="AJ355" i="1"/>
  <c r="AJ356" i="1"/>
  <c r="AJ357" i="1"/>
  <c r="AJ365" i="1" l="1"/>
  <c r="AK365" i="1"/>
  <c r="E354" i="1" l="1"/>
  <c r="F354" i="1"/>
  <c r="G354" i="1"/>
  <c r="H354" i="1"/>
  <c r="I354" i="1"/>
  <c r="J354" i="1"/>
  <c r="K354" i="1"/>
  <c r="L354" i="1"/>
  <c r="M354" i="1"/>
  <c r="N354" i="1"/>
  <c r="O354" i="1"/>
  <c r="P354" i="1"/>
  <c r="Q354" i="1"/>
  <c r="R354" i="1"/>
  <c r="S354" i="1"/>
  <c r="T354" i="1"/>
  <c r="U354" i="1"/>
  <c r="V354" i="1"/>
  <c r="W354" i="1"/>
  <c r="X354" i="1"/>
  <c r="Y354" i="1"/>
  <c r="D341" i="1"/>
  <c r="AK171" i="1" s="1"/>
  <c r="AJ332" i="1"/>
  <c r="AJ333" i="1"/>
  <c r="AJ334" i="1"/>
  <c r="AJ335" i="1"/>
  <c r="AJ336" i="1"/>
  <c r="AJ337" i="1"/>
  <c r="AK340" i="1" l="1"/>
  <c r="AK321" i="1"/>
  <c r="AK319" i="1"/>
  <c r="AK318" i="1"/>
  <c r="AM314" i="1" l="1"/>
  <c r="AM313" i="1"/>
  <c r="AK278" i="1"/>
  <c r="D303" i="1"/>
  <c r="D306" i="1"/>
  <c r="AM305" i="1"/>
  <c r="AM304" i="1"/>
  <c r="AK304" i="1"/>
  <c r="AK305" i="1"/>
  <c r="AK302" i="1"/>
  <c r="AK301" i="1"/>
  <c r="AK299" i="1"/>
  <c r="E306" i="1"/>
  <c r="E303" i="1"/>
  <c r="AK293" i="1"/>
  <c r="AK291" i="1"/>
  <c r="AK289" i="1"/>
  <c r="AK306" i="1" l="1"/>
  <c r="AM306" i="1"/>
  <c r="AJ306" i="1"/>
  <c r="AM278" i="1" l="1"/>
  <c r="AN277" i="1" s="1"/>
  <c r="AK285" i="1"/>
  <c r="AK283" i="1"/>
  <c r="AK169" i="1"/>
  <c r="AK168" i="1"/>
  <c r="K139" i="1"/>
  <c r="L139" i="1"/>
  <c r="M139" i="1"/>
  <c r="N139" i="1"/>
  <c r="O139" i="1"/>
  <c r="P139" i="1"/>
  <c r="Q139" i="1"/>
  <c r="R139" i="1"/>
  <c r="S139" i="1"/>
  <c r="T139" i="1"/>
  <c r="U139" i="1"/>
  <c r="V139" i="1"/>
  <c r="W139" i="1"/>
  <c r="X139" i="1"/>
  <c r="Y139" i="1"/>
  <c r="Z139" i="1"/>
  <c r="AA139" i="1"/>
  <c r="J139" i="1"/>
  <c r="AK123" i="1"/>
  <c r="AK49" i="1"/>
  <c r="AK47" i="1"/>
  <c r="AK45" i="1"/>
  <c r="AK43" i="1"/>
  <c r="AK41" i="1"/>
  <c r="AK39" i="1"/>
  <c r="AK37" i="1"/>
  <c r="AK35" i="1"/>
  <c r="AK27" i="1"/>
  <c r="AM24" i="1"/>
  <c r="AK22" i="1"/>
  <c r="AJ139" i="1" l="1"/>
  <c r="AJ371" i="1" l="1"/>
  <c r="D369" i="1"/>
  <c r="AK368" i="1" s="1"/>
  <c r="AJ367" i="1"/>
  <c r="E361" i="1"/>
  <c r="F361" i="1"/>
  <c r="G361" i="1"/>
  <c r="H361" i="1"/>
  <c r="J361" i="1"/>
  <c r="K361" i="1"/>
  <c r="L361" i="1"/>
  <c r="M361" i="1"/>
  <c r="N361" i="1"/>
  <c r="O361" i="1"/>
  <c r="P361" i="1"/>
  <c r="Q361" i="1"/>
  <c r="R361" i="1"/>
  <c r="S361" i="1"/>
  <c r="T361" i="1"/>
  <c r="U361" i="1"/>
  <c r="V361" i="1"/>
  <c r="W361" i="1"/>
  <c r="X361" i="1"/>
  <c r="Y361" i="1"/>
  <c r="D358" i="1"/>
  <c r="AK366" i="1" s="1"/>
  <c r="AJ368" i="1"/>
  <c r="D331" i="1"/>
  <c r="AJ340" i="1"/>
  <c r="AK309" i="1" l="1"/>
  <c r="AK313" i="1"/>
  <c r="I361" i="1"/>
  <c r="D361" i="1"/>
  <c r="AJ358" i="1"/>
  <c r="AJ372" i="1"/>
  <c r="AJ369" i="1"/>
  <c r="AJ361" i="1" l="1"/>
  <c r="AK361" i="1"/>
  <c r="AK369" i="1"/>
  <c r="AM361" i="1"/>
  <c r="AN356" i="1" s="1"/>
  <c r="AJ405" i="1"/>
  <c r="AJ407" i="1"/>
  <c r="AJ409" i="1"/>
  <c r="AJ410" i="1"/>
  <c r="F411" i="1"/>
  <c r="G411" i="1"/>
  <c r="H411" i="1"/>
  <c r="I411" i="1"/>
  <c r="J411" i="1"/>
  <c r="K411" i="1"/>
  <c r="L411" i="1"/>
  <c r="M411" i="1"/>
  <c r="N411" i="1"/>
  <c r="O411" i="1"/>
  <c r="P411" i="1"/>
  <c r="Q411" i="1"/>
  <c r="R411" i="1"/>
  <c r="S411" i="1"/>
  <c r="T411" i="1"/>
  <c r="U411" i="1"/>
  <c r="V411" i="1"/>
  <c r="W411" i="1"/>
  <c r="X411" i="1"/>
  <c r="Y411" i="1"/>
  <c r="F408" i="1"/>
  <c r="G408" i="1"/>
  <c r="H408" i="1"/>
  <c r="I408" i="1"/>
  <c r="J408" i="1"/>
  <c r="K408" i="1"/>
  <c r="L408" i="1"/>
  <c r="M408" i="1"/>
  <c r="N408" i="1"/>
  <c r="O408" i="1"/>
  <c r="P408" i="1"/>
  <c r="Q408" i="1"/>
  <c r="R408" i="1"/>
  <c r="S408" i="1"/>
  <c r="T408" i="1"/>
  <c r="U408" i="1"/>
  <c r="V408" i="1"/>
  <c r="X408" i="1"/>
  <c r="Y408" i="1"/>
  <c r="AK406" i="1"/>
  <c r="AM404" i="1"/>
  <c r="AJ402" i="1"/>
  <c r="AJ401" i="1"/>
  <c r="AJ224" i="1"/>
  <c r="AJ259" i="1"/>
  <c r="AJ309" i="1"/>
  <c r="AJ296" i="1"/>
  <c r="AJ299" i="1"/>
  <c r="AJ300" i="1"/>
  <c r="AJ301" i="1"/>
  <c r="AJ302" i="1"/>
  <c r="AJ304" i="1"/>
  <c r="AJ305" i="1"/>
  <c r="AJ307" i="1"/>
  <c r="AJ308" i="1"/>
  <c r="AJ285" i="1"/>
  <c r="AJ286" i="1"/>
  <c r="AJ287" i="1"/>
  <c r="AJ288" i="1"/>
  <c r="AJ291" i="1"/>
  <c r="AJ292" i="1"/>
  <c r="AJ293" i="1"/>
  <c r="AJ294" i="1"/>
  <c r="AJ295" i="1"/>
  <c r="AJ283" i="1"/>
  <c r="AJ303" i="1"/>
  <c r="AM413" i="1" l="1"/>
  <c r="AN401" i="1"/>
  <c r="AK411" i="1"/>
  <c r="AL401" i="1" s="1"/>
  <c r="AJ404" i="1"/>
  <c r="AJ406" i="1"/>
  <c r="AJ411" i="1"/>
  <c r="AJ408" i="1"/>
  <c r="Y315" i="1"/>
  <c r="W315" i="1"/>
  <c r="U315" i="1"/>
  <c r="S315" i="1"/>
  <c r="Q315" i="1"/>
  <c r="O315" i="1"/>
  <c r="M315" i="1"/>
  <c r="K315" i="1"/>
  <c r="AJ315" i="1" l="1"/>
  <c r="Y282" i="1"/>
  <c r="W282" i="1"/>
  <c r="U282" i="1"/>
  <c r="S282" i="1"/>
  <c r="Q282" i="1"/>
  <c r="O282" i="1"/>
  <c r="M282" i="1"/>
  <c r="K282" i="1"/>
  <c r="Y281" i="1"/>
  <c r="W281" i="1"/>
  <c r="U281" i="1"/>
  <c r="S281" i="1"/>
  <c r="Q281" i="1"/>
  <c r="O281" i="1"/>
  <c r="M281" i="1"/>
  <c r="K281" i="1"/>
  <c r="AJ281" i="1" l="1"/>
  <c r="AJ282" i="1"/>
  <c r="AJ388" i="1" l="1"/>
  <c r="AJ389" i="1"/>
  <c r="AJ390" i="1"/>
  <c r="AJ391" i="1"/>
  <c r="D392" i="1" l="1"/>
  <c r="E392" i="1"/>
  <c r="F392" i="1"/>
  <c r="G392" i="1"/>
  <c r="H392" i="1"/>
  <c r="I392" i="1"/>
  <c r="J392" i="1"/>
  <c r="K392" i="1"/>
  <c r="L392" i="1"/>
  <c r="M392" i="1"/>
  <c r="N392" i="1"/>
  <c r="O392" i="1"/>
  <c r="P392" i="1"/>
  <c r="Q392" i="1"/>
  <c r="R392" i="1"/>
  <c r="S392" i="1"/>
  <c r="T392" i="1"/>
  <c r="U392" i="1"/>
  <c r="V392" i="1"/>
  <c r="W392" i="1"/>
  <c r="X392" i="1"/>
  <c r="Y392" i="1"/>
  <c r="Z392" i="1"/>
  <c r="AA392" i="1"/>
  <c r="AN381" i="1" l="1"/>
  <c r="AJ338" i="1" l="1"/>
  <c r="AJ342" i="1"/>
  <c r="AJ343" i="1"/>
  <c r="AJ344" i="1"/>
  <c r="AJ345" i="1"/>
  <c r="AJ346" i="1"/>
  <c r="AJ347" i="1"/>
  <c r="AJ348" i="1"/>
  <c r="AJ349" i="1"/>
  <c r="AJ350" i="1"/>
  <c r="AJ351" i="1"/>
  <c r="AJ352" i="1"/>
  <c r="AJ353" i="1"/>
  <c r="AJ381" i="1"/>
  <c r="AJ382" i="1"/>
  <c r="AJ383" i="1"/>
  <c r="AJ384" i="1"/>
  <c r="AJ385" i="1"/>
  <c r="AJ386" i="1"/>
  <c r="AJ387" i="1"/>
  <c r="D354" i="1"/>
  <c r="AK341" i="1" l="1"/>
  <c r="AJ354" i="1"/>
  <c r="AJ341" i="1"/>
  <c r="AK360" i="1" s="1"/>
  <c r="AL356" i="1" s="1"/>
  <c r="AK331" i="1"/>
  <c r="AN111" i="1" l="1"/>
  <c r="AN167" i="1"/>
  <c r="AN196" i="1"/>
  <c r="AN223" i="1"/>
  <c r="AM36" i="1"/>
  <c r="AJ331" i="1"/>
  <c r="AJ392" i="1"/>
  <c r="AJ393" i="1"/>
  <c r="AJ394" i="1"/>
  <c r="AJ395" i="1"/>
  <c r="AJ396" i="1"/>
  <c r="AJ397" i="1"/>
  <c r="AJ398" i="1"/>
  <c r="AJ399" i="1"/>
  <c r="AJ314" i="1"/>
  <c r="AJ320" i="1"/>
  <c r="AM320" i="1" s="1"/>
  <c r="AJ324" i="1"/>
  <c r="AJ325" i="1"/>
  <c r="AJ326" i="1"/>
  <c r="AJ327" i="1"/>
  <c r="AJ313" i="1"/>
  <c r="AJ278" i="1"/>
  <c r="AJ279" i="1"/>
  <c r="AJ280" i="1"/>
  <c r="AJ284" i="1"/>
  <c r="AJ277" i="1"/>
  <c r="AJ260" i="1"/>
  <c r="AJ262" i="1"/>
  <c r="AJ263" i="1"/>
  <c r="AK263" i="1" s="1"/>
  <c r="AJ264" i="1"/>
  <c r="AJ265" i="1"/>
  <c r="AJ266" i="1"/>
  <c r="AJ267" i="1"/>
  <c r="AJ268" i="1"/>
  <c r="AJ269" i="1"/>
  <c r="AJ270" i="1"/>
  <c r="AJ271" i="1"/>
  <c r="AJ272" i="1"/>
  <c r="AJ273" i="1"/>
  <c r="AJ197" i="1"/>
  <c r="AJ198" i="1"/>
  <c r="AJ201" i="1"/>
  <c r="AJ202" i="1"/>
  <c r="AJ203" i="1"/>
  <c r="AJ204" i="1"/>
  <c r="AJ205" i="1"/>
  <c r="AJ206" i="1"/>
  <c r="AJ209" i="1"/>
  <c r="AJ210" i="1"/>
  <c r="AJ211" i="1"/>
  <c r="AJ212" i="1"/>
  <c r="AJ213" i="1"/>
  <c r="AJ214" i="1"/>
  <c r="AJ217" i="1"/>
  <c r="AJ218" i="1"/>
  <c r="AJ219" i="1"/>
  <c r="AJ196" i="1"/>
  <c r="AJ115" i="1"/>
  <c r="AJ112" i="1"/>
  <c r="AJ113" i="1"/>
  <c r="AJ114" i="1"/>
  <c r="AJ111" i="1"/>
  <c r="AJ126" i="1"/>
  <c r="AJ146" i="1"/>
  <c r="AJ147" i="1"/>
  <c r="AJ123" i="1"/>
  <c r="AJ168" i="1"/>
  <c r="AJ169" i="1"/>
  <c r="AJ170" i="1"/>
  <c r="AJ171" i="1"/>
  <c r="AJ172" i="1"/>
  <c r="AJ173" i="1"/>
  <c r="AJ174" i="1"/>
  <c r="AJ175" i="1"/>
  <c r="AJ176" i="1"/>
  <c r="AJ177" i="1"/>
  <c r="AJ178" i="1"/>
  <c r="AJ167"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26" i="1"/>
  <c r="AK326" i="1"/>
  <c r="AK265" i="1"/>
  <c r="AM303" i="1"/>
  <c r="AN301" i="1" s="1"/>
  <c r="AL8" i="1"/>
  <c r="AL301" i="1"/>
  <c r="AK314" i="1"/>
  <c r="AK277" i="1"/>
  <c r="AN123" i="1"/>
  <c r="AK280" i="1"/>
  <c r="AK54" i="1"/>
  <c r="AK273" i="1"/>
  <c r="AM49" i="1"/>
  <c r="AK146" i="1"/>
  <c r="AL123" i="1" s="1"/>
  <c r="AM33" i="1"/>
  <c r="AK338" i="1"/>
  <c r="AL331" i="1" s="1"/>
  <c r="AM47" i="1"/>
  <c r="AM43" i="1"/>
  <c r="AM39" i="1"/>
  <c r="AK268" i="1"/>
  <c r="AK272" i="1"/>
  <c r="AK33" i="1"/>
  <c r="AL381" i="1"/>
  <c r="AM45" i="1"/>
  <c r="AM37" i="1"/>
  <c r="AJ55" i="1"/>
  <c r="AJ54" i="1"/>
  <c r="AN8" i="1" s="1"/>
  <c r="AK270" i="1"/>
  <c r="AK287" i="1"/>
  <c r="AK279" i="1"/>
  <c r="AM35" i="1"/>
  <c r="AK170" i="1"/>
  <c r="AM55" i="1"/>
  <c r="AM27" i="1"/>
  <c r="AM41" i="1"/>
  <c r="AM54" i="1"/>
  <c r="AM338" i="1"/>
  <c r="AN331" i="1" s="1"/>
  <c r="AM327" i="1"/>
  <c r="AK320" i="1"/>
  <c r="AL22" i="1" l="1"/>
  <c r="AL259" i="1"/>
  <c r="AL277" i="1"/>
  <c r="AL313" i="1"/>
  <c r="AN313" i="1"/>
  <c r="AN22" i="1"/>
  <c r="A486" i="1" l="1"/>
  <c r="AL6" i="1" s="1"/>
  <c r="A508" i="1"/>
  <c r="AN6" i="1" s="1"/>
  <c r="M486" i="1" l="1"/>
</calcChain>
</file>

<file path=xl/sharedStrings.xml><?xml version="1.0" encoding="utf-8"?>
<sst xmlns="http://schemas.openxmlformats.org/spreadsheetml/2006/main" count="3128" uniqueCount="1319">
  <si>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</si>
  <si>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</si>
  <si>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</si>
  <si>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</si>
  <si>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</si>
  <si>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</si>
  <si>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</si>
  <si>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</si>
  <si>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</si>
  <si>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</si>
  <si>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</si>
  <si>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</si>
  <si>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</si>
  <si>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</si>
  <si>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</si>
  <si>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</si>
  <si>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</si>
  <si>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</si>
  <si>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</si>
  <si>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</si>
  <si>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</si>
  <si>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</si>
  <si>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</si>
  <si>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</si>
  <si>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</si>
  <si>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</si>
  <si>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</si>
  <si>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</si>
  <si>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</si>
  <si>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</si>
  <si>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</si>
  <si>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</si>
  <si>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</si>
  <si>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</si>
  <si>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</si>
  <si>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</si>
  <si>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</si>
  <si>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</si>
  <si>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</si>
  <si>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</si>
  <si>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</si>
  <si>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</si>
  <si>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</si>
  <si>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</si>
  <si>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</si>
  <si>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</si>
  <si>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</si>
  <si>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</si>
  <si>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</si>
  <si>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</si>
  <si>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</si>
  <si>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</si>
  <si>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</si>
  <si>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</si>
  <si>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</si>
  <si>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</si>
  <si>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</si>
  <si>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</si>
  <si>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</si>
  <si>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</si>
  <si>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</si>
  <si>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</si>
  <si>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</si>
  <si>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</si>
  <si>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</si>
  <si>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</si>
  <si>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</si>
  <si>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</si>
  <si>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</si>
  <si>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</si>
  <si>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</si>
  <si>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</si>
  <si>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</si>
  <si>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</si>
  <si>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</si>
  <si>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</si>
  <si>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</si>
  <si>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</si>
  <si>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</si>
  <si>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</si>
  <si>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</si>
  <si>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</si>
  <si>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</si>
  <si>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</si>
  <si>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</si>
  <si>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</si>
  <si>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</si>
  <si>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</si>
  <si>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</si>
  <si>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</si>
  <si>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</si>
  <si>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</si>
  <si>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</si>
  <si>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</si>
  <si>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</si>
  <si>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</si>
  <si>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</si>
  <si>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</si>
  <si>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</si>
  <si>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</si>
  <si>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</si>
  <si>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</si>
  <si>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</si>
  <si>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</si>
  <si>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</si>
  <si>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</si>
  <si>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</si>
  <si>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</si>
  <si>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</si>
  <si>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</si>
  <si>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</si>
  <si>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</si>
  <si>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</si>
  <si>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</si>
  <si>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</si>
  <si>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</si>
  <si>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</si>
  <si>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</si>
  <si>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</si>
  <si>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</si>
  <si>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</si>
  <si>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</si>
  <si>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</si>
  <si>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</si>
  <si>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</si>
  <si>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</si>
  <si>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</si>
  <si>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</si>
  <si>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</si>
  <si>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</si>
  <si>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</si>
  <si>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</si>
  <si>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</si>
  <si>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</si>
  <si>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</si>
  <si>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</si>
  <si>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</si>
  <si>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</si>
  <si>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</si>
  <si>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</si>
  <si>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</si>
  <si>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</si>
  <si>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</si>
  <si>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</si>
  <si>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</si>
  <si>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</si>
  <si>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</si>
  <si>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</si>
  <si>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</si>
  <si>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</si>
  <si>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</si>
  <si>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</si>
  <si>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</si>
  <si>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</si>
  <si>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</si>
  <si>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</si>
  <si>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</si>
  <si>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</si>
  <si>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</si>
  <si>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</si>
  <si>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</si>
  <si>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</si>
  <si>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</si>
  <si>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</si>
  <si>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</si>
  <si>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</si>
  <si>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</si>
  <si>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</si>
  <si>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</si>
  <si>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</si>
  <si>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</si>
  <si>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</si>
  <si>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</si>
  <si>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</si>
  <si>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</si>
  <si>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</si>
  <si>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</si>
  <si>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</si>
  <si>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</si>
  <si>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</si>
  <si>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</si>
  <si>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</si>
  <si>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</si>
  <si>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</si>
  <si>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</si>
  <si>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</si>
  <si>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</si>
  <si>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</si>
  <si>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</si>
  <si>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</si>
  <si>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</si>
  <si>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</si>
  <si>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</si>
  <si>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</si>
  <si>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</si>
  <si>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</si>
  <si>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</si>
  <si>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</si>
  <si>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</si>
  <si>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</si>
  <si>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</si>
  <si>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</si>
  <si>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</si>
  <si>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</si>
  <si>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</si>
  <si>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</si>
  <si>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</si>
  <si>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</si>
  <si>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</si>
  <si>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</si>
  <si>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</si>
  <si>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</si>
  <si>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</si>
  <si>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</si>
  <si>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</si>
  <si>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</si>
  <si>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</si>
  <si>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</si>
  <si>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</si>
  <si>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</si>
  <si>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</si>
  <si>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</si>
  <si>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</si>
  <si>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</si>
  <si>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</si>
  <si>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</si>
  <si>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</si>
  <si>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</si>
  <si>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</si>
  <si>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</si>
  <si>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</si>
  <si>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</si>
  <si>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</si>
  <si>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</si>
  <si>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</si>
  <si>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</si>
  <si>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</si>
  <si>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</si>
  <si>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</si>
  <si>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</si>
  <si>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</si>
  <si>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</si>
  <si>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</si>
  <si>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</si>
  <si>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</si>
  <si>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</si>
  <si>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</si>
  <si>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</si>
  <si>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</si>
  <si>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</si>
  <si>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</si>
  <si>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</si>
  <si>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</si>
  <si>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</si>
  <si>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</si>
  <si>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</si>
  <si>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</si>
  <si>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</si>
  <si>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</si>
  <si>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</si>
  <si>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</si>
  <si>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</si>
  <si>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</si>
  <si>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</si>
  <si>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</si>
  <si>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</si>
  <si>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</si>
  <si>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</si>
  <si>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</si>
  <si>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</si>
  <si>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</si>
  <si>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</si>
  <si>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</si>
  <si>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</si>
  <si>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</si>
  <si>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</si>
  <si>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</si>
  <si>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</si>
  <si>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</si>
  <si>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</si>
  <si>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</si>
  <si>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</si>
  <si>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</si>
  <si>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</si>
  <si>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</si>
  <si>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</si>
  <si>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</si>
  <si>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</si>
  <si>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</si>
  <si>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</si>
  <si>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</si>
  <si>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</si>
  <si>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</si>
  <si>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</si>
  <si>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</si>
  <si>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</si>
  <si>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</si>
  <si>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</si>
  <si>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</si>
  <si>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</si>
  <si>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</si>
  <si>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</si>
  <si>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</si>
  <si>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</si>
  <si>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</si>
  <si>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</si>
  <si>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</si>
  <si>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</si>
  <si>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</si>
  <si>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</si>
  <si>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</si>
  <si>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</si>
  <si>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</si>
  <si>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</si>
  <si>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</si>
  <si>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</si>
  <si>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</si>
  <si>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</si>
  <si>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</si>
  <si>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</si>
  <si>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</si>
  <si>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</si>
  <si>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</si>
  <si>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</si>
  <si>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</si>
  <si>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</si>
  <si>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</si>
  <si>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</si>
  <si>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</si>
  <si>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</si>
  <si>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</si>
  <si>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</si>
  <si>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</si>
  <si>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</si>
  <si>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</si>
  <si>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</si>
  <si>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</si>
  <si>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</si>
  <si>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</si>
  <si>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</si>
  <si>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</si>
  <si>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</si>
  <si>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</si>
  <si>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</si>
  <si>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</si>
  <si>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</si>
  <si>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</si>
  <si>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</si>
  <si>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</si>
  <si>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</si>
  <si>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</si>
  <si>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</si>
  <si>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</si>
  <si>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</si>
  <si>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</si>
  <si>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</si>
  <si>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</si>
  <si>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</si>
  <si>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</si>
  <si>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</si>
  <si>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</si>
  <si>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</si>
  <si>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</si>
  <si>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</si>
  <si>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</si>
  <si>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</si>
  <si>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</si>
  <si>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</si>
  <si>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</si>
  <si>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</si>
  <si>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</si>
  <si>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</si>
  <si>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</si>
  <si>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</si>
  <si>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</si>
  <si>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</si>
  <si>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</si>
  <si>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</si>
  <si>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</si>
  <si>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</si>
  <si>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</si>
  <si>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</si>
  <si>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</si>
  <si>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</si>
  <si>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</si>
  <si>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</si>
  <si>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</si>
  <si>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</si>
  <si>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</si>
  <si>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</si>
  <si>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</si>
  <si>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</si>
  <si>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</si>
  <si>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</si>
  <si>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</si>
  <si>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</si>
  <si>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</si>
  <si>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</si>
  <si>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</si>
  <si>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</si>
  <si>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</si>
  <si>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</si>
  <si>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</si>
  <si>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</si>
  <si>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</si>
  <si>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</si>
  <si>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</si>
  <si>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</si>
  <si>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</si>
  <si>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</si>
  <si>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</si>
  <si>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</si>
  <si>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</si>
  <si>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</si>
  <si>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</si>
  <si>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</si>
  <si>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</si>
  <si>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</si>
  <si>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</si>
  <si>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</si>
  <si>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</si>
  <si>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</si>
  <si>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</si>
  <si>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</si>
  <si>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</si>
  <si>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</si>
  <si>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</si>
  <si>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</si>
  <si>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</si>
  <si>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</si>
  <si>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</si>
  <si>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</si>
  <si>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</si>
  <si>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</si>
  <si>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</si>
  <si>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</si>
  <si>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</si>
  <si>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</si>
  <si>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</si>
  <si>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</si>
  <si>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</si>
  <si>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</si>
  <si>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</si>
  <si>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</si>
  <si>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</si>
  <si>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</si>
  <si>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</si>
  <si>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</si>
  <si>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</si>
  <si>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</si>
  <si>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</si>
  <si>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</si>
  <si>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</si>
  <si>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</si>
  <si>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</si>
  <si>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</si>
  <si>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</si>
  <si>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</si>
  <si>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</si>
  <si>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</si>
  <si>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</si>
  <si>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</si>
  <si>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</si>
  <si>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</si>
  <si>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</si>
  <si>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</si>
  <si>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</si>
  <si>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</si>
  <si>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</si>
  <si>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</si>
  <si>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</si>
  <si>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</si>
  <si>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</si>
  <si>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</si>
  <si>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</si>
  <si>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</si>
  <si>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</si>
  <si>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</si>
  <si>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</si>
  <si>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</si>
  <si>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</si>
  <si>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</si>
  <si>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</si>
  <si>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</si>
  <si>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</si>
  <si>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</si>
  <si>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</si>
  <si>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</si>
  <si>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</si>
  <si>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</si>
  <si>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</si>
  <si>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</si>
  <si>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</si>
  <si>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</si>
  <si>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</si>
  <si>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</si>
  <si>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</si>
  <si>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</si>
  <si>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</si>
  <si>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</si>
  <si>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</si>
  <si>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</si>
  <si>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</si>
  <si>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</si>
  <si>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</si>
  <si>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</si>
  <si>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</si>
  <si>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</si>
  <si>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</si>
  <si>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</si>
  <si>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</si>
  <si>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</si>
  <si>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</si>
  <si>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</si>
  <si>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</si>
  <si>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</si>
  <si>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</si>
  <si>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</si>
  <si>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</si>
  <si>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</si>
  <si>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</si>
  <si>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</si>
  <si>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</si>
  <si>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</si>
  <si>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</si>
  <si>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</si>
  <si>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</si>
  <si>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</si>
  <si>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</si>
  <si>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</si>
  <si>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</si>
  <si>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</si>
  <si>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</si>
  <si>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</si>
  <si>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</si>
  <si>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</si>
  <si>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</si>
  <si>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</si>
  <si>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</si>
  <si>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</si>
  <si>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</si>
  <si>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</si>
  <si>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</si>
  <si>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</si>
  <si>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</si>
  <si>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</si>
  <si>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</si>
  <si>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</si>
  <si>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</si>
  <si>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</si>
  <si>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</si>
  <si>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</si>
  <si>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</si>
  <si>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</si>
  <si>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</si>
  <si>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</si>
  <si>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</si>
  <si>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</si>
  <si>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</si>
  <si>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</si>
  <si>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</si>
  <si>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</si>
  <si>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</si>
  <si>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</si>
  <si>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</si>
  <si>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</si>
  <si>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</si>
  <si>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</si>
  <si>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</si>
  <si>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</si>
  <si>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</si>
  <si>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</si>
  <si>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</si>
  <si>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</si>
  <si>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</si>
  <si>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</si>
  <si>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</si>
  <si>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</si>
  <si>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</si>
  <si>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</si>
  <si>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</si>
  <si>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</si>
  <si>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</si>
  <si>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</si>
  <si>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</si>
  <si>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</si>
  <si>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</si>
  <si>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</si>
  <si>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</si>
  <si>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</si>
  <si>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</si>
  <si>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</si>
  <si>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</si>
  <si>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</si>
  <si>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</si>
  <si>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</si>
  <si>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</si>
  <si>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</si>
  <si>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</si>
  <si>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</si>
  <si>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</si>
  <si>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</si>
  <si>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</si>
  <si>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</si>
  <si>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</si>
  <si>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</si>
  <si>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</si>
  <si>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</si>
  <si>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</si>
  <si>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</si>
  <si>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</si>
  <si>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</si>
  <si>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</si>
  <si>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</si>
  <si>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</si>
  <si>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</si>
  <si>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</si>
  <si>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</si>
  <si>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</si>
  <si>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</si>
  <si>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</si>
  <si>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</si>
  <si>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</si>
  <si>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</si>
  <si>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</si>
  <si>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</si>
  <si>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</si>
  <si>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</si>
  <si>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</si>
  <si>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</si>
  <si>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</si>
  <si>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</si>
  <si>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</si>
  <si>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</si>
  <si>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</si>
  <si>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</si>
  <si>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</si>
  <si>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</si>
  <si>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</si>
  <si>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</si>
  <si>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</si>
  <si>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</si>
  <si>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</si>
  <si>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</si>
  <si>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</si>
  <si>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</si>
  <si>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</si>
  <si>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</si>
  <si>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</si>
  <si>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</si>
  <si>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</si>
  <si>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</si>
  <si>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</si>
  <si>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</si>
  <si>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</si>
  <si>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</si>
  <si>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</si>
  <si>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</si>
  <si>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</si>
  <si>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</si>
  <si>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</si>
  <si>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</si>
  <si>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</si>
  <si>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</si>
  <si>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</si>
  <si>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</si>
  <si>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</si>
  <si>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</si>
  <si>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</si>
  <si>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</si>
  <si>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</si>
  <si>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</si>
  <si>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</si>
  <si>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</si>
  <si>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</si>
  <si>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</si>
  <si>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</si>
  <si>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</si>
  <si>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</si>
  <si>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</si>
  <si>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</si>
  <si>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</si>
  <si>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</si>
  <si>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</si>
  <si>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</si>
  <si>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</si>
  <si>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</si>
  <si>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</si>
  <si>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</si>
  <si>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</si>
  <si>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</si>
  <si>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</si>
  <si>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</si>
  <si>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</si>
  <si>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</si>
  <si>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</si>
  <si>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</si>
  <si>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</si>
  <si>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</si>
  <si>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</si>
  <si>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</si>
  <si>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</si>
  <si>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</si>
  <si>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</si>
  <si>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</si>
  <si>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</si>
  <si>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</si>
  <si>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</si>
  <si>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</si>
  <si>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</si>
  <si>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</si>
  <si>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</si>
  <si>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</si>
  <si>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</si>
  <si>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</si>
  <si>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</si>
  <si>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</si>
  <si>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</si>
  <si>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</si>
  <si>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</si>
  <si>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</si>
  <si>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</si>
  <si>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</si>
  <si>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</si>
  <si>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</si>
  <si>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</si>
  <si>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</si>
  <si>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</si>
  <si>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</si>
  <si>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</si>
  <si>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</si>
  <si>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</si>
  <si>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</si>
  <si>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</si>
  <si>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</si>
  <si>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</si>
  <si>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</si>
  <si>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</si>
  <si>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</si>
  <si>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</si>
  <si>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</si>
  <si>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</si>
  <si>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</si>
  <si>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</si>
  <si>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</si>
  <si>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</si>
  <si>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</si>
  <si>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</si>
  <si>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</si>
  <si>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</si>
  <si>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</si>
  <si>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</si>
  <si>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</si>
  <si>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</si>
  <si>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</si>
  <si>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</si>
  <si>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</si>
  <si>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</si>
  <si>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</si>
  <si>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</si>
  <si>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</si>
  <si>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</si>
  <si>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</si>
  <si>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</si>
  <si>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</si>
  <si>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</si>
  <si>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</si>
  <si>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</si>
  <si>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</si>
  <si>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</si>
  <si>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</si>
  <si>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</si>
  <si>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</si>
  <si>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</si>
  <si>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</si>
  <si>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</si>
  <si>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</si>
  <si>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</si>
  <si>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</si>
  <si>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</si>
  <si>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</si>
  <si>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</si>
  <si>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</si>
  <si>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</si>
  <si>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</si>
  <si>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</si>
  <si>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</si>
  <si>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</si>
  <si>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</si>
  <si>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</si>
  <si>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</si>
  <si>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</si>
  <si>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</si>
  <si>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</si>
  <si>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</si>
  <si>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</si>
  <si>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</si>
  <si>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</si>
  <si>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</si>
  <si>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</si>
  <si>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</si>
  <si>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</si>
  <si>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</si>
  <si>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</si>
  <si>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</si>
  <si>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</si>
  <si>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</si>
  <si>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</si>
  <si>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</si>
  <si>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</si>
  <si>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</si>
  <si>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</si>
  <si>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</si>
  <si>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</si>
  <si>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</si>
  <si>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</si>
  <si>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</si>
  <si>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</si>
  <si>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</si>
  <si>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</si>
  <si>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</si>
  <si>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</si>
  <si>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</si>
  <si>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</si>
  <si>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</si>
  <si>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</si>
  <si>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</si>
  <si>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</si>
  <si>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</si>
  <si>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</si>
  <si>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</si>
  <si>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</si>
  <si>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</si>
  <si>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</si>
  <si>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</si>
  <si>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</si>
  <si>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</si>
  <si>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</si>
  <si>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</si>
  <si>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</si>
  <si>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</si>
  <si>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</si>
  <si>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</si>
  <si>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</si>
  <si>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</si>
  <si>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</si>
  <si>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</si>
  <si>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</si>
  <si>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</si>
  <si>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</si>
  <si>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</si>
  <si>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</si>
  <si>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</si>
  <si>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</si>
  <si>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</si>
  <si>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</si>
  <si>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</si>
  <si>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</si>
  <si>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</si>
  <si>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</si>
  <si>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</si>
  <si>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</si>
  <si>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</si>
  <si>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</si>
  <si>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</si>
  <si>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</si>
  <si>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</si>
  <si>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</si>
  <si>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</si>
  <si>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</si>
  <si>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</si>
  <si>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</si>
  <si>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</si>
  <si>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</si>
  <si>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</si>
  <si>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</si>
  <si>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</si>
  <si>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</si>
  <si>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</si>
  <si>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</si>
  <si>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</si>
  <si>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</si>
  <si>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</si>
  <si>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</si>
  <si>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</si>
  <si>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</si>
  <si>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</si>
  <si>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</si>
  <si>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</si>
  <si>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</si>
  <si>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</si>
  <si>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</si>
  <si>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</si>
  <si>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</si>
  <si>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</si>
  <si>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</si>
  <si>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</si>
  <si>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</si>
  <si>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</si>
  <si>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</si>
  <si>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</si>
  <si>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</si>
  <si>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</si>
  <si>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</si>
  <si>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</si>
  <si>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</si>
  <si>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</si>
  <si>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</si>
  <si>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</si>
  <si>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</si>
  <si>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</si>
  <si>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</si>
  <si>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</si>
  <si>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</si>
  <si>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</si>
  <si>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</si>
  <si>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</si>
  <si>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</si>
  <si>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</si>
  <si>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</si>
  <si>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</si>
  <si>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</si>
  <si>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</si>
  <si>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</si>
  <si>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</si>
  <si>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</si>
  <si>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</si>
  <si>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</si>
  <si>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</si>
  <si>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</si>
  <si>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</si>
  <si>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</si>
  <si>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</si>
  <si>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</si>
  <si>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</si>
  <si>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</si>
  <si>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</si>
  <si>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</si>
  <si>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</si>
  <si>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</si>
  <si>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</si>
  <si>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</si>
  <si>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</si>
  <si>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</si>
  <si>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</si>
  <si>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</si>
  <si>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</si>
  <si>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</si>
  <si>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</si>
  <si>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</si>
  <si>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</si>
  <si>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</si>
  <si>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</si>
  <si>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</si>
  <si>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</si>
  <si>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</si>
  <si>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</si>
  <si>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</si>
  <si>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</si>
  <si>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</si>
  <si>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</si>
  <si>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</si>
  <si>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</si>
  <si>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</si>
  <si>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</si>
  <si>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</si>
  <si>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</si>
  <si>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</si>
  <si>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</si>
  <si>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</si>
  <si>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</si>
  <si>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</si>
  <si>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</si>
  <si>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</si>
  <si>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</si>
  <si>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</si>
  <si>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</si>
  <si>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</si>
  <si>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</si>
  <si>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</si>
  <si>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</si>
  <si>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</si>
  <si>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</si>
  <si>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</si>
  <si>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</si>
  <si>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</si>
  <si>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</si>
  <si>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</si>
  <si>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</si>
  <si>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</si>
  <si>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</si>
  <si>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</si>
  <si>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</si>
  <si>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</si>
  <si>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</si>
  <si>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</si>
  <si>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</si>
  <si>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</si>
  <si>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</si>
  <si>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</si>
  <si>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</si>
  <si>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</si>
  <si>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</si>
  <si>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</si>
  <si>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</si>
  <si>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</si>
  <si>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</si>
  <si>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</si>
  <si>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</si>
  <si>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</si>
  <si>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</si>
  <si>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</si>
  <si>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</si>
  <si>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</si>
  <si>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</si>
  <si>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</si>
  <si>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</si>
  <si>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</si>
  <si>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</si>
  <si>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</si>
  <si>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</si>
  <si>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</si>
  <si>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</si>
  <si>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</si>
  <si>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</si>
  <si>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</si>
  <si>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</si>
  <si>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</si>
  <si>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</si>
  <si>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</si>
  <si>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</si>
  <si>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</si>
  <si>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</si>
  <si>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</si>
  <si>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</si>
  <si>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</si>
  <si>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</si>
  <si>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</si>
  <si>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</si>
  <si>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</si>
  <si>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</si>
  <si>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</si>
  <si>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</si>
  <si>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</si>
  <si>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</si>
  <si>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</si>
  <si>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</si>
  <si>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</si>
  <si>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</si>
  <si>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</si>
  <si>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</si>
  <si>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</si>
  <si>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</si>
  <si>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</si>
  <si>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</si>
  <si>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</si>
  <si>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</si>
  <si>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</si>
  <si>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</si>
  <si>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</si>
  <si>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</si>
  <si>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</si>
  <si>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</si>
  <si>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</si>
  <si>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</si>
  <si>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</si>
  <si>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</si>
  <si>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</si>
  <si>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</si>
  <si>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</si>
  <si>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</si>
  <si>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</si>
  <si>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</si>
  <si>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</si>
  <si>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</si>
  <si>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</si>
  <si>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</si>
  <si>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</si>
  <si>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</si>
  <si>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</si>
  <si>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</si>
  <si>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</si>
  <si>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</si>
  <si>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</si>
  <si>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</si>
  <si>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</si>
  <si>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</si>
  <si>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</si>
  <si>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</si>
  <si>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</si>
  <si>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</si>
  <si>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</si>
  <si>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</si>
  <si>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</si>
  <si>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</si>
  <si>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</si>
  <si>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</si>
  <si>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</si>
  <si>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</si>
  <si>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</si>
  <si>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</si>
  <si>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</si>
  <si>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</si>
  <si>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</si>
  <si>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</si>
  <si>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</si>
  <si>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</si>
  <si>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</si>
  <si>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</si>
  <si>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</si>
  <si>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</si>
  <si>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</si>
  <si>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</si>
  <si>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</si>
  <si>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</si>
  <si>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</si>
  <si>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</si>
  <si>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</si>
  <si>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</si>
  <si>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</si>
  <si>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</si>
  <si>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</si>
  <si>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</si>
  <si>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</si>
  <si>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</si>
  <si>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</si>
  <si>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</si>
  <si>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</si>
  <si>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</si>
  <si>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</si>
  <si>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</si>
  <si>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</si>
  <si>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</si>
  <si>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</si>
  <si>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</si>
  <si>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</si>
  <si>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</si>
  <si>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</si>
  <si>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</si>
  <si>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</si>
  <si>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</si>
  <si>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</si>
  <si>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</si>
  <si>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</si>
  <si>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</si>
  <si>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</si>
  <si>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</si>
  <si>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</si>
  <si>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</si>
  <si>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</si>
  <si>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</si>
  <si>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</si>
  <si>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</si>
  <si>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</si>
  <si>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</si>
  <si>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</si>
  <si>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</si>
  <si>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</si>
  <si>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</si>
  <si>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</si>
  <si>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</si>
  <si>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</si>
  <si>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</si>
  <si>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</si>
  <si>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</si>
  <si>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</si>
  <si>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</si>
  <si>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</si>
  <si>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</si>
  <si>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</si>
  <si>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</si>
  <si>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</si>
  <si>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</si>
  <si>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</si>
  <si>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</si>
  <si>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</si>
  <si>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</si>
  <si>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</si>
  <si>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</si>
  <si>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</si>
  <si>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</si>
  <si>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</si>
  <si>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</si>
  <si>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</si>
  <si>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</si>
  <si>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</si>
  <si>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</si>
  <si>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</si>
  <si>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</si>
  <si>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</si>
  <si>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</si>
  <si>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</si>
  <si>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</si>
  <si>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</si>
  <si>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</si>
  <si>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</si>
  <si>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</si>
  <si>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</si>
  <si>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</si>
  <si>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</si>
  <si>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</si>
  <si>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</si>
  <si>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</si>
  <si>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</si>
  <si>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</si>
  <si>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</si>
  <si>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</si>
  <si>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</si>
  <si>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</si>
  <si>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</si>
  <si>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</si>
  <si>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</si>
  <si>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</si>
  <si>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</si>
  <si>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</si>
  <si>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</si>
  <si>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</si>
  <si>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</si>
  <si>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</si>
  <si>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</si>
  <si>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</si>
  <si>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</si>
  <si>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</si>
  <si>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</si>
  <si>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</si>
  <si>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</si>
  <si>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</si>
  <si>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</si>
  <si>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</si>
  <si>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</si>
  <si>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</si>
  <si>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</si>
  <si>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</si>
  <si>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</si>
  <si>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</si>
  <si>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</si>
  <si>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Not tested - Due to Adverse Events</t>
  </si>
  <si>
    <t>F01-085</t>
  </si>
  <si>
    <t>F01-250</t>
  </si>
  <si>
    <t>F01-1241</t>
  </si>
  <si>
    <t>F01-1251</t>
  </si>
  <si>
    <t>Testing Results - unassisted</t>
  </si>
  <si>
    <t>F01-37</t>
  </si>
  <si>
    <t>F01-38</t>
  </si>
  <si>
    <r>
      <t xml:space="preserve">Testing Results - </t>
    </r>
    <r>
      <rPr>
        <sz val="20"/>
        <color rgb="FFFF0000"/>
        <rFont val="Calibri"/>
        <family val="2"/>
        <scheme val="minor"/>
      </rPr>
      <t>Directly Assisted</t>
    </r>
  </si>
  <si>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</si>
  <si>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</si>
  <si>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</si>
  <si>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</si>
  <si>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</si>
  <si>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</si>
  <si>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</si>
  <si>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</si>
  <si>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</si>
  <si>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</si>
  <si>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</si>
  <si>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</si>
  <si>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</si>
  <si>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</si>
  <si>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</si>
  <si>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</si>
  <si>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</si>
  <si>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</si>
  <si>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</si>
  <si>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</si>
  <si>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</si>
  <si>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</si>
  <si>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</si>
  <si>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</si>
  <si>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</si>
  <si>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</si>
  <si>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</si>
  <si>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</si>
  <si>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</si>
  <si>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</si>
  <si>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</si>
  <si>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</si>
  <si>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</si>
  <si>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</si>
  <si>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</si>
  <si>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</si>
  <si>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</si>
  <si>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</si>
  <si>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</si>
  <si>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</si>
  <si>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</si>
  <si>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</si>
  <si>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</si>
  <si>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</si>
  <si>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</si>
  <si>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</si>
  <si>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</si>
  <si>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</si>
  <si>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</si>
  <si>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</si>
  <si>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</si>
  <si>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</si>
  <si>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</si>
  <si>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</si>
  <si>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</si>
  <si>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</si>
  <si>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</si>
  <si>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</si>
  <si>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</si>
  <si>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</si>
  <si>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</si>
  <si>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</si>
  <si>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</si>
  <si>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</si>
  <si>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</si>
  <si>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Form 1A  version 7.0.1</t>
  </si>
  <si>
    <t xml:space="preserve">Initiated on TPT this month (Rifampcin &amp; Rifapentine) </t>
  </si>
  <si>
    <t>Referred for treatment</t>
  </si>
  <si>
    <r>
      <rPr>
        <sz val="20"/>
        <color rgb="FFFF0000"/>
        <rFont val="Calibri"/>
        <family val="2"/>
        <scheme val="minor"/>
      </rPr>
      <t>Initial</t>
    </r>
    <r>
      <rPr>
        <sz val="20"/>
        <color theme="1"/>
        <rFont val="Calibri"/>
        <family val="2"/>
        <scheme val="minor"/>
      </rPr>
      <t xml:space="preserve"> Start HAART at L&amp;D</t>
    </r>
  </si>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</sst>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
      <sz val="22"/>
      <color rgb="FFFF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288">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39" xfId="0" applyFont="1" applyBorder="1" applyAlignment="1" applyProtection="1">
      <alignment horizontal="center" vertical="center"/>
      <protection locked="0"/>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49" fontId="8" fillId="6" borderId="22" xfId="0" applyNumberFormat="1" applyFont="1" applyFill="1" applyBorder="1" applyAlignment="1">
      <alignment horizontal="left" vertical="center" wrapText="1"/>
    </xf>
    <xf numFmtId="49" fontId="14" fillId="4" borderId="7" xfId="1" applyNumberFormat="1" applyFont="1" applyFill="1" applyBorder="1" applyAlignment="1">
      <alignment horizontal="center" vertical="center"/>
    </xf>
    <xf numFmtId="49" fontId="14" fillId="4" borderId="6" xfId="1" applyNumberFormat="1" applyFont="1" applyFill="1" applyBorder="1" applyAlignment="1">
      <alignment horizontal="center" vertical="center"/>
    </xf>
    <xf numFmtId="0" fontId="5" fillId="5" borderId="0" xfId="0" applyFont="1" applyFill="1" applyAlignment="1"/>
    <xf numFmtId="49" fontId="14" fillId="4" borderId="35" xfId="1" applyNumberFormat="1" applyFont="1" applyFill="1" applyBorder="1" applyAlignment="1">
      <alignment horizontal="center" vertical="center"/>
    </xf>
    <xf numFmtId="0" fontId="7" fillId="3" borderId="8" xfId="0" applyFont="1" applyFill="1" applyBorder="1" applyAlignment="1" applyProtection="1">
      <alignment horizontal="center" vertical="center"/>
    </xf>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0" fontId="7" fillId="5" borderId="28" xfId="0" applyFont="1" applyFill="1" applyBorder="1" applyAlignment="1">
      <alignment horizontal="left" vertical="center" wrapText="1"/>
    </xf>
    <xf numFmtId="49" fontId="8" fillId="6" borderId="29" xfId="0" applyNumberFormat="1" applyFont="1" applyFill="1" applyBorder="1" applyAlignment="1">
      <alignment horizontal="left" vertical="center" wrapText="1"/>
    </xf>
    <xf numFmtId="0" fontId="8" fillId="2" borderId="22" xfId="0" applyFont="1" applyFill="1" applyBorder="1" applyAlignment="1">
      <alignmen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8" fillId="6" borderId="139" xfId="0"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12" borderId="97" xfId="0" applyFont="1" applyFill="1" applyBorder="1" applyAlignment="1">
      <alignment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44" fillId="0" borderId="0"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5" borderId="60" xfId="0" applyFont="1" applyFill="1" applyBorder="1" applyAlignment="1">
      <alignment vertical="top" wrapText="1"/>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41"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16" fillId="4" borderId="25"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9" fillId="0" borderId="213" xfId="0" applyFont="1" applyBorder="1" applyAlignment="1">
      <alignment horizontal="left" vertical="center" wrapText="1"/>
    </xf>
    <xf numFmtId="0" fontId="16" fillId="0" borderId="53" xfId="0" applyFont="1" applyBorder="1" applyAlignment="1">
      <alignment horizontal="left" vertical="center" wrapText="1"/>
    </xf>
    <xf numFmtId="0" fontId="9" fillId="0" borderId="52" xfId="0" applyFont="1" applyBorder="1" applyAlignment="1">
      <alignment horizontal="left" vertical="center" wrapText="1"/>
    </xf>
    <xf numFmtId="0" fontId="16" fillId="0" borderId="43" xfId="0" applyFont="1" applyBorder="1" applyAlignment="1">
      <alignment horizontal="left" vertical="center" wrapText="1"/>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10" xfId="0" applyFont="1" applyFill="1" applyBorder="1" applyAlignment="1">
      <alignment vertical="center" wrapText="1"/>
    </xf>
    <xf numFmtId="0" fontId="7" fillId="12" borderId="49" xfId="0" applyFont="1" applyFill="1" applyBorder="1" applyAlignment="1">
      <alignment vertical="top" wrapText="1"/>
    </xf>
    <xf numFmtId="0" fontId="7" fillId="6" borderId="54" xfId="0" applyFont="1" applyFill="1" applyBorder="1" applyAlignment="1">
      <alignment vertical="top" wrapText="1"/>
    </xf>
    <xf numFmtId="0" fontId="7" fillId="5" borderId="59" xfId="0" applyFont="1" applyFill="1" applyBorder="1" applyAlignment="1">
      <alignment vertical="top" wrapText="1"/>
    </xf>
    <xf numFmtId="0" fontId="7" fillId="5" borderId="10" xfId="0" applyFont="1" applyFill="1" applyBorder="1" applyAlignment="1">
      <alignment vertical="top" wrapText="1"/>
    </xf>
    <xf numFmtId="0" fontId="7" fillId="0" borderId="10" xfId="0" applyFont="1" applyBorder="1" applyAlignment="1">
      <alignment vertical="top" wrapText="1"/>
    </xf>
    <xf numFmtId="0" fontId="7" fillId="0" borderId="59" xfId="0" applyFont="1" applyBorder="1" applyAlignment="1">
      <alignment vertical="top" wrapText="1"/>
    </xf>
    <xf numFmtId="0" fontId="7" fillId="5" borderId="27" xfId="0" applyFont="1" applyFill="1" applyBorder="1" applyAlignment="1">
      <alignment vertical="center" wrapText="1"/>
    </xf>
    <xf numFmtId="0" fontId="9" fillId="0" borderId="0" xfId="0" applyFont="1" applyAlignment="1">
      <alignment vertical="top" wrapText="1"/>
    </xf>
    <xf numFmtId="0" fontId="29" fillId="0" borderId="0" xfId="0" applyFont="1" applyAlignment="1">
      <alignment vertical="top" wrapText="1"/>
    </xf>
    <xf numFmtId="0" fontId="38" fillId="0" borderId="0" xfId="0" applyFont="1" applyAlignment="1">
      <alignment vertical="top" wrapText="1"/>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9" fillId="0" borderId="25" xfId="0" applyFont="1" applyBorder="1" applyAlignment="1">
      <alignment horizontal="left" vertical="center" wrapText="1"/>
    </xf>
    <xf numFmtId="0" fontId="8" fillId="0" borderId="38" xfId="0" applyFont="1" applyBorder="1" applyAlignment="1">
      <alignment vertical="top"/>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16" fillId="4" borderId="234" xfId="0" applyFont="1" applyFill="1" applyBorder="1" applyAlignment="1">
      <alignment vertical="center"/>
    </xf>
    <xf numFmtId="0" fontId="16" fillId="4" borderId="237" xfId="0" applyFont="1" applyFill="1" applyBorder="1" applyAlignment="1">
      <alignment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8" fillId="2" borderId="43" xfId="0" applyFont="1" applyFill="1" applyBorder="1" applyAlignment="1">
      <alignment vertical="top"/>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16" fillId="4" borderId="238" xfId="0" applyFont="1" applyFill="1" applyBorder="1" applyAlignment="1">
      <alignment vertical="center"/>
    </xf>
    <xf numFmtId="0" fontId="16" fillId="4" borderId="40" xfId="0" applyFont="1" applyFill="1" applyBorder="1" applyAlignment="1">
      <alignment vertical="center"/>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9" fillId="5" borderId="233" xfId="0" applyFont="1" applyFill="1" applyBorder="1" applyAlignment="1">
      <alignment horizontal="left" vertical="center" wrapText="1"/>
    </xf>
    <xf numFmtId="0" fontId="9" fillId="5" borderId="41" xfId="0" applyFont="1" applyFill="1" applyBorder="1" applyAlignment="1">
      <alignment horizontal="left" vertical="center" wrapText="1"/>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48" fillId="0" borderId="53" xfId="0" applyFont="1" applyBorder="1" applyAlignment="1">
      <alignment horizontal="left" vertical="center" wrapText="1"/>
    </xf>
    <xf numFmtId="0" fontId="42" fillId="0" borderId="52" xfId="0" applyFont="1" applyBorder="1" applyAlignment="1">
      <alignment horizontal="left" vertical="center" wrapText="1"/>
    </xf>
    <xf numFmtId="0" fontId="42" fillId="4" borderId="75" xfId="0" applyFont="1" applyFill="1" applyBorder="1" applyAlignment="1">
      <alignment vertical="center"/>
    </xf>
    <xf numFmtId="0" fontId="16" fillId="0" borderId="224" xfId="0" applyFont="1" applyBorder="1" applyAlignment="1">
      <alignment horizontal="left" vertical="center" wrapText="1"/>
    </xf>
    <xf numFmtId="0" fontId="16" fillId="0" borderId="170" xfId="0" applyFont="1" applyBorder="1" applyAlignment="1">
      <alignment horizontal="left" vertical="center" wrapText="1"/>
    </xf>
    <xf numFmtId="0" fontId="16" fillId="4" borderId="225" xfId="0" applyFont="1" applyFill="1" applyBorder="1" applyAlignment="1">
      <alignment vertical="center"/>
    </xf>
    <xf numFmtId="0" fontId="16" fillId="4" borderId="228" xfId="0" applyFont="1" applyFill="1" applyBorder="1" applyAlignment="1">
      <alignment vertical="center"/>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8" fillId="6" borderId="28" xfId="0" applyFont="1" applyFill="1" applyBorder="1" applyAlignment="1">
      <alignment horizontal="center" vertical="center"/>
    </xf>
    <xf numFmtId="0" fontId="8" fillId="6" borderId="29" xfId="0" applyFont="1" applyFill="1" applyBorder="1" applyAlignment="1">
      <alignment horizontal="center" vertical="center"/>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16" fillId="0" borderId="40" xfId="0" applyFont="1" applyBorder="1" applyAlignment="1">
      <alignment vertical="top"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6" fillId="4" borderId="41" xfId="0" applyFont="1" applyFill="1" applyBorder="1" applyAlignment="1">
      <alignment vertical="center"/>
    </xf>
    <xf numFmtId="0" fontId="16" fillId="4" borderId="61" xfId="0" applyFont="1" applyFill="1" applyBorder="1" applyAlignment="1">
      <alignment vertical="center"/>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16" fillId="0" borderId="40" xfId="0" applyFont="1" applyBorder="1" applyAlignment="1">
      <alignment vertical="top"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5" borderId="60" xfId="0" applyFont="1" applyFill="1" applyBorder="1" applyAlignment="1">
      <alignment vertical="top" wrapText="1"/>
    </xf>
    <xf numFmtId="0" fontId="7" fillId="4" borderId="27" xfId="0" applyFont="1" applyFill="1" applyBorder="1" applyAlignment="1">
      <alignment vertical="center"/>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5" borderId="91" xfId="0" applyFont="1" applyFill="1" applyBorder="1" applyAlignment="1">
      <alignment vertical="center" wrapText="1"/>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0" borderId="91" xfId="0" applyFont="1" applyBorder="1" applyAlignment="1">
      <alignment vertical="center" wrapText="1"/>
    </xf>
    <xf numFmtId="0" fontId="38" fillId="0" borderId="59" xfId="0" applyFont="1" applyBorder="1" applyAlignment="1">
      <alignment vertical="top" wrapText="1"/>
    </xf>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9" fillId="5" borderId="233" xfId="0" applyFont="1" applyFill="1" applyBorder="1" applyAlignment="1">
      <alignment vertical="center" wrapText="1"/>
    </xf>
    <xf numFmtId="0" fontId="9"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6" fillId="0" borderId="40" xfId="0" applyFont="1" applyBorder="1" applyAlignment="1">
      <alignment vertical="top" wrapText="1"/>
    </xf>
    <xf numFmtId="0" fontId="16" fillId="0" borderId="25" xfId="0" applyFont="1" applyBorder="1" applyAlignment="1">
      <alignment vertical="top" wrapText="1"/>
    </xf>
    <xf numFmtId="0" fontId="16" fillId="0" borderId="23" xfId="0" applyFont="1" applyBorder="1" applyAlignment="1">
      <alignmen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16" fillId="0" borderId="59" xfId="0" applyFont="1" applyBorder="1" applyAlignment="1">
      <alignment vertical="top" wrapText="1"/>
    </xf>
    <xf numFmtId="0" fontId="16" fillId="0" borderId="60"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6" fillId="0" borderId="54" xfId="0" applyFont="1" applyBorder="1" applyAlignment="1">
      <alignment vertical="top"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29" fillId="5"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42" fillId="5" borderId="91" xfId="0" applyFont="1" applyFill="1" applyBorder="1" applyAlignment="1">
      <alignment vertical="center" wrapText="1"/>
    </xf>
    <xf numFmtId="0" fontId="29" fillId="0" borderId="91" xfId="0" applyFont="1" applyBorder="1" applyAlignment="1">
      <alignment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29" fillId="0" borderId="91" xfId="0" applyFont="1" applyFill="1" applyBorder="1" applyAlignment="1">
      <alignment vertical="center"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vertical="top" wrapText="1"/>
    </xf>
    <xf numFmtId="0" fontId="18" fillId="5" borderId="25" xfId="0" applyFont="1" applyFill="1" applyBorder="1" applyAlignment="1">
      <alignment vertical="top" wrapText="1"/>
    </xf>
    <xf numFmtId="0" fontId="18" fillId="5" borderId="41" xfId="0" applyFont="1" applyFill="1" applyBorder="1" applyAlignment="1">
      <alignmen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16" fillId="0" borderId="40" xfId="0" applyFont="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vertical="top" wrapText="1"/>
    </xf>
    <xf numFmtId="0" fontId="8" fillId="2" borderId="25" xfId="0" applyFont="1" applyFill="1" applyBorder="1" applyAlignment="1">
      <alignmen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vertical="top" wrapText="1"/>
    </xf>
    <xf numFmtId="0" fontId="7" fillId="5" borderId="24" xfId="0" applyFont="1" applyFill="1" applyBorder="1" applyAlignment="1">
      <alignment vertical="top" wrapText="1"/>
    </xf>
    <xf numFmtId="0" fontId="7" fillId="5" borderId="25" xfId="0" applyFont="1" applyFill="1" applyBorder="1" applyAlignment="1">
      <alignmen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vertical="top" wrapText="1"/>
    </xf>
    <xf numFmtId="0" fontId="7" fillId="4" borderId="25" xfId="0" applyFont="1" applyFill="1" applyBorder="1" applyAlignment="1">
      <alignment vertical="center"/>
    </xf>
    <xf numFmtId="0" fontId="7" fillId="5" borderId="59" xfId="0" applyFont="1" applyFill="1" applyBorder="1" applyAlignment="1">
      <alignment vertical="top" wrapText="1"/>
    </xf>
    <xf numFmtId="0" fontId="7" fillId="5" borderId="49" xfId="0" applyFont="1" applyFill="1" applyBorder="1" applyAlignment="1">
      <alignment vertical="top" wrapText="1"/>
    </xf>
    <xf numFmtId="0" fontId="7" fillId="5" borderId="60" xfId="0" applyFont="1" applyFill="1" applyBorder="1" applyAlignment="1">
      <alignment vertical="top" wrapText="1"/>
    </xf>
    <xf numFmtId="0" fontId="7" fillId="0" borderId="25" xfId="0" applyFont="1" applyBorder="1" applyAlignment="1">
      <alignment vertical="top" wrapText="1"/>
    </xf>
    <xf numFmtId="0" fontId="8" fillId="6" borderId="232" xfId="0" applyFont="1" applyFill="1" applyBorder="1" applyAlignment="1">
      <alignment vertical="top" wrapText="1"/>
    </xf>
    <xf numFmtId="0" fontId="8" fillId="6" borderId="235" xfId="0" applyFont="1" applyFill="1" applyBorder="1" applyAlignment="1">
      <alignment vertical="top" wrapText="1"/>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vertical="top" wrapText="1"/>
    </xf>
    <xf numFmtId="0" fontId="7" fillId="12" borderId="57" xfId="0" applyFont="1" applyFill="1" applyBorder="1" applyAlignment="1">
      <alignment vertical="top" wrapText="1"/>
    </xf>
    <xf numFmtId="0" fontId="7" fillId="12" borderId="58" xfId="0" applyFont="1" applyFill="1" applyBorder="1" applyAlignment="1">
      <alignmen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49" fontId="18" fillId="4" borderId="71" xfId="1" applyNumberFormat="1" applyFont="1" applyFill="1" applyBorder="1" applyAlignment="1">
      <alignment horizontal="center" vertical="center"/>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12" borderId="62" xfId="0" applyFont="1" applyFill="1" applyBorder="1" applyAlignment="1">
      <alignment vertical="top" wrapText="1"/>
    </xf>
    <xf numFmtId="0" fontId="7" fillId="0" borderId="48" xfId="0" applyFont="1" applyBorder="1" applyAlignment="1">
      <alignment vertical="top" wrapText="1"/>
    </xf>
    <xf numFmtId="0" fontId="7" fillId="0" borderId="40" xfId="0" applyFont="1" applyBorder="1" applyAlignment="1">
      <alignment vertical="top" wrapText="1"/>
    </xf>
    <xf numFmtId="0" fontId="8" fillId="5" borderId="23" xfId="0" applyFont="1" applyFill="1" applyBorder="1" applyAlignment="1">
      <alignment vertical="top" wrapText="1"/>
    </xf>
    <xf numFmtId="0" fontId="8" fillId="5" borderId="24" xfId="0" applyFont="1" applyFill="1" applyBorder="1" applyAlignment="1">
      <alignment vertical="top" wrapText="1"/>
    </xf>
    <xf numFmtId="0" fontId="8" fillId="5" borderId="25" xfId="0" applyFont="1" applyFill="1" applyBorder="1" applyAlignment="1">
      <alignment vertical="top" wrapText="1"/>
    </xf>
    <xf numFmtId="0" fontId="8" fillId="5" borderId="41" xfId="0" applyFont="1" applyFill="1" applyBorder="1" applyAlignment="1">
      <alignmen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vertical="top" wrapText="1"/>
    </xf>
    <xf numFmtId="0" fontId="8" fillId="5" borderId="40" xfId="0" applyFont="1" applyFill="1" applyBorder="1" applyAlignment="1">
      <alignment vertical="top" wrapText="1"/>
    </xf>
    <xf numFmtId="0" fontId="8" fillId="0" borderId="44" xfId="0" applyFont="1" applyBorder="1" applyAlignment="1">
      <alignment vertical="top" wrapText="1"/>
    </xf>
    <xf numFmtId="0" fontId="8" fillId="0" borderId="28" xfId="0" applyFont="1" applyBorder="1" applyAlignment="1">
      <alignment vertical="top" wrapText="1"/>
    </xf>
    <xf numFmtId="0" fontId="8" fillId="0" borderId="29" xfId="0" applyFont="1" applyBorder="1" applyAlignment="1">
      <alignmen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vertical="top" wrapText="1"/>
    </xf>
    <xf numFmtId="0" fontId="7" fillId="0" borderId="29" xfId="0" applyFont="1" applyBorder="1" applyAlignment="1">
      <alignmen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8" fillId="0" borderId="59" xfId="0" applyFont="1" applyBorder="1" applyAlignment="1">
      <alignment vertical="center" wrapText="1"/>
    </xf>
    <xf numFmtId="0" fontId="8" fillId="0" borderId="49" xfId="0" applyFont="1" applyBorder="1" applyAlignment="1">
      <alignment vertical="center" wrapText="1"/>
    </xf>
    <xf numFmtId="0" fontId="8" fillId="0" borderId="48" xfId="0" applyFont="1" applyBorder="1" applyAlignment="1">
      <alignment vertical="center" wrapText="1"/>
    </xf>
    <xf numFmtId="0" fontId="8" fillId="0" borderId="79" xfId="0" applyFont="1" applyBorder="1" applyAlignment="1">
      <alignment vertical="center" wrapText="1"/>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25" xfId="0" applyFont="1" applyBorder="1" applyAlignment="1">
      <alignment vertical="top" wrapText="1"/>
    </xf>
    <xf numFmtId="0" fontId="8" fillId="5" borderId="27" xfId="0" applyFont="1" applyFill="1" applyBorder="1" applyAlignment="1">
      <alignment vertical="top" wrapText="1"/>
    </xf>
    <xf numFmtId="0" fontId="8" fillId="5" borderId="29" xfId="0" applyFont="1" applyFill="1" applyBorder="1" applyAlignment="1">
      <alignmen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vertical="top" wrapText="1"/>
    </xf>
    <xf numFmtId="0" fontId="9" fillId="5" borderId="60" xfId="0" applyFont="1" applyFill="1" applyBorder="1" applyAlignment="1">
      <alignment vertical="top"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8" fillId="0" borderId="41" xfId="0" applyFont="1" applyBorder="1" applyAlignment="1">
      <alignment vertical="top" wrapText="1"/>
    </xf>
    <xf numFmtId="0" fontId="8" fillId="0" borderId="23" xfId="0" applyFont="1" applyBorder="1" applyAlignment="1">
      <alignment vertical="center" wrapText="1"/>
    </xf>
    <xf numFmtId="0" fontId="8" fillId="0" borderId="25" xfId="0" applyFont="1" applyBorder="1" applyAlignment="1">
      <alignment vertical="center" wrapText="1"/>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26" xfId="0" applyFont="1" applyBorder="1" applyAlignment="1">
      <alignment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vertical="top" wrapText="1"/>
    </xf>
    <xf numFmtId="0" fontId="7" fillId="0" borderId="28" xfId="0" applyFont="1" applyBorder="1" applyAlignment="1">
      <alignmen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cellXfs>
  <cellStyles count="4">
    <cellStyle name="Hyperlink" xfId="3" builtinId="8"/>
    <cellStyle name="Neutral" xfId="2" builtinId="28"/>
    <cellStyle name="Normal" xfId="0" builtinId="0"/>
    <cellStyle name="Normal 3" xfId="1"/>
  </cellStyles>
  <dxfs count="1911">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10"/>
      <tableStyleElement type="headerRow" dxfId="19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D16" sqref="D16"/>
    </sheetView>
  </sheetViews>
  <sheetFormatPr defaultColWidth="9" defaultRowHeight="28.5" x14ac:dyDescent="0.45"/>
  <cols>
    <col min="1" max="1" width="6.42578125" style="415" customWidth="1"/>
    <col min="2" max="2" width="66.42578125" style="808" customWidth="1" collapsed="1"/>
    <col min="3" max="3" width="79.5703125" style="468" customWidth="1" collapsed="1"/>
    <col min="4" max="4" width="20.140625" style="824" bestFit="1" customWidth="1" collapsed="1"/>
    <col min="5" max="5" width="116.140625" style="469" customWidth="1" collapsed="1"/>
    <col min="6" max="6" width="86" style="470" customWidth="1" collapsed="1"/>
    <col min="7" max="35" width="9" style="876"/>
    <col min="36" max="139" width="9" style="876" collapsed="1"/>
    <col min="140" max="16384" width="9" style="415" collapsed="1"/>
  </cols>
  <sheetData>
    <row r="1" spans="2:139" ht="79.5" customHeight="1" x14ac:dyDescent="0.45">
      <c r="B1" s="951" t="s">
        <v>110</v>
      </c>
      <c r="C1" s="952"/>
      <c r="D1" s="952"/>
      <c r="E1" s="952"/>
      <c r="F1" s="882"/>
    </row>
    <row r="2" spans="2:139" s="416" customFormat="1" x14ac:dyDescent="0.45">
      <c r="B2" s="806" t="s">
        <v>37</v>
      </c>
      <c r="C2" s="417" t="s">
        <v>38</v>
      </c>
      <c r="D2" s="809" t="s">
        <v>142</v>
      </c>
      <c r="E2" s="418" t="s">
        <v>36</v>
      </c>
      <c r="F2" s="883" t="s">
        <v>131</v>
      </c>
      <c r="G2" s="885"/>
      <c r="H2" s="885"/>
      <c r="I2" s="885"/>
      <c r="J2" s="885"/>
      <c r="K2" s="885"/>
      <c r="L2" s="885"/>
      <c r="M2" s="885"/>
      <c r="N2" s="885"/>
      <c r="O2" s="885"/>
      <c r="P2" s="885"/>
      <c r="Q2" s="885"/>
      <c r="R2" s="885"/>
      <c r="S2" s="885"/>
      <c r="T2" s="885"/>
      <c r="U2" s="885"/>
      <c r="V2" s="885"/>
      <c r="W2" s="885"/>
      <c r="X2" s="885"/>
      <c r="Y2" s="885"/>
      <c r="Z2" s="885"/>
      <c r="AA2" s="885"/>
      <c r="AB2" s="885"/>
      <c r="AC2" s="885"/>
      <c r="AD2" s="885"/>
      <c r="AE2" s="885"/>
      <c r="AF2" s="885"/>
      <c r="AG2" s="885"/>
      <c r="AH2" s="885"/>
      <c r="AI2" s="885"/>
      <c r="AJ2" s="885"/>
      <c r="AK2" s="885"/>
      <c r="AL2" s="885"/>
      <c r="AM2" s="885"/>
      <c r="AN2" s="885"/>
      <c r="AO2" s="885"/>
      <c r="AP2" s="885"/>
      <c r="AQ2" s="885"/>
      <c r="AR2" s="885"/>
      <c r="AS2" s="885"/>
      <c r="AT2" s="885"/>
      <c r="AU2" s="885"/>
      <c r="AV2" s="885"/>
      <c r="AW2" s="885"/>
      <c r="AX2" s="885"/>
      <c r="AY2" s="885"/>
      <c r="AZ2" s="885"/>
      <c r="BA2" s="885"/>
      <c r="BB2" s="885"/>
      <c r="BC2" s="885"/>
      <c r="BD2" s="885"/>
      <c r="BE2" s="885"/>
      <c r="BF2" s="885"/>
      <c r="BG2" s="885"/>
      <c r="BH2" s="885"/>
      <c r="BI2" s="885"/>
      <c r="BJ2" s="885"/>
      <c r="BK2" s="885"/>
      <c r="BL2" s="885"/>
      <c r="BM2" s="885"/>
      <c r="BN2" s="885"/>
      <c r="BO2" s="885"/>
      <c r="BP2" s="885"/>
      <c r="BQ2" s="885"/>
      <c r="BR2" s="885"/>
      <c r="BS2" s="885"/>
      <c r="BT2" s="885"/>
      <c r="BU2" s="885"/>
      <c r="BV2" s="885"/>
      <c r="BW2" s="885"/>
      <c r="BX2" s="885"/>
      <c r="BY2" s="885"/>
      <c r="BZ2" s="885"/>
      <c r="CA2" s="885"/>
      <c r="CB2" s="885"/>
      <c r="CC2" s="885"/>
      <c r="CD2" s="885"/>
      <c r="CE2" s="885"/>
      <c r="CF2" s="885"/>
      <c r="CG2" s="885"/>
      <c r="CH2" s="885"/>
      <c r="CI2" s="885"/>
      <c r="CJ2" s="885"/>
      <c r="CK2" s="885"/>
      <c r="CL2" s="885"/>
      <c r="CM2" s="885"/>
      <c r="CN2" s="885"/>
      <c r="CO2" s="885"/>
      <c r="CP2" s="885"/>
      <c r="CQ2" s="885"/>
      <c r="CR2" s="885"/>
      <c r="CS2" s="885"/>
      <c r="CT2" s="885"/>
      <c r="CU2" s="885"/>
      <c r="CV2" s="885"/>
      <c r="CW2" s="885"/>
      <c r="CX2" s="885"/>
      <c r="CY2" s="885"/>
      <c r="CZ2" s="885"/>
      <c r="DA2" s="885"/>
      <c r="DB2" s="885"/>
      <c r="DC2" s="885"/>
      <c r="DD2" s="885"/>
      <c r="DE2" s="885"/>
      <c r="DF2" s="885"/>
      <c r="DG2" s="885"/>
      <c r="DH2" s="885"/>
      <c r="DI2" s="885"/>
      <c r="DJ2" s="885"/>
      <c r="DK2" s="885"/>
      <c r="DL2" s="885"/>
      <c r="DM2" s="885"/>
      <c r="DN2" s="885"/>
      <c r="DO2" s="885"/>
      <c r="DP2" s="885"/>
      <c r="DQ2" s="885"/>
      <c r="DR2" s="885"/>
      <c r="DS2" s="885"/>
      <c r="DT2" s="885"/>
      <c r="DU2" s="885"/>
      <c r="DV2" s="885"/>
      <c r="DW2" s="885"/>
      <c r="DX2" s="885"/>
      <c r="DY2" s="885"/>
      <c r="DZ2" s="885"/>
      <c r="EA2" s="885"/>
      <c r="EB2" s="885"/>
      <c r="EC2" s="885"/>
      <c r="ED2" s="885"/>
      <c r="EE2" s="885"/>
      <c r="EF2" s="885"/>
      <c r="EG2" s="885"/>
      <c r="EH2" s="885"/>
      <c r="EI2" s="885"/>
    </row>
    <row r="3" spans="2:139" s="416" customFormat="1" ht="7.5" customHeight="1" x14ac:dyDescent="0.45">
      <c r="B3" s="807"/>
      <c r="C3" s="419"/>
      <c r="D3" s="810"/>
      <c r="E3" s="420"/>
      <c r="F3" s="884"/>
      <c r="G3" s="885"/>
      <c r="H3" s="885"/>
      <c r="I3" s="885"/>
      <c r="J3" s="885"/>
      <c r="K3" s="885"/>
      <c r="L3" s="885"/>
      <c r="M3" s="885"/>
      <c r="N3" s="885"/>
      <c r="O3" s="885"/>
      <c r="P3" s="885"/>
      <c r="Q3" s="885"/>
      <c r="R3" s="885"/>
      <c r="S3" s="885"/>
      <c r="T3" s="885"/>
      <c r="U3" s="885"/>
      <c r="V3" s="885"/>
      <c r="W3" s="885"/>
      <c r="X3" s="885"/>
      <c r="Y3" s="885"/>
      <c r="Z3" s="885"/>
      <c r="AA3" s="885"/>
      <c r="AB3" s="885"/>
      <c r="AC3" s="885"/>
      <c r="AD3" s="885"/>
      <c r="AE3" s="885"/>
      <c r="AF3" s="885"/>
      <c r="AG3" s="885"/>
      <c r="AH3" s="885"/>
      <c r="AI3" s="885"/>
      <c r="AJ3" s="885"/>
      <c r="AK3" s="885"/>
      <c r="AL3" s="885"/>
      <c r="AM3" s="885"/>
      <c r="AN3" s="885"/>
      <c r="AO3" s="885"/>
      <c r="AP3" s="885"/>
      <c r="AQ3" s="885"/>
      <c r="AR3" s="885"/>
      <c r="AS3" s="885"/>
      <c r="AT3" s="885"/>
      <c r="AU3" s="885"/>
      <c r="AV3" s="885"/>
      <c r="AW3" s="885"/>
      <c r="AX3" s="885"/>
      <c r="AY3" s="885"/>
      <c r="AZ3" s="885"/>
      <c r="BA3" s="885"/>
      <c r="BB3" s="885"/>
      <c r="BC3" s="885"/>
      <c r="BD3" s="885"/>
      <c r="BE3" s="885"/>
      <c r="BF3" s="885"/>
      <c r="BG3" s="885"/>
      <c r="BH3" s="885"/>
      <c r="BI3" s="885"/>
      <c r="BJ3" s="885"/>
      <c r="BK3" s="885"/>
      <c r="BL3" s="885"/>
      <c r="BM3" s="885"/>
      <c r="BN3" s="885"/>
      <c r="BO3" s="885"/>
      <c r="BP3" s="885"/>
      <c r="BQ3" s="885"/>
      <c r="BR3" s="885"/>
      <c r="BS3" s="885"/>
      <c r="BT3" s="885"/>
      <c r="BU3" s="885"/>
      <c r="BV3" s="885"/>
      <c r="BW3" s="885"/>
      <c r="BX3" s="885"/>
      <c r="BY3" s="885"/>
      <c r="BZ3" s="885"/>
      <c r="CA3" s="885"/>
      <c r="CB3" s="885"/>
      <c r="CC3" s="885"/>
      <c r="CD3" s="885"/>
      <c r="CE3" s="885"/>
      <c r="CF3" s="885"/>
      <c r="CG3" s="885"/>
      <c r="CH3" s="885"/>
      <c r="CI3" s="885"/>
      <c r="CJ3" s="885"/>
      <c r="CK3" s="885"/>
      <c r="CL3" s="885"/>
      <c r="CM3" s="885"/>
      <c r="CN3" s="885"/>
      <c r="CO3" s="885"/>
      <c r="CP3" s="885"/>
      <c r="CQ3" s="885"/>
      <c r="CR3" s="885"/>
      <c r="CS3" s="885"/>
      <c r="CT3" s="885"/>
      <c r="CU3" s="885"/>
      <c r="CV3" s="885"/>
      <c r="CW3" s="885"/>
      <c r="CX3" s="885"/>
      <c r="CY3" s="885"/>
      <c r="CZ3" s="885"/>
      <c r="DA3" s="885"/>
      <c r="DB3" s="885"/>
      <c r="DC3" s="885"/>
      <c r="DD3" s="885"/>
      <c r="DE3" s="885"/>
      <c r="DF3" s="885"/>
      <c r="DG3" s="885"/>
      <c r="DH3" s="885"/>
      <c r="DI3" s="885"/>
      <c r="DJ3" s="885"/>
      <c r="DK3" s="885"/>
      <c r="DL3" s="885"/>
      <c r="DM3" s="885"/>
      <c r="DN3" s="885"/>
      <c r="DO3" s="885"/>
      <c r="DP3" s="885"/>
      <c r="DQ3" s="885"/>
      <c r="DR3" s="885"/>
      <c r="DS3" s="885"/>
      <c r="DT3" s="885"/>
      <c r="DU3" s="885"/>
      <c r="DV3" s="885"/>
      <c r="DW3" s="885"/>
      <c r="DX3" s="885"/>
      <c r="DY3" s="885"/>
      <c r="DZ3" s="885"/>
      <c r="EA3" s="885"/>
      <c r="EB3" s="885"/>
      <c r="EC3" s="885"/>
      <c r="ED3" s="885"/>
      <c r="EE3" s="885"/>
      <c r="EF3" s="885"/>
      <c r="EG3" s="885"/>
      <c r="EH3" s="885"/>
      <c r="EI3" s="885"/>
    </row>
    <row r="4" spans="2:139" s="416" customFormat="1" ht="29.25" hidden="1" thickBot="1" x14ac:dyDescent="0.5">
      <c r="B4" s="963" t="s">
        <v>468</v>
      </c>
      <c r="C4" s="964"/>
      <c r="D4" s="964"/>
      <c r="E4" s="964"/>
      <c r="F4" s="965"/>
      <c r="G4" s="885"/>
      <c r="H4" s="885"/>
      <c r="I4" s="885"/>
      <c r="J4" s="885"/>
      <c r="K4" s="885"/>
      <c r="L4" s="885"/>
      <c r="M4" s="885"/>
      <c r="N4" s="885"/>
      <c r="O4" s="885"/>
      <c r="P4" s="885"/>
      <c r="Q4" s="885"/>
      <c r="R4" s="885"/>
      <c r="S4" s="885"/>
      <c r="T4" s="885"/>
      <c r="U4" s="885"/>
      <c r="V4" s="885"/>
      <c r="W4" s="885"/>
      <c r="X4" s="885"/>
      <c r="Y4" s="885"/>
      <c r="Z4" s="885"/>
      <c r="AA4" s="885"/>
      <c r="AB4" s="885"/>
      <c r="AC4" s="885"/>
      <c r="AD4" s="885"/>
      <c r="AE4" s="885"/>
      <c r="AF4" s="885"/>
      <c r="AG4" s="885"/>
      <c r="AH4" s="885"/>
      <c r="AI4" s="885"/>
      <c r="AJ4" s="885"/>
      <c r="AK4" s="885"/>
      <c r="AL4" s="885"/>
      <c r="AM4" s="885"/>
      <c r="AN4" s="885"/>
      <c r="AO4" s="885"/>
      <c r="AP4" s="885"/>
      <c r="AQ4" s="885"/>
      <c r="AR4" s="885"/>
      <c r="AS4" s="885"/>
      <c r="AT4" s="885"/>
      <c r="AU4" s="885"/>
      <c r="AV4" s="885"/>
      <c r="AW4" s="885"/>
      <c r="AX4" s="885"/>
      <c r="AY4" s="885"/>
      <c r="AZ4" s="885"/>
      <c r="BA4" s="885"/>
      <c r="BB4" s="885"/>
      <c r="BC4" s="885"/>
      <c r="BD4" s="885"/>
      <c r="BE4" s="885"/>
      <c r="BF4" s="885"/>
      <c r="BG4" s="885"/>
      <c r="BH4" s="885"/>
      <c r="BI4" s="885"/>
      <c r="BJ4" s="885"/>
      <c r="BK4" s="885"/>
      <c r="BL4" s="885"/>
      <c r="BM4" s="885"/>
      <c r="BN4" s="885"/>
      <c r="BO4" s="885"/>
      <c r="BP4" s="885"/>
      <c r="BQ4" s="885"/>
      <c r="BR4" s="885"/>
      <c r="BS4" s="885"/>
      <c r="BT4" s="885"/>
      <c r="BU4" s="885"/>
      <c r="BV4" s="885"/>
      <c r="BW4" s="885"/>
      <c r="BX4" s="885"/>
      <c r="BY4" s="885"/>
      <c r="BZ4" s="885"/>
      <c r="CA4" s="885"/>
      <c r="CB4" s="885"/>
      <c r="CC4" s="885"/>
      <c r="CD4" s="885"/>
      <c r="CE4" s="885"/>
      <c r="CF4" s="885"/>
      <c r="CG4" s="885"/>
      <c r="CH4" s="885"/>
      <c r="CI4" s="885"/>
      <c r="CJ4" s="885"/>
      <c r="CK4" s="885"/>
      <c r="CL4" s="885"/>
      <c r="CM4" s="885"/>
      <c r="CN4" s="885"/>
      <c r="CO4" s="885"/>
      <c r="CP4" s="885"/>
      <c r="CQ4" s="885"/>
      <c r="CR4" s="885"/>
      <c r="CS4" s="885"/>
      <c r="CT4" s="885"/>
      <c r="CU4" s="885"/>
      <c r="CV4" s="885"/>
      <c r="CW4" s="885"/>
      <c r="CX4" s="885"/>
      <c r="CY4" s="885"/>
      <c r="CZ4" s="885"/>
      <c r="DA4" s="885"/>
      <c r="DB4" s="885"/>
      <c r="DC4" s="885"/>
      <c r="DD4" s="885"/>
      <c r="DE4" s="885"/>
      <c r="DF4" s="885"/>
      <c r="DG4" s="885"/>
      <c r="DH4" s="885"/>
      <c r="DI4" s="885"/>
      <c r="DJ4" s="885"/>
      <c r="DK4" s="885"/>
      <c r="DL4" s="885"/>
      <c r="DM4" s="885"/>
      <c r="DN4" s="885"/>
      <c r="DO4" s="885"/>
      <c r="DP4" s="885"/>
      <c r="DQ4" s="885"/>
      <c r="DR4" s="885"/>
      <c r="DS4" s="885"/>
      <c r="DT4" s="885"/>
      <c r="DU4" s="885"/>
      <c r="DV4" s="885"/>
      <c r="DW4" s="885"/>
      <c r="DX4" s="885"/>
      <c r="DY4" s="885"/>
      <c r="DZ4" s="885"/>
      <c r="EA4" s="885"/>
      <c r="EB4" s="885"/>
      <c r="EC4" s="885"/>
      <c r="ED4" s="885"/>
      <c r="EE4" s="885"/>
      <c r="EF4" s="885"/>
      <c r="EG4" s="885"/>
      <c r="EH4" s="885"/>
      <c r="EI4" s="885"/>
    </row>
    <row r="5" spans="2:139" ht="57" hidden="1" x14ac:dyDescent="0.45">
      <c r="B5" s="966" t="s">
        <v>841</v>
      </c>
      <c r="C5" s="421" t="s">
        <v>703</v>
      </c>
      <c r="D5" s="811" t="s">
        <v>470</v>
      </c>
      <c r="E5" s="422" t="s">
        <v>704</v>
      </c>
      <c r="F5" s="895" t="s">
        <v>960</v>
      </c>
    </row>
    <row r="6" spans="2:139" ht="57" hidden="1" x14ac:dyDescent="0.45">
      <c r="B6" s="967"/>
      <c r="C6" s="423" t="s">
        <v>706</v>
      </c>
      <c r="D6" s="812" t="s">
        <v>471</v>
      </c>
      <c r="E6" s="424" t="s">
        <v>707</v>
      </c>
      <c r="F6" s="896" t="s">
        <v>708</v>
      </c>
    </row>
    <row r="7" spans="2:139" ht="57.75" hidden="1" thickBot="1" x14ac:dyDescent="0.5">
      <c r="B7" s="968"/>
      <c r="C7" s="425" t="s">
        <v>709</v>
      </c>
      <c r="D7" s="813" t="s">
        <v>472</v>
      </c>
      <c r="E7" s="426" t="s">
        <v>710</v>
      </c>
      <c r="F7" s="897" t="s">
        <v>708</v>
      </c>
    </row>
    <row r="8" spans="2:139" s="427" customFormat="1" ht="57" hidden="1" x14ac:dyDescent="0.45">
      <c r="B8" s="966" t="s">
        <v>842</v>
      </c>
      <c r="C8" s="428" t="s">
        <v>851</v>
      </c>
      <c r="D8" s="814" t="s">
        <v>844</v>
      </c>
      <c r="E8" s="429" t="s">
        <v>704</v>
      </c>
      <c r="F8" s="898" t="s">
        <v>960</v>
      </c>
      <c r="G8" s="886"/>
      <c r="H8" s="886"/>
      <c r="I8" s="886"/>
      <c r="J8" s="886"/>
      <c r="K8" s="886"/>
      <c r="L8" s="886"/>
      <c r="M8" s="886"/>
      <c r="N8" s="886"/>
      <c r="O8" s="886"/>
      <c r="P8" s="886"/>
      <c r="Q8" s="886"/>
      <c r="R8" s="886"/>
      <c r="S8" s="886"/>
      <c r="T8" s="886"/>
      <c r="U8" s="886"/>
      <c r="V8" s="886"/>
      <c r="W8" s="886"/>
      <c r="X8" s="886"/>
      <c r="Y8" s="886"/>
      <c r="Z8" s="886"/>
      <c r="AA8" s="886"/>
      <c r="AB8" s="886"/>
      <c r="AC8" s="886"/>
      <c r="AD8" s="886"/>
      <c r="AE8" s="886"/>
      <c r="AF8" s="886"/>
      <c r="AG8" s="886"/>
      <c r="AH8" s="886"/>
      <c r="AI8" s="886"/>
      <c r="AJ8" s="886"/>
      <c r="AK8" s="886"/>
      <c r="AL8" s="886"/>
      <c r="AM8" s="886"/>
      <c r="AN8" s="886"/>
      <c r="AO8" s="886"/>
      <c r="AP8" s="886"/>
      <c r="AQ8" s="886"/>
      <c r="AR8" s="886"/>
      <c r="AS8" s="886"/>
      <c r="AT8" s="886"/>
      <c r="AU8" s="886"/>
      <c r="AV8" s="886"/>
      <c r="AW8" s="886"/>
      <c r="AX8" s="886"/>
      <c r="AY8" s="886"/>
      <c r="AZ8" s="886"/>
      <c r="BA8" s="886"/>
      <c r="BB8" s="886"/>
      <c r="BC8" s="886"/>
      <c r="BD8" s="886"/>
      <c r="BE8" s="886"/>
      <c r="BF8" s="886"/>
      <c r="BG8" s="886"/>
      <c r="BH8" s="886"/>
      <c r="BI8" s="886"/>
      <c r="BJ8" s="886"/>
      <c r="BK8" s="886"/>
      <c r="BL8" s="886"/>
      <c r="BM8" s="886"/>
      <c r="BN8" s="886"/>
      <c r="BO8" s="886"/>
      <c r="BP8" s="886"/>
      <c r="BQ8" s="886"/>
      <c r="BR8" s="886"/>
      <c r="BS8" s="886"/>
      <c r="BT8" s="886"/>
      <c r="BU8" s="886"/>
      <c r="BV8" s="886"/>
      <c r="BW8" s="886"/>
      <c r="BX8" s="886"/>
      <c r="BY8" s="886"/>
      <c r="BZ8" s="886"/>
      <c r="CA8" s="886"/>
      <c r="CB8" s="886"/>
      <c r="CC8" s="886"/>
      <c r="CD8" s="886"/>
      <c r="CE8" s="886"/>
      <c r="CF8" s="886"/>
      <c r="CG8" s="886"/>
      <c r="CH8" s="886"/>
      <c r="CI8" s="886"/>
      <c r="CJ8" s="886"/>
      <c r="CK8" s="886"/>
      <c r="CL8" s="886"/>
      <c r="CM8" s="886"/>
      <c r="CN8" s="886"/>
      <c r="CO8" s="886"/>
      <c r="CP8" s="886"/>
      <c r="CQ8" s="886"/>
      <c r="CR8" s="886"/>
      <c r="CS8" s="886"/>
      <c r="CT8" s="886"/>
      <c r="CU8" s="886"/>
      <c r="CV8" s="886"/>
      <c r="CW8" s="886"/>
      <c r="CX8" s="886"/>
      <c r="CY8" s="886"/>
      <c r="CZ8" s="886"/>
      <c r="DA8" s="886"/>
      <c r="DB8" s="886"/>
      <c r="DC8" s="886"/>
      <c r="DD8" s="886"/>
      <c r="DE8" s="886"/>
      <c r="DF8" s="886"/>
      <c r="DG8" s="886"/>
      <c r="DH8" s="886"/>
      <c r="DI8" s="886"/>
      <c r="DJ8" s="886"/>
      <c r="DK8" s="886"/>
      <c r="DL8" s="886"/>
      <c r="DM8" s="886"/>
      <c r="DN8" s="886"/>
      <c r="DO8" s="886"/>
      <c r="DP8" s="886"/>
      <c r="DQ8" s="886"/>
      <c r="DR8" s="886"/>
      <c r="DS8" s="886"/>
      <c r="DT8" s="886"/>
      <c r="DU8" s="886"/>
      <c r="DV8" s="886"/>
      <c r="DW8" s="886"/>
      <c r="DX8" s="886"/>
      <c r="DY8" s="886"/>
      <c r="DZ8" s="886"/>
      <c r="EA8" s="886"/>
      <c r="EB8" s="886"/>
      <c r="EC8" s="886"/>
      <c r="ED8" s="886"/>
      <c r="EE8" s="886"/>
      <c r="EF8" s="886"/>
      <c r="EG8" s="886"/>
      <c r="EH8" s="886"/>
      <c r="EI8" s="886"/>
    </row>
    <row r="9" spans="2:139" s="427" customFormat="1" ht="57" hidden="1" x14ac:dyDescent="0.45">
      <c r="B9" s="967"/>
      <c r="C9" s="423" t="s">
        <v>641</v>
      </c>
      <c r="D9" s="812" t="s">
        <v>845</v>
      </c>
      <c r="E9" s="430" t="s">
        <v>707</v>
      </c>
      <c r="F9" s="899" t="s">
        <v>708</v>
      </c>
      <c r="G9" s="886"/>
      <c r="H9" s="886"/>
      <c r="I9" s="886"/>
      <c r="J9" s="886"/>
      <c r="K9" s="886"/>
      <c r="L9" s="886"/>
      <c r="M9" s="886"/>
      <c r="N9" s="886"/>
      <c r="O9" s="886"/>
      <c r="P9" s="886"/>
      <c r="Q9" s="886"/>
      <c r="R9" s="886"/>
      <c r="S9" s="886"/>
      <c r="T9" s="886"/>
      <c r="U9" s="886"/>
      <c r="V9" s="886"/>
      <c r="W9" s="886"/>
      <c r="X9" s="886"/>
      <c r="Y9" s="886"/>
      <c r="Z9" s="886"/>
      <c r="AA9" s="886"/>
      <c r="AB9" s="886"/>
      <c r="AC9" s="886"/>
      <c r="AD9" s="886"/>
      <c r="AE9" s="886"/>
      <c r="AF9" s="886"/>
      <c r="AG9" s="886"/>
      <c r="AH9" s="886"/>
      <c r="AI9" s="886"/>
      <c r="AJ9" s="886"/>
      <c r="AK9" s="886"/>
      <c r="AL9" s="886"/>
      <c r="AM9" s="886"/>
      <c r="AN9" s="886"/>
      <c r="AO9" s="886"/>
      <c r="AP9" s="886"/>
      <c r="AQ9" s="886"/>
      <c r="AR9" s="886"/>
      <c r="AS9" s="886"/>
      <c r="AT9" s="886"/>
      <c r="AU9" s="886"/>
      <c r="AV9" s="886"/>
      <c r="AW9" s="886"/>
      <c r="AX9" s="886"/>
      <c r="AY9" s="886"/>
      <c r="AZ9" s="886"/>
      <c r="BA9" s="886"/>
      <c r="BB9" s="886"/>
      <c r="BC9" s="886"/>
      <c r="BD9" s="886"/>
      <c r="BE9" s="886"/>
      <c r="BF9" s="886"/>
      <c r="BG9" s="886"/>
      <c r="BH9" s="886"/>
      <c r="BI9" s="886"/>
      <c r="BJ9" s="886"/>
      <c r="BK9" s="886"/>
      <c r="BL9" s="886"/>
      <c r="BM9" s="886"/>
      <c r="BN9" s="886"/>
      <c r="BO9" s="886"/>
      <c r="BP9" s="886"/>
      <c r="BQ9" s="886"/>
      <c r="BR9" s="886"/>
      <c r="BS9" s="886"/>
      <c r="BT9" s="886"/>
      <c r="BU9" s="886"/>
      <c r="BV9" s="886"/>
      <c r="BW9" s="886"/>
      <c r="BX9" s="886"/>
      <c r="BY9" s="886"/>
      <c r="BZ9" s="886"/>
      <c r="CA9" s="886"/>
      <c r="CB9" s="886"/>
      <c r="CC9" s="886"/>
      <c r="CD9" s="886"/>
      <c r="CE9" s="886"/>
      <c r="CF9" s="886"/>
      <c r="CG9" s="886"/>
      <c r="CH9" s="886"/>
      <c r="CI9" s="886"/>
      <c r="CJ9" s="886"/>
      <c r="CK9" s="886"/>
      <c r="CL9" s="886"/>
      <c r="CM9" s="886"/>
      <c r="CN9" s="886"/>
      <c r="CO9" s="886"/>
      <c r="CP9" s="886"/>
      <c r="CQ9" s="886"/>
      <c r="CR9" s="886"/>
      <c r="CS9" s="886"/>
      <c r="CT9" s="886"/>
      <c r="CU9" s="886"/>
      <c r="CV9" s="886"/>
      <c r="CW9" s="886"/>
      <c r="CX9" s="886"/>
      <c r="CY9" s="886"/>
      <c r="CZ9" s="886"/>
      <c r="DA9" s="886"/>
      <c r="DB9" s="886"/>
      <c r="DC9" s="886"/>
      <c r="DD9" s="886"/>
      <c r="DE9" s="886"/>
      <c r="DF9" s="886"/>
      <c r="DG9" s="886"/>
      <c r="DH9" s="886"/>
      <c r="DI9" s="886"/>
      <c r="DJ9" s="886"/>
      <c r="DK9" s="886"/>
      <c r="DL9" s="886"/>
      <c r="DM9" s="886"/>
      <c r="DN9" s="886"/>
      <c r="DO9" s="886"/>
      <c r="DP9" s="886"/>
      <c r="DQ9" s="886"/>
      <c r="DR9" s="886"/>
      <c r="DS9" s="886"/>
      <c r="DT9" s="886"/>
      <c r="DU9" s="886"/>
      <c r="DV9" s="886"/>
      <c r="DW9" s="886"/>
      <c r="DX9" s="886"/>
      <c r="DY9" s="886"/>
      <c r="DZ9" s="886"/>
      <c r="EA9" s="886"/>
      <c r="EB9" s="886"/>
      <c r="EC9" s="886"/>
      <c r="ED9" s="886"/>
      <c r="EE9" s="886"/>
      <c r="EF9" s="886"/>
      <c r="EG9" s="886"/>
      <c r="EH9" s="886"/>
      <c r="EI9" s="886"/>
    </row>
    <row r="10" spans="2:139" s="427" customFormat="1" ht="57.75" hidden="1" thickBot="1" x14ac:dyDescent="0.5">
      <c r="B10" s="968"/>
      <c r="C10" s="425" t="s">
        <v>469</v>
      </c>
      <c r="D10" s="813" t="s">
        <v>846</v>
      </c>
      <c r="E10" s="431" t="s">
        <v>710</v>
      </c>
      <c r="F10" s="900" t="s">
        <v>708</v>
      </c>
      <c r="G10" s="886"/>
      <c r="H10" s="886"/>
      <c r="I10" s="886"/>
      <c r="J10" s="886"/>
      <c r="K10" s="886"/>
      <c r="L10" s="886"/>
      <c r="M10" s="886"/>
      <c r="N10" s="886"/>
      <c r="O10" s="886"/>
      <c r="P10" s="886"/>
      <c r="Q10" s="886"/>
      <c r="R10" s="886"/>
      <c r="S10" s="886"/>
      <c r="T10" s="886"/>
      <c r="U10" s="886"/>
      <c r="V10" s="886"/>
      <c r="W10" s="886"/>
      <c r="X10" s="886"/>
      <c r="Y10" s="886"/>
      <c r="Z10" s="886"/>
      <c r="AA10" s="886"/>
      <c r="AB10" s="886"/>
      <c r="AC10" s="886"/>
      <c r="AD10" s="886"/>
      <c r="AE10" s="886"/>
      <c r="AF10" s="886"/>
      <c r="AG10" s="886"/>
      <c r="AH10" s="886"/>
      <c r="AI10" s="886"/>
      <c r="AJ10" s="886"/>
      <c r="AK10" s="886"/>
      <c r="AL10" s="886"/>
      <c r="AM10" s="886"/>
      <c r="AN10" s="886"/>
      <c r="AO10" s="886"/>
      <c r="AP10" s="886"/>
      <c r="AQ10" s="886"/>
      <c r="AR10" s="886"/>
      <c r="AS10" s="886"/>
      <c r="AT10" s="886"/>
      <c r="AU10" s="886"/>
      <c r="AV10" s="886"/>
      <c r="AW10" s="886"/>
      <c r="AX10" s="886"/>
      <c r="AY10" s="886"/>
      <c r="AZ10" s="886"/>
      <c r="BA10" s="886"/>
      <c r="BB10" s="886"/>
      <c r="BC10" s="886"/>
      <c r="BD10" s="886"/>
      <c r="BE10" s="886"/>
      <c r="BF10" s="886"/>
      <c r="BG10" s="886"/>
      <c r="BH10" s="886"/>
      <c r="BI10" s="886"/>
      <c r="BJ10" s="886"/>
      <c r="BK10" s="886"/>
      <c r="BL10" s="886"/>
      <c r="BM10" s="886"/>
      <c r="BN10" s="886"/>
      <c r="BO10" s="886"/>
      <c r="BP10" s="886"/>
      <c r="BQ10" s="886"/>
      <c r="BR10" s="886"/>
      <c r="BS10" s="886"/>
      <c r="BT10" s="886"/>
      <c r="BU10" s="886"/>
      <c r="BV10" s="886"/>
      <c r="BW10" s="886"/>
      <c r="BX10" s="886"/>
      <c r="BY10" s="886"/>
      <c r="BZ10" s="886"/>
      <c r="CA10" s="886"/>
      <c r="CB10" s="886"/>
      <c r="CC10" s="886"/>
      <c r="CD10" s="886"/>
      <c r="CE10" s="886"/>
      <c r="CF10" s="886"/>
      <c r="CG10" s="886"/>
      <c r="CH10" s="886"/>
      <c r="CI10" s="886"/>
      <c r="CJ10" s="886"/>
      <c r="CK10" s="886"/>
      <c r="CL10" s="886"/>
      <c r="CM10" s="886"/>
      <c r="CN10" s="886"/>
      <c r="CO10" s="886"/>
      <c r="CP10" s="886"/>
      <c r="CQ10" s="886"/>
      <c r="CR10" s="886"/>
      <c r="CS10" s="886"/>
      <c r="CT10" s="886"/>
      <c r="CU10" s="886"/>
      <c r="CV10" s="886"/>
      <c r="CW10" s="886"/>
      <c r="CX10" s="886"/>
      <c r="CY10" s="886"/>
      <c r="CZ10" s="886"/>
      <c r="DA10" s="886"/>
      <c r="DB10" s="886"/>
      <c r="DC10" s="886"/>
      <c r="DD10" s="886"/>
      <c r="DE10" s="886"/>
      <c r="DF10" s="886"/>
      <c r="DG10" s="886"/>
      <c r="DH10" s="886"/>
      <c r="DI10" s="886"/>
      <c r="DJ10" s="886"/>
      <c r="DK10" s="886"/>
      <c r="DL10" s="886"/>
      <c r="DM10" s="886"/>
      <c r="DN10" s="886"/>
      <c r="DO10" s="886"/>
      <c r="DP10" s="886"/>
      <c r="DQ10" s="886"/>
      <c r="DR10" s="886"/>
      <c r="DS10" s="886"/>
      <c r="DT10" s="886"/>
      <c r="DU10" s="886"/>
      <c r="DV10" s="886"/>
      <c r="DW10" s="886"/>
      <c r="DX10" s="886"/>
      <c r="DY10" s="886"/>
      <c r="DZ10" s="886"/>
      <c r="EA10" s="886"/>
      <c r="EB10" s="886"/>
      <c r="EC10" s="886"/>
      <c r="ED10" s="886"/>
      <c r="EE10" s="886"/>
      <c r="EF10" s="886"/>
      <c r="EG10" s="886"/>
      <c r="EH10" s="886"/>
      <c r="EI10" s="886"/>
    </row>
    <row r="11" spans="2:139" s="427" customFormat="1" ht="57" hidden="1" x14ac:dyDescent="0.45">
      <c r="B11" s="969" t="s">
        <v>843</v>
      </c>
      <c r="C11" s="432" t="s">
        <v>852</v>
      </c>
      <c r="D11" s="814" t="s">
        <v>848</v>
      </c>
      <c r="E11" s="429" t="s">
        <v>704</v>
      </c>
      <c r="F11" s="898" t="s">
        <v>705</v>
      </c>
      <c r="G11" s="886"/>
      <c r="H11" s="886"/>
      <c r="I11" s="886"/>
      <c r="J11" s="886"/>
      <c r="K11" s="886"/>
      <c r="L11" s="886"/>
      <c r="M11" s="886"/>
      <c r="N11" s="886"/>
      <c r="O11" s="886"/>
      <c r="P11" s="886"/>
      <c r="Q11" s="886"/>
      <c r="R11" s="886"/>
      <c r="S11" s="886"/>
      <c r="T11" s="886"/>
      <c r="U11" s="886"/>
      <c r="V11" s="886"/>
      <c r="W11" s="886"/>
      <c r="X11" s="886"/>
      <c r="Y11" s="886"/>
      <c r="Z11" s="886"/>
      <c r="AA11" s="886"/>
      <c r="AB11" s="886"/>
      <c r="AC11" s="886"/>
      <c r="AD11" s="886"/>
      <c r="AE11" s="886"/>
      <c r="AF11" s="886"/>
      <c r="AG11" s="886"/>
      <c r="AH11" s="886"/>
      <c r="AI11" s="886"/>
      <c r="AJ11" s="886"/>
      <c r="AK11" s="886"/>
      <c r="AL11" s="886"/>
      <c r="AM11" s="886"/>
      <c r="AN11" s="886"/>
      <c r="AO11" s="886"/>
      <c r="AP11" s="886"/>
      <c r="AQ11" s="886"/>
      <c r="AR11" s="886"/>
      <c r="AS11" s="886"/>
      <c r="AT11" s="886"/>
      <c r="AU11" s="886"/>
      <c r="AV11" s="886"/>
      <c r="AW11" s="886"/>
      <c r="AX11" s="886"/>
      <c r="AY11" s="886"/>
      <c r="AZ11" s="886"/>
      <c r="BA11" s="886"/>
      <c r="BB11" s="886"/>
      <c r="BC11" s="886"/>
      <c r="BD11" s="886"/>
      <c r="BE11" s="886"/>
      <c r="BF11" s="886"/>
      <c r="BG11" s="886"/>
      <c r="BH11" s="886"/>
      <c r="BI11" s="886"/>
      <c r="BJ11" s="886"/>
      <c r="BK11" s="886"/>
      <c r="BL11" s="886"/>
      <c r="BM11" s="886"/>
      <c r="BN11" s="886"/>
      <c r="BO11" s="886"/>
      <c r="BP11" s="886"/>
      <c r="BQ11" s="886"/>
      <c r="BR11" s="886"/>
      <c r="BS11" s="886"/>
      <c r="BT11" s="886"/>
      <c r="BU11" s="886"/>
      <c r="BV11" s="886"/>
      <c r="BW11" s="886"/>
      <c r="BX11" s="886"/>
      <c r="BY11" s="886"/>
      <c r="BZ11" s="886"/>
      <c r="CA11" s="886"/>
      <c r="CB11" s="886"/>
      <c r="CC11" s="886"/>
      <c r="CD11" s="886"/>
      <c r="CE11" s="886"/>
      <c r="CF11" s="886"/>
      <c r="CG11" s="886"/>
      <c r="CH11" s="886"/>
      <c r="CI11" s="886"/>
      <c r="CJ11" s="886"/>
      <c r="CK11" s="886"/>
      <c r="CL11" s="886"/>
      <c r="CM11" s="886"/>
      <c r="CN11" s="886"/>
      <c r="CO11" s="886"/>
      <c r="CP11" s="886"/>
      <c r="CQ11" s="886"/>
      <c r="CR11" s="886"/>
      <c r="CS11" s="886"/>
      <c r="CT11" s="886"/>
      <c r="CU11" s="886"/>
      <c r="CV11" s="886"/>
      <c r="CW11" s="886"/>
      <c r="CX11" s="886"/>
      <c r="CY11" s="886"/>
      <c r="CZ11" s="886"/>
      <c r="DA11" s="886"/>
      <c r="DB11" s="886"/>
      <c r="DC11" s="886"/>
      <c r="DD11" s="886"/>
      <c r="DE11" s="886"/>
      <c r="DF11" s="886"/>
      <c r="DG11" s="886"/>
      <c r="DH11" s="886"/>
      <c r="DI11" s="886"/>
      <c r="DJ11" s="886"/>
      <c r="DK11" s="886"/>
      <c r="DL11" s="886"/>
      <c r="DM11" s="886"/>
      <c r="DN11" s="886"/>
      <c r="DO11" s="886"/>
      <c r="DP11" s="886"/>
      <c r="DQ11" s="886"/>
      <c r="DR11" s="886"/>
      <c r="DS11" s="886"/>
      <c r="DT11" s="886"/>
      <c r="DU11" s="886"/>
      <c r="DV11" s="886"/>
      <c r="DW11" s="886"/>
      <c r="DX11" s="886"/>
      <c r="DY11" s="886"/>
      <c r="DZ11" s="886"/>
      <c r="EA11" s="886"/>
      <c r="EB11" s="886"/>
      <c r="EC11" s="886"/>
      <c r="ED11" s="886"/>
      <c r="EE11" s="886"/>
      <c r="EF11" s="886"/>
      <c r="EG11" s="886"/>
      <c r="EH11" s="886"/>
      <c r="EI11" s="886"/>
    </row>
    <row r="12" spans="2:139" s="427" customFormat="1" ht="57" hidden="1" x14ac:dyDescent="0.45">
      <c r="B12" s="970"/>
      <c r="C12" s="495" t="s">
        <v>641</v>
      </c>
      <c r="D12" s="812" t="s">
        <v>849</v>
      </c>
      <c r="E12" s="430" t="s">
        <v>707</v>
      </c>
      <c r="F12" s="899" t="s">
        <v>708</v>
      </c>
      <c r="G12" s="886"/>
      <c r="H12" s="886"/>
      <c r="I12" s="886"/>
      <c r="J12" s="886"/>
      <c r="K12" s="886"/>
      <c r="L12" s="886"/>
      <c r="M12" s="886"/>
      <c r="N12" s="886"/>
      <c r="O12" s="886"/>
      <c r="P12" s="886"/>
      <c r="Q12" s="886"/>
      <c r="R12" s="886"/>
      <c r="S12" s="886"/>
      <c r="T12" s="886"/>
      <c r="U12" s="886"/>
      <c r="V12" s="886"/>
      <c r="W12" s="886"/>
      <c r="X12" s="886"/>
      <c r="Y12" s="886"/>
      <c r="Z12" s="886"/>
      <c r="AA12" s="886"/>
      <c r="AB12" s="886"/>
      <c r="AC12" s="886"/>
      <c r="AD12" s="886"/>
      <c r="AE12" s="886"/>
      <c r="AF12" s="886"/>
      <c r="AG12" s="886"/>
      <c r="AH12" s="886"/>
      <c r="AI12" s="886"/>
      <c r="AJ12" s="886"/>
      <c r="AK12" s="886"/>
      <c r="AL12" s="886"/>
      <c r="AM12" s="886"/>
      <c r="AN12" s="886"/>
      <c r="AO12" s="886"/>
      <c r="AP12" s="886"/>
      <c r="AQ12" s="886"/>
      <c r="AR12" s="886"/>
      <c r="AS12" s="886"/>
      <c r="AT12" s="886"/>
      <c r="AU12" s="886"/>
      <c r="AV12" s="886"/>
      <c r="AW12" s="886"/>
      <c r="AX12" s="886"/>
      <c r="AY12" s="886"/>
      <c r="AZ12" s="886"/>
      <c r="BA12" s="886"/>
      <c r="BB12" s="886"/>
      <c r="BC12" s="886"/>
      <c r="BD12" s="886"/>
      <c r="BE12" s="886"/>
      <c r="BF12" s="886"/>
      <c r="BG12" s="886"/>
      <c r="BH12" s="886"/>
      <c r="BI12" s="886"/>
      <c r="BJ12" s="886"/>
      <c r="BK12" s="886"/>
      <c r="BL12" s="886"/>
      <c r="BM12" s="886"/>
      <c r="BN12" s="886"/>
      <c r="BO12" s="886"/>
      <c r="BP12" s="886"/>
      <c r="BQ12" s="886"/>
      <c r="BR12" s="886"/>
      <c r="BS12" s="886"/>
      <c r="BT12" s="886"/>
      <c r="BU12" s="886"/>
      <c r="BV12" s="886"/>
      <c r="BW12" s="886"/>
      <c r="BX12" s="886"/>
      <c r="BY12" s="886"/>
      <c r="BZ12" s="886"/>
      <c r="CA12" s="886"/>
      <c r="CB12" s="886"/>
      <c r="CC12" s="886"/>
      <c r="CD12" s="886"/>
      <c r="CE12" s="886"/>
      <c r="CF12" s="886"/>
      <c r="CG12" s="886"/>
      <c r="CH12" s="886"/>
      <c r="CI12" s="886"/>
      <c r="CJ12" s="886"/>
      <c r="CK12" s="886"/>
      <c r="CL12" s="886"/>
      <c r="CM12" s="886"/>
      <c r="CN12" s="886"/>
      <c r="CO12" s="886"/>
      <c r="CP12" s="886"/>
      <c r="CQ12" s="886"/>
      <c r="CR12" s="886"/>
      <c r="CS12" s="886"/>
      <c r="CT12" s="886"/>
      <c r="CU12" s="886"/>
      <c r="CV12" s="886"/>
      <c r="CW12" s="886"/>
      <c r="CX12" s="886"/>
      <c r="CY12" s="886"/>
      <c r="CZ12" s="886"/>
      <c r="DA12" s="886"/>
      <c r="DB12" s="886"/>
      <c r="DC12" s="886"/>
      <c r="DD12" s="886"/>
      <c r="DE12" s="886"/>
      <c r="DF12" s="886"/>
      <c r="DG12" s="886"/>
      <c r="DH12" s="886"/>
      <c r="DI12" s="886"/>
      <c r="DJ12" s="886"/>
      <c r="DK12" s="886"/>
      <c r="DL12" s="886"/>
      <c r="DM12" s="886"/>
      <c r="DN12" s="886"/>
      <c r="DO12" s="886"/>
      <c r="DP12" s="886"/>
      <c r="DQ12" s="886"/>
      <c r="DR12" s="886"/>
      <c r="DS12" s="886"/>
      <c r="DT12" s="886"/>
      <c r="DU12" s="886"/>
      <c r="DV12" s="886"/>
      <c r="DW12" s="886"/>
      <c r="DX12" s="886"/>
      <c r="DY12" s="886"/>
      <c r="DZ12" s="886"/>
      <c r="EA12" s="886"/>
      <c r="EB12" s="886"/>
      <c r="EC12" s="886"/>
      <c r="ED12" s="886"/>
      <c r="EE12" s="886"/>
      <c r="EF12" s="886"/>
      <c r="EG12" s="886"/>
      <c r="EH12" s="886"/>
      <c r="EI12" s="886"/>
    </row>
    <row r="13" spans="2:139" s="427" customFormat="1" ht="57.75" hidden="1" thickBot="1" x14ac:dyDescent="0.5">
      <c r="B13" s="971"/>
      <c r="C13" s="433" t="s">
        <v>469</v>
      </c>
      <c r="D13" s="813" t="s">
        <v>850</v>
      </c>
      <c r="E13" s="431" t="s">
        <v>710</v>
      </c>
      <c r="F13" s="900" t="s">
        <v>708</v>
      </c>
      <c r="G13" s="886"/>
      <c r="H13" s="886"/>
      <c r="I13" s="886"/>
      <c r="J13" s="886"/>
      <c r="K13" s="886"/>
      <c r="L13" s="886"/>
      <c r="M13" s="886"/>
      <c r="N13" s="886"/>
      <c r="O13" s="886"/>
      <c r="P13" s="886"/>
      <c r="Q13" s="886"/>
      <c r="R13" s="886"/>
      <c r="S13" s="886"/>
      <c r="T13" s="886"/>
      <c r="U13" s="886"/>
      <c r="V13" s="886"/>
      <c r="W13" s="886"/>
      <c r="X13" s="886"/>
      <c r="Y13" s="886"/>
      <c r="Z13" s="886"/>
      <c r="AA13" s="886"/>
      <c r="AB13" s="886"/>
      <c r="AC13" s="886"/>
      <c r="AD13" s="886"/>
      <c r="AE13" s="886"/>
      <c r="AF13" s="886"/>
      <c r="AG13" s="886"/>
      <c r="AH13" s="886"/>
      <c r="AI13" s="886"/>
      <c r="AJ13" s="886"/>
      <c r="AK13" s="886"/>
      <c r="AL13" s="886"/>
      <c r="AM13" s="886"/>
      <c r="AN13" s="886"/>
      <c r="AO13" s="886"/>
      <c r="AP13" s="886"/>
      <c r="AQ13" s="886"/>
      <c r="AR13" s="886"/>
      <c r="AS13" s="886"/>
      <c r="AT13" s="886"/>
      <c r="AU13" s="886"/>
      <c r="AV13" s="886"/>
      <c r="AW13" s="886"/>
      <c r="AX13" s="886"/>
      <c r="AY13" s="886"/>
      <c r="AZ13" s="886"/>
      <c r="BA13" s="886"/>
      <c r="BB13" s="886"/>
      <c r="BC13" s="886"/>
      <c r="BD13" s="886"/>
      <c r="BE13" s="886"/>
      <c r="BF13" s="886"/>
      <c r="BG13" s="886"/>
      <c r="BH13" s="886"/>
      <c r="BI13" s="886"/>
      <c r="BJ13" s="886"/>
      <c r="BK13" s="886"/>
      <c r="BL13" s="886"/>
      <c r="BM13" s="886"/>
      <c r="BN13" s="886"/>
      <c r="BO13" s="886"/>
      <c r="BP13" s="886"/>
      <c r="BQ13" s="886"/>
      <c r="BR13" s="886"/>
      <c r="BS13" s="886"/>
      <c r="BT13" s="886"/>
      <c r="BU13" s="886"/>
      <c r="BV13" s="886"/>
      <c r="BW13" s="886"/>
      <c r="BX13" s="886"/>
      <c r="BY13" s="886"/>
      <c r="BZ13" s="886"/>
      <c r="CA13" s="886"/>
      <c r="CB13" s="886"/>
      <c r="CC13" s="886"/>
      <c r="CD13" s="886"/>
      <c r="CE13" s="886"/>
      <c r="CF13" s="886"/>
      <c r="CG13" s="886"/>
      <c r="CH13" s="886"/>
      <c r="CI13" s="886"/>
      <c r="CJ13" s="886"/>
      <c r="CK13" s="886"/>
      <c r="CL13" s="886"/>
      <c r="CM13" s="886"/>
      <c r="CN13" s="886"/>
      <c r="CO13" s="886"/>
      <c r="CP13" s="886"/>
      <c r="CQ13" s="886"/>
      <c r="CR13" s="886"/>
      <c r="CS13" s="886"/>
      <c r="CT13" s="886"/>
      <c r="CU13" s="886"/>
      <c r="CV13" s="886"/>
      <c r="CW13" s="886"/>
      <c r="CX13" s="886"/>
      <c r="CY13" s="886"/>
      <c r="CZ13" s="886"/>
      <c r="DA13" s="886"/>
      <c r="DB13" s="886"/>
      <c r="DC13" s="886"/>
      <c r="DD13" s="886"/>
      <c r="DE13" s="886"/>
      <c r="DF13" s="886"/>
      <c r="DG13" s="886"/>
      <c r="DH13" s="886"/>
      <c r="DI13" s="886"/>
      <c r="DJ13" s="886"/>
      <c r="DK13" s="886"/>
      <c r="DL13" s="886"/>
      <c r="DM13" s="886"/>
      <c r="DN13" s="886"/>
      <c r="DO13" s="886"/>
      <c r="DP13" s="886"/>
      <c r="DQ13" s="886"/>
      <c r="DR13" s="886"/>
      <c r="DS13" s="886"/>
      <c r="DT13" s="886"/>
      <c r="DU13" s="886"/>
      <c r="DV13" s="886"/>
      <c r="DW13" s="886"/>
      <c r="DX13" s="886"/>
      <c r="DY13" s="886"/>
      <c r="DZ13" s="886"/>
      <c r="EA13" s="886"/>
      <c r="EB13" s="886"/>
      <c r="EC13" s="886"/>
      <c r="ED13" s="886"/>
      <c r="EE13" s="886"/>
      <c r="EF13" s="886"/>
      <c r="EG13" s="886"/>
      <c r="EH13" s="886"/>
      <c r="EI13" s="886"/>
    </row>
    <row r="14" spans="2:139" ht="29.25" thickBot="1" x14ac:dyDescent="0.5">
      <c r="B14" s="986" t="s">
        <v>12</v>
      </c>
      <c r="C14" s="987"/>
      <c r="D14" s="987"/>
      <c r="E14" s="987"/>
      <c r="F14" s="988"/>
    </row>
    <row r="15" spans="2:139" ht="142.5" x14ac:dyDescent="0.45">
      <c r="B15" s="989" t="s">
        <v>121</v>
      </c>
      <c r="C15" s="518" t="s">
        <v>1013</v>
      </c>
      <c r="D15" s="815" t="s">
        <v>141</v>
      </c>
      <c r="E15" s="519" t="s">
        <v>92</v>
      </c>
      <c r="F15" s="901" t="s">
        <v>622</v>
      </c>
    </row>
    <row r="16" spans="2:139" ht="114" x14ac:dyDescent="0.45">
      <c r="B16" s="990"/>
      <c r="C16" s="76" t="s">
        <v>1014</v>
      </c>
      <c r="D16" s="812" t="s">
        <v>143</v>
      </c>
      <c r="E16" s="436" t="s">
        <v>93</v>
      </c>
      <c r="F16" s="902" t="s">
        <v>623</v>
      </c>
    </row>
    <row r="17" spans="2:6" ht="114" x14ac:dyDescent="0.45">
      <c r="B17" s="990"/>
      <c r="C17" s="435" t="s">
        <v>144</v>
      </c>
      <c r="D17" s="812" t="s">
        <v>345</v>
      </c>
      <c r="E17" s="436" t="s">
        <v>615</v>
      </c>
      <c r="F17" s="902" t="s">
        <v>624</v>
      </c>
    </row>
    <row r="18" spans="2:6" x14ac:dyDescent="0.45">
      <c r="B18" s="990"/>
      <c r="C18" s="435" t="s">
        <v>1056</v>
      </c>
      <c r="D18" s="812" t="s">
        <v>1055</v>
      </c>
      <c r="E18" s="436"/>
      <c r="F18" s="902"/>
    </row>
    <row r="19" spans="2:6" ht="57" x14ac:dyDescent="0.45">
      <c r="B19" s="990"/>
      <c r="C19" s="423" t="s">
        <v>145</v>
      </c>
      <c r="D19" s="812" t="s">
        <v>146</v>
      </c>
      <c r="E19" s="436" t="s">
        <v>43</v>
      </c>
      <c r="F19" s="902" t="s">
        <v>625</v>
      </c>
    </row>
    <row r="20" spans="2:6" ht="57" x14ac:dyDescent="0.45">
      <c r="B20" s="990"/>
      <c r="C20" s="423" t="s">
        <v>158</v>
      </c>
      <c r="D20" s="812" t="s">
        <v>147</v>
      </c>
      <c r="E20" s="436" t="s">
        <v>148</v>
      </c>
      <c r="F20" s="902" t="s">
        <v>626</v>
      </c>
    </row>
    <row r="21" spans="2:6" ht="57" x14ac:dyDescent="0.45">
      <c r="B21" s="990"/>
      <c r="C21" s="437" t="s">
        <v>150</v>
      </c>
      <c r="D21" s="816" t="s">
        <v>149</v>
      </c>
      <c r="E21" s="436" t="s">
        <v>39</v>
      </c>
      <c r="F21" s="902" t="s">
        <v>324</v>
      </c>
    </row>
    <row r="22" spans="2:6" ht="57" x14ac:dyDescent="0.45">
      <c r="B22" s="990"/>
      <c r="C22" s="423" t="s">
        <v>151</v>
      </c>
      <c r="D22" s="812" t="s">
        <v>152</v>
      </c>
      <c r="E22" s="436" t="s">
        <v>40</v>
      </c>
      <c r="F22" s="902" t="s">
        <v>627</v>
      </c>
    </row>
    <row r="23" spans="2:6" ht="57" x14ac:dyDescent="0.45">
      <c r="B23" s="990"/>
      <c r="C23" s="423" t="s">
        <v>632</v>
      </c>
      <c r="D23" s="812" t="s">
        <v>153</v>
      </c>
      <c r="E23" s="436" t="s">
        <v>41</v>
      </c>
      <c r="F23" s="902" t="s">
        <v>628</v>
      </c>
    </row>
    <row r="24" spans="2:6" x14ac:dyDescent="0.45">
      <c r="B24" s="991"/>
      <c r="C24" s="628" t="s">
        <v>1236</v>
      </c>
      <c r="D24" s="629" t="s">
        <v>1237</v>
      </c>
      <c r="E24" s="471"/>
      <c r="F24" s="903"/>
    </row>
    <row r="25" spans="2:6" ht="57.75" thickBot="1" x14ac:dyDescent="0.5">
      <c r="B25" s="992"/>
      <c r="C25" s="425" t="s">
        <v>154</v>
      </c>
      <c r="D25" s="813" t="s">
        <v>155</v>
      </c>
      <c r="E25" s="438" t="s">
        <v>42</v>
      </c>
      <c r="F25" s="904" t="s">
        <v>156</v>
      </c>
    </row>
    <row r="26" spans="2:6" ht="85.5" x14ac:dyDescent="0.45">
      <c r="B26" s="928" t="s">
        <v>13</v>
      </c>
      <c r="C26" s="432" t="s">
        <v>158</v>
      </c>
      <c r="D26" s="814" t="s">
        <v>157</v>
      </c>
      <c r="E26" s="434" t="s">
        <v>94</v>
      </c>
      <c r="F26" s="905" t="s">
        <v>629</v>
      </c>
    </row>
    <row r="27" spans="2:6" ht="86.25" thickBot="1" x14ac:dyDescent="0.5">
      <c r="B27" s="929"/>
      <c r="C27" s="439" t="s">
        <v>150</v>
      </c>
      <c r="D27" s="813" t="s">
        <v>159</v>
      </c>
      <c r="E27" s="438" t="s">
        <v>102</v>
      </c>
      <c r="F27" s="904" t="s">
        <v>629</v>
      </c>
    </row>
    <row r="28" spans="2:6" ht="57" x14ac:dyDescent="0.45">
      <c r="B28" s="928" t="s">
        <v>14</v>
      </c>
      <c r="C28" s="432" t="s">
        <v>1060</v>
      </c>
      <c r="D28" s="814" t="s">
        <v>160</v>
      </c>
      <c r="E28" s="434" t="s">
        <v>95</v>
      </c>
      <c r="F28" s="905" t="s">
        <v>629</v>
      </c>
    </row>
    <row r="29" spans="2:6" ht="57.75" thickBot="1" x14ac:dyDescent="0.5">
      <c r="B29" s="929"/>
      <c r="C29" s="439" t="s">
        <v>460</v>
      </c>
      <c r="D29" s="813" t="s">
        <v>161</v>
      </c>
      <c r="E29" s="438" t="s">
        <v>103</v>
      </c>
      <c r="F29" s="904" t="s">
        <v>629</v>
      </c>
    </row>
    <row r="30" spans="2:6" ht="85.5" x14ac:dyDescent="0.45">
      <c r="B30" s="928" t="s">
        <v>15</v>
      </c>
      <c r="C30" s="432" t="s">
        <v>1060</v>
      </c>
      <c r="D30" s="814" t="s">
        <v>162</v>
      </c>
      <c r="E30" s="434" t="s">
        <v>96</v>
      </c>
      <c r="F30" s="905" t="s">
        <v>629</v>
      </c>
    </row>
    <row r="31" spans="2:6" ht="86.25" thickBot="1" x14ac:dyDescent="0.5">
      <c r="B31" s="929"/>
      <c r="C31" s="439" t="s">
        <v>460</v>
      </c>
      <c r="D31" s="813" t="s">
        <v>163</v>
      </c>
      <c r="E31" s="438" t="s">
        <v>104</v>
      </c>
      <c r="F31" s="904" t="s">
        <v>629</v>
      </c>
    </row>
    <row r="32" spans="2:6" ht="57" x14ac:dyDescent="0.45">
      <c r="B32" s="928" t="s">
        <v>440</v>
      </c>
      <c r="C32" s="432" t="s">
        <v>1061</v>
      </c>
      <c r="D32" s="814" t="s">
        <v>164</v>
      </c>
      <c r="E32" s="434" t="s">
        <v>97</v>
      </c>
      <c r="F32" s="905" t="s">
        <v>629</v>
      </c>
    </row>
    <row r="33" spans="2:139" ht="57.75" thickBot="1" x14ac:dyDescent="0.5">
      <c r="B33" s="929"/>
      <c r="C33" s="439" t="s">
        <v>460</v>
      </c>
      <c r="D33" s="813" t="s">
        <v>165</v>
      </c>
      <c r="E33" s="438" t="s">
        <v>105</v>
      </c>
      <c r="F33" s="904" t="s">
        <v>629</v>
      </c>
    </row>
    <row r="34" spans="2:139" ht="57" x14ac:dyDescent="0.45">
      <c r="B34" s="928" t="s">
        <v>16</v>
      </c>
      <c r="C34" s="432" t="s">
        <v>1061</v>
      </c>
      <c r="D34" s="814" t="s">
        <v>166</v>
      </c>
      <c r="E34" s="434" t="s">
        <v>98</v>
      </c>
      <c r="F34" s="905" t="s">
        <v>629</v>
      </c>
    </row>
    <row r="35" spans="2:139" ht="57.75" thickBot="1" x14ac:dyDescent="0.5">
      <c r="B35" s="929"/>
      <c r="C35" s="439" t="s">
        <v>460</v>
      </c>
      <c r="D35" s="813" t="s">
        <v>167</v>
      </c>
      <c r="E35" s="438" t="s">
        <v>106</v>
      </c>
      <c r="F35" s="904" t="s">
        <v>629</v>
      </c>
    </row>
    <row r="36" spans="2:139" ht="57" x14ac:dyDescent="0.45">
      <c r="B36" s="928" t="s">
        <v>17</v>
      </c>
      <c r="C36" s="432" t="s">
        <v>1061</v>
      </c>
      <c r="D36" s="814" t="s">
        <v>346</v>
      </c>
      <c r="E36" s="434" t="s">
        <v>99</v>
      </c>
      <c r="F36" s="905" t="s">
        <v>629</v>
      </c>
    </row>
    <row r="37" spans="2:139" s="440" customFormat="1" ht="57.75" thickBot="1" x14ac:dyDescent="0.3">
      <c r="B37" s="929"/>
      <c r="C37" s="439" t="s">
        <v>460</v>
      </c>
      <c r="D37" s="813" t="s">
        <v>168</v>
      </c>
      <c r="E37" s="441" t="s">
        <v>107</v>
      </c>
      <c r="F37" s="906" t="s">
        <v>629</v>
      </c>
      <c r="G37" s="887"/>
      <c r="H37" s="887"/>
      <c r="I37" s="887"/>
      <c r="J37" s="887"/>
      <c r="K37" s="887"/>
      <c r="L37" s="887"/>
      <c r="M37" s="887"/>
      <c r="N37" s="887"/>
      <c r="O37" s="887"/>
      <c r="P37" s="887"/>
      <c r="Q37" s="887"/>
      <c r="R37" s="887"/>
      <c r="S37" s="887"/>
      <c r="T37" s="887"/>
      <c r="U37" s="887"/>
      <c r="V37" s="887"/>
      <c r="W37" s="887"/>
      <c r="X37" s="887"/>
      <c r="Y37" s="887"/>
      <c r="Z37" s="887"/>
      <c r="AA37" s="887"/>
      <c r="AB37" s="887"/>
      <c r="AC37" s="887"/>
      <c r="AD37" s="887"/>
      <c r="AE37" s="887"/>
      <c r="AF37" s="887"/>
      <c r="AG37" s="887"/>
      <c r="AH37" s="887"/>
      <c r="AI37" s="887"/>
      <c r="AJ37" s="887"/>
      <c r="AK37" s="887"/>
      <c r="AL37" s="887"/>
      <c r="AM37" s="887"/>
      <c r="AN37" s="887"/>
      <c r="AO37" s="887"/>
      <c r="AP37" s="887"/>
      <c r="AQ37" s="887"/>
      <c r="AR37" s="887"/>
      <c r="AS37" s="887"/>
      <c r="AT37" s="887"/>
      <c r="AU37" s="887"/>
      <c r="AV37" s="887"/>
      <c r="AW37" s="887"/>
      <c r="AX37" s="887"/>
      <c r="AY37" s="887"/>
      <c r="AZ37" s="887"/>
      <c r="BA37" s="887"/>
      <c r="BB37" s="887"/>
      <c r="BC37" s="887"/>
      <c r="BD37" s="887"/>
      <c r="BE37" s="887"/>
      <c r="BF37" s="887"/>
      <c r="BG37" s="887"/>
      <c r="BH37" s="887"/>
      <c r="BI37" s="887"/>
      <c r="BJ37" s="887"/>
      <c r="BK37" s="887"/>
      <c r="BL37" s="887"/>
      <c r="BM37" s="887"/>
      <c r="BN37" s="887"/>
      <c r="BO37" s="887"/>
      <c r="BP37" s="887"/>
      <c r="BQ37" s="887"/>
      <c r="BR37" s="887"/>
      <c r="BS37" s="887"/>
      <c r="BT37" s="887"/>
      <c r="BU37" s="887"/>
      <c r="BV37" s="887"/>
      <c r="BW37" s="887"/>
      <c r="BX37" s="887"/>
      <c r="BY37" s="887"/>
      <c r="BZ37" s="887"/>
      <c r="CA37" s="887"/>
      <c r="CB37" s="887"/>
      <c r="CC37" s="887"/>
      <c r="CD37" s="887"/>
      <c r="CE37" s="887"/>
      <c r="CF37" s="887"/>
      <c r="CG37" s="887"/>
      <c r="CH37" s="887"/>
      <c r="CI37" s="887"/>
      <c r="CJ37" s="887"/>
      <c r="CK37" s="887"/>
      <c r="CL37" s="887"/>
      <c r="CM37" s="887"/>
      <c r="CN37" s="887"/>
      <c r="CO37" s="887"/>
      <c r="CP37" s="887"/>
      <c r="CQ37" s="887"/>
      <c r="CR37" s="887"/>
      <c r="CS37" s="887"/>
      <c r="CT37" s="887"/>
      <c r="CU37" s="887"/>
      <c r="CV37" s="887"/>
      <c r="CW37" s="887"/>
      <c r="CX37" s="887"/>
      <c r="CY37" s="887"/>
      <c r="CZ37" s="887"/>
      <c r="DA37" s="887"/>
      <c r="DB37" s="887"/>
      <c r="DC37" s="887"/>
      <c r="DD37" s="887"/>
      <c r="DE37" s="887"/>
      <c r="DF37" s="887"/>
      <c r="DG37" s="887"/>
      <c r="DH37" s="887"/>
      <c r="DI37" s="887"/>
      <c r="DJ37" s="887"/>
      <c r="DK37" s="887"/>
      <c r="DL37" s="887"/>
      <c r="DM37" s="887"/>
      <c r="DN37" s="887"/>
      <c r="DO37" s="887"/>
      <c r="DP37" s="887"/>
      <c r="DQ37" s="887"/>
      <c r="DR37" s="887"/>
      <c r="DS37" s="887"/>
      <c r="DT37" s="887"/>
      <c r="DU37" s="887"/>
      <c r="DV37" s="887"/>
      <c r="DW37" s="887"/>
      <c r="DX37" s="887"/>
      <c r="DY37" s="887"/>
      <c r="DZ37" s="887"/>
      <c r="EA37" s="887"/>
      <c r="EB37" s="887"/>
      <c r="EC37" s="887"/>
      <c r="ED37" s="887"/>
      <c r="EE37" s="887"/>
      <c r="EF37" s="887"/>
      <c r="EG37" s="887"/>
      <c r="EH37" s="887"/>
      <c r="EI37" s="887"/>
    </row>
    <row r="38" spans="2:139" ht="114" x14ac:dyDescent="0.45">
      <c r="B38" s="928" t="s">
        <v>22</v>
      </c>
      <c r="C38" s="432" t="s">
        <v>1061</v>
      </c>
      <c r="D38" s="814" t="s">
        <v>169</v>
      </c>
      <c r="E38" s="434" t="s">
        <v>100</v>
      </c>
      <c r="F38" s="905" t="s">
        <v>629</v>
      </c>
    </row>
    <row r="39" spans="2:139" ht="114.75" thickBot="1" x14ac:dyDescent="0.5">
      <c r="B39" s="929"/>
      <c r="C39" s="439" t="s">
        <v>460</v>
      </c>
      <c r="D39" s="813" t="s">
        <v>170</v>
      </c>
      <c r="E39" s="438" t="s">
        <v>108</v>
      </c>
      <c r="F39" s="904" t="s">
        <v>629</v>
      </c>
    </row>
    <row r="40" spans="2:139" ht="85.5" x14ac:dyDescent="0.45">
      <c r="B40" s="928" t="s">
        <v>18</v>
      </c>
      <c r="C40" s="432" t="s">
        <v>1061</v>
      </c>
      <c r="D40" s="814" t="s">
        <v>171</v>
      </c>
      <c r="E40" s="434" t="s">
        <v>101</v>
      </c>
      <c r="F40" s="905" t="s">
        <v>629</v>
      </c>
    </row>
    <row r="41" spans="2:139" ht="86.25" thickBot="1" x14ac:dyDescent="0.5">
      <c r="B41" s="929"/>
      <c r="C41" s="439" t="s">
        <v>460</v>
      </c>
      <c r="D41" s="813" t="s">
        <v>172</v>
      </c>
      <c r="E41" s="438" t="s">
        <v>109</v>
      </c>
      <c r="F41" s="904" t="s">
        <v>629</v>
      </c>
    </row>
    <row r="42" spans="2:139" ht="85.5" x14ac:dyDescent="0.45">
      <c r="B42" s="928" t="s">
        <v>113</v>
      </c>
      <c r="C42" s="432" t="s">
        <v>1061</v>
      </c>
      <c r="D42" s="814" t="s">
        <v>347</v>
      </c>
      <c r="E42" s="434" t="s">
        <v>133</v>
      </c>
      <c r="F42" s="905" t="s">
        <v>629</v>
      </c>
    </row>
    <row r="43" spans="2:139" ht="57.75" thickBot="1" x14ac:dyDescent="0.5">
      <c r="B43" s="929"/>
      <c r="C43" s="439" t="s">
        <v>460</v>
      </c>
      <c r="D43" s="813" t="s">
        <v>173</v>
      </c>
      <c r="E43" s="471" t="s">
        <v>616</v>
      </c>
      <c r="F43" s="903" t="s">
        <v>629</v>
      </c>
    </row>
    <row r="44" spans="2:139" ht="29.25" thickBot="1" x14ac:dyDescent="0.5">
      <c r="B44" s="976" t="s">
        <v>1052</v>
      </c>
      <c r="C44" s="645" t="s">
        <v>144</v>
      </c>
      <c r="D44" s="633" t="s">
        <v>1238</v>
      </c>
      <c r="E44" s="471"/>
      <c r="F44" s="903"/>
    </row>
    <row r="45" spans="2:139" x14ac:dyDescent="0.45">
      <c r="B45" s="977"/>
      <c r="C45" s="91" t="s">
        <v>158</v>
      </c>
      <c r="D45" s="817" t="s">
        <v>1053</v>
      </c>
      <c r="E45" s="436"/>
      <c r="F45" s="902"/>
    </row>
    <row r="46" spans="2:139" ht="29.25" thickBot="1" x14ac:dyDescent="0.5">
      <c r="B46" s="978"/>
      <c r="C46" s="95" t="s">
        <v>150</v>
      </c>
      <c r="D46" s="817" t="s">
        <v>1054</v>
      </c>
      <c r="E46" s="436"/>
      <c r="F46" s="902"/>
    </row>
    <row r="47" spans="2:139" ht="85.5" x14ac:dyDescent="0.45">
      <c r="B47" s="938" t="s">
        <v>1245</v>
      </c>
      <c r="C47" s="827" t="s">
        <v>634</v>
      </c>
      <c r="D47" s="687" t="s">
        <v>348</v>
      </c>
      <c r="E47" s="422" t="s">
        <v>939</v>
      </c>
      <c r="F47" s="895"/>
    </row>
    <row r="48" spans="2:139" ht="57.75" thickBot="1" x14ac:dyDescent="0.5">
      <c r="B48" s="939"/>
      <c r="C48" s="828" t="s">
        <v>643</v>
      </c>
      <c r="D48" s="689" t="s">
        <v>349</v>
      </c>
      <c r="E48" s="424" t="s">
        <v>940</v>
      </c>
      <c r="F48" s="896"/>
    </row>
    <row r="49" spans="2:6" ht="85.5" x14ac:dyDescent="0.45">
      <c r="B49" s="940" t="s">
        <v>1246</v>
      </c>
      <c r="C49" s="825" t="s">
        <v>1247</v>
      </c>
      <c r="D49" s="679" t="s">
        <v>1249</v>
      </c>
      <c r="E49" s="422" t="s">
        <v>1277</v>
      </c>
      <c r="F49" s="895"/>
    </row>
    <row r="50" spans="2:6" ht="57" x14ac:dyDescent="0.45">
      <c r="B50" s="941"/>
      <c r="C50" s="826" t="s">
        <v>1248</v>
      </c>
      <c r="D50" s="803" t="s">
        <v>1250</v>
      </c>
      <c r="E50" s="511" t="s">
        <v>1278</v>
      </c>
      <c r="F50" s="907"/>
    </row>
    <row r="51" spans="2:6" x14ac:dyDescent="0.45">
      <c r="B51" s="945" t="s">
        <v>1261</v>
      </c>
      <c r="C51" s="946"/>
      <c r="D51" s="946"/>
      <c r="E51" s="946"/>
      <c r="F51" s="947"/>
    </row>
    <row r="52" spans="2:6" x14ac:dyDescent="0.45">
      <c r="B52" s="948" t="s">
        <v>391</v>
      </c>
      <c r="C52" s="648" t="s">
        <v>158</v>
      </c>
      <c r="D52" s="804" t="s">
        <v>1257</v>
      </c>
      <c r="E52" s="805"/>
      <c r="F52" s="895"/>
    </row>
    <row r="53" spans="2:6" ht="29.25" thickBot="1" x14ac:dyDescent="0.5">
      <c r="B53" s="949"/>
      <c r="C53" s="647" t="s">
        <v>150</v>
      </c>
      <c r="D53" s="630" t="s">
        <v>1258</v>
      </c>
      <c r="E53" s="802"/>
      <c r="F53" s="896"/>
    </row>
    <row r="54" spans="2:6" x14ac:dyDescent="0.45">
      <c r="B54" s="950" t="s">
        <v>389</v>
      </c>
      <c r="C54" s="646" t="s">
        <v>158</v>
      </c>
      <c r="D54" s="599" t="s">
        <v>1259</v>
      </c>
      <c r="E54" s="802"/>
      <c r="F54" s="896"/>
    </row>
    <row r="55" spans="2:6" ht="29.25" thickBot="1" x14ac:dyDescent="0.5">
      <c r="B55" s="949"/>
      <c r="C55" s="647" t="s">
        <v>150</v>
      </c>
      <c r="D55" s="630" t="s">
        <v>1260</v>
      </c>
      <c r="E55" s="802"/>
      <c r="F55" s="896"/>
    </row>
    <row r="56" spans="2:6" ht="29.25" thickBot="1" x14ac:dyDescent="0.5">
      <c r="B56" s="972" t="s">
        <v>1019</v>
      </c>
      <c r="C56" s="973"/>
      <c r="D56" s="973"/>
      <c r="E56" s="936"/>
      <c r="F56" s="937"/>
    </row>
    <row r="57" spans="2:6" x14ac:dyDescent="0.45">
      <c r="B57" s="942" t="s">
        <v>1032</v>
      </c>
      <c r="C57" s="1" t="s">
        <v>1193</v>
      </c>
      <c r="D57" s="579" t="s">
        <v>1020</v>
      </c>
      <c r="E57" s="472"/>
      <c r="F57" s="908"/>
    </row>
    <row r="58" spans="2:6" ht="29.25" thickBot="1" x14ac:dyDescent="0.5">
      <c r="B58" s="943"/>
      <c r="C58" s="367" t="s">
        <v>1194</v>
      </c>
      <c r="D58" s="580" t="s">
        <v>1021</v>
      </c>
      <c r="E58" s="472"/>
      <c r="F58" s="908"/>
    </row>
    <row r="59" spans="2:6" x14ac:dyDescent="0.45">
      <c r="B59" s="943"/>
      <c r="C59" s="1" t="s">
        <v>1195</v>
      </c>
      <c r="D59" s="579" t="s">
        <v>1197</v>
      </c>
      <c r="E59" s="472"/>
      <c r="F59" s="908"/>
    </row>
    <row r="60" spans="2:6" ht="29.25" thickBot="1" x14ac:dyDescent="0.5">
      <c r="B60" s="944"/>
      <c r="C60" s="367" t="s">
        <v>1196</v>
      </c>
      <c r="D60" s="581" t="s">
        <v>1198</v>
      </c>
      <c r="E60" s="472"/>
      <c r="F60" s="908"/>
    </row>
    <row r="61" spans="2:6" x14ac:dyDescent="0.45">
      <c r="B61" s="930" t="s">
        <v>1033</v>
      </c>
      <c r="C61" s="1" t="s">
        <v>1193</v>
      </c>
      <c r="D61" s="579" t="s">
        <v>1022</v>
      </c>
      <c r="E61" s="472"/>
      <c r="F61" s="908"/>
    </row>
    <row r="62" spans="2:6" ht="29.25" thickBot="1" x14ac:dyDescent="0.5">
      <c r="B62" s="931"/>
      <c r="C62" s="367" t="s">
        <v>1194</v>
      </c>
      <c r="D62" s="580" t="s">
        <v>1023</v>
      </c>
      <c r="E62" s="472"/>
      <c r="F62" s="908"/>
    </row>
    <row r="63" spans="2:6" x14ac:dyDescent="0.45">
      <c r="B63" s="931"/>
      <c r="C63" s="1" t="s">
        <v>1195</v>
      </c>
      <c r="D63" s="580" t="s">
        <v>1199</v>
      </c>
      <c r="E63" s="472"/>
      <c r="F63" s="908"/>
    </row>
    <row r="64" spans="2:6" ht="29.25" thickBot="1" x14ac:dyDescent="0.5">
      <c r="B64" s="932"/>
      <c r="C64" s="367" t="s">
        <v>1196</v>
      </c>
      <c r="D64" s="582" t="s">
        <v>1200</v>
      </c>
      <c r="E64" s="472"/>
      <c r="F64" s="908"/>
    </row>
    <row r="65" spans="2:6" x14ac:dyDescent="0.45">
      <c r="B65" s="942" t="s">
        <v>1034</v>
      </c>
      <c r="C65" s="1" t="s">
        <v>1193</v>
      </c>
      <c r="D65" s="579" t="s">
        <v>1024</v>
      </c>
      <c r="E65" s="472"/>
      <c r="F65" s="908"/>
    </row>
    <row r="66" spans="2:6" ht="29.25" thickBot="1" x14ac:dyDescent="0.5">
      <c r="B66" s="943"/>
      <c r="C66" s="367" t="s">
        <v>1194</v>
      </c>
      <c r="D66" s="580" t="s">
        <v>1025</v>
      </c>
      <c r="E66" s="472"/>
      <c r="F66" s="908"/>
    </row>
    <row r="67" spans="2:6" x14ac:dyDescent="0.45">
      <c r="B67" s="943"/>
      <c r="C67" s="1" t="s">
        <v>1195</v>
      </c>
      <c r="D67" s="580" t="s">
        <v>1024</v>
      </c>
      <c r="E67" s="472"/>
      <c r="F67" s="908"/>
    </row>
    <row r="68" spans="2:6" ht="29.25" thickBot="1" x14ac:dyDescent="0.5">
      <c r="B68" s="944"/>
      <c r="C68" s="367" t="s">
        <v>1196</v>
      </c>
      <c r="D68" s="582" t="s">
        <v>1025</v>
      </c>
      <c r="E68" s="472"/>
      <c r="F68" s="908"/>
    </row>
    <row r="69" spans="2:6" x14ac:dyDescent="0.45">
      <c r="B69" s="930" t="s">
        <v>1035</v>
      </c>
      <c r="C69" s="1" t="s">
        <v>1193</v>
      </c>
      <c r="D69" s="579" t="s">
        <v>1026</v>
      </c>
      <c r="E69" s="472"/>
      <c r="F69" s="908"/>
    </row>
    <row r="70" spans="2:6" ht="29.25" thickBot="1" x14ac:dyDescent="0.5">
      <c r="B70" s="931"/>
      <c r="C70" s="367" t="s">
        <v>1194</v>
      </c>
      <c r="D70" s="580" t="s">
        <v>1027</v>
      </c>
      <c r="E70" s="472"/>
      <c r="F70" s="908"/>
    </row>
    <row r="71" spans="2:6" x14ac:dyDescent="0.45">
      <c r="B71" s="931"/>
      <c r="C71" s="1" t="s">
        <v>1195</v>
      </c>
      <c r="D71" s="580" t="s">
        <v>1201</v>
      </c>
      <c r="E71" s="472"/>
      <c r="F71" s="908"/>
    </row>
    <row r="72" spans="2:6" ht="29.25" thickBot="1" x14ac:dyDescent="0.5">
      <c r="B72" s="932"/>
      <c r="C72" s="367" t="s">
        <v>1196</v>
      </c>
      <c r="D72" s="582" t="s">
        <v>1202</v>
      </c>
      <c r="E72" s="472"/>
      <c r="F72" s="908"/>
    </row>
    <row r="73" spans="2:6" x14ac:dyDescent="0.45">
      <c r="B73" s="930" t="s">
        <v>1043</v>
      </c>
      <c r="C73" s="1" t="s">
        <v>1193</v>
      </c>
      <c r="D73" s="583" t="s">
        <v>1028</v>
      </c>
      <c r="E73" s="472"/>
      <c r="F73" s="908"/>
    </row>
    <row r="74" spans="2:6" ht="29.25" thickBot="1" x14ac:dyDescent="0.5">
      <c r="B74" s="931"/>
      <c r="C74" s="367" t="s">
        <v>1194</v>
      </c>
      <c r="D74" s="580" t="s">
        <v>1029</v>
      </c>
      <c r="E74" s="472"/>
      <c r="F74" s="908"/>
    </row>
    <row r="75" spans="2:6" x14ac:dyDescent="0.45">
      <c r="B75" s="931"/>
      <c r="C75" s="1" t="s">
        <v>1195</v>
      </c>
      <c r="D75" s="580" t="s">
        <v>1203</v>
      </c>
      <c r="E75" s="472"/>
      <c r="F75" s="908"/>
    </row>
    <row r="76" spans="2:6" ht="29.25" thickBot="1" x14ac:dyDescent="0.5">
      <c r="B76" s="932"/>
      <c r="C76" s="367" t="s">
        <v>1196</v>
      </c>
      <c r="D76" s="580" t="s">
        <v>1204</v>
      </c>
      <c r="E76" s="472"/>
      <c r="F76" s="908"/>
    </row>
    <row r="77" spans="2:6" ht="28.5" customHeight="1" x14ac:dyDescent="0.45">
      <c r="B77" s="930" t="s">
        <v>1036</v>
      </c>
      <c r="C77" s="1" t="s">
        <v>1193</v>
      </c>
      <c r="D77" s="580" t="s">
        <v>1030</v>
      </c>
      <c r="E77" s="472"/>
      <c r="F77" s="908"/>
    </row>
    <row r="78" spans="2:6" ht="29.25" thickBot="1" x14ac:dyDescent="0.5">
      <c r="B78" s="931"/>
      <c r="C78" s="367" t="s">
        <v>1194</v>
      </c>
      <c r="D78" s="580" t="s">
        <v>1031</v>
      </c>
      <c r="E78" s="472"/>
      <c r="F78" s="908"/>
    </row>
    <row r="79" spans="2:6" x14ac:dyDescent="0.45">
      <c r="B79" s="931"/>
      <c r="C79" s="1" t="s">
        <v>1195</v>
      </c>
      <c r="D79" s="580" t="s">
        <v>1205</v>
      </c>
      <c r="E79" s="472"/>
      <c r="F79" s="908"/>
    </row>
    <row r="80" spans="2:6" ht="29.25" thickBot="1" x14ac:dyDescent="0.5">
      <c r="B80" s="932"/>
      <c r="C80" s="367" t="s">
        <v>1196</v>
      </c>
      <c r="D80" s="580" t="s">
        <v>1206</v>
      </c>
      <c r="E80" s="472"/>
      <c r="F80" s="908"/>
    </row>
    <row r="81" spans="2:139" x14ac:dyDescent="0.45">
      <c r="B81" s="930" t="s">
        <v>1037</v>
      </c>
      <c r="C81" s="1" t="s">
        <v>1193</v>
      </c>
      <c r="D81" s="580" t="s">
        <v>1044</v>
      </c>
      <c r="E81" s="472"/>
      <c r="F81" s="908"/>
    </row>
    <row r="82" spans="2:139" ht="29.25" thickBot="1" x14ac:dyDescent="0.5">
      <c r="B82" s="931"/>
      <c r="C82" s="367" t="s">
        <v>1194</v>
      </c>
      <c r="D82" s="582" t="s">
        <v>1045</v>
      </c>
      <c r="E82" s="472"/>
      <c r="F82" s="908"/>
    </row>
    <row r="83" spans="2:139" ht="28.5" customHeight="1" x14ac:dyDescent="0.45">
      <c r="B83" s="931"/>
      <c r="C83" s="1" t="s">
        <v>1195</v>
      </c>
      <c r="D83" s="580" t="s">
        <v>1207</v>
      </c>
      <c r="E83" s="472"/>
      <c r="F83" s="908"/>
    </row>
    <row r="84" spans="2:139" ht="29.25" thickBot="1" x14ac:dyDescent="0.5">
      <c r="B84" s="932"/>
      <c r="C84" s="367" t="s">
        <v>1196</v>
      </c>
      <c r="D84" s="582" t="s">
        <v>1208</v>
      </c>
      <c r="E84" s="472"/>
      <c r="F84" s="908"/>
    </row>
    <row r="85" spans="2:139" ht="28.5" customHeight="1" x14ac:dyDescent="0.45">
      <c r="B85" s="930" t="s">
        <v>1038</v>
      </c>
      <c r="C85" s="1" t="s">
        <v>1193</v>
      </c>
      <c r="D85" s="580" t="s">
        <v>1046</v>
      </c>
      <c r="E85" s="472"/>
      <c r="F85" s="908"/>
    </row>
    <row r="86" spans="2:139" ht="29.25" thickBot="1" x14ac:dyDescent="0.5">
      <c r="B86" s="931"/>
      <c r="C86" s="367" t="s">
        <v>1194</v>
      </c>
      <c r="D86" s="582" t="s">
        <v>1047</v>
      </c>
      <c r="E86" s="472"/>
      <c r="F86" s="908"/>
    </row>
    <row r="87" spans="2:139" ht="28.5" customHeight="1" x14ac:dyDescent="0.45">
      <c r="B87" s="931"/>
      <c r="C87" s="1" t="s">
        <v>1195</v>
      </c>
      <c r="D87" s="580" t="s">
        <v>1209</v>
      </c>
      <c r="E87" s="472"/>
      <c r="F87" s="908"/>
    </row>
    <row r="88" spans="2:139" ht="29.25" thickBot="1" x14ac:dyDescent="0.5">
      <c r="B88" s="932"/>
      <c r="C88" s="367" t="s">
        <v>1196</v>
      </c>
      <c r="D88" s="582" t="s">
        <v>1210</v>
      </c>
      <c r="E88" s="472"/>
      <c r="F88" s="908"/>
    </row>
    <row r="89" spans="2:139" ht="28.5" customHeight="1" x14ac:dyDescent="0.45">
      <c r="B89" s="930" t="s">
        <v>1039</v>
      </c>
      <c r="C89" s="1" t="s">
        <v>1193</v>
      </c>
      <c r="D89" s="580" t="s">
        <v>1048</v>
      </c>
      <c r="E89" s="472"/>
      <c r="F89" s="908"/>
    </row>
    <row r="90" spans="2:139" ht="29.25" thickBot="1" x14ac:dyDescent="0.5">
      <c r="B90" s="931"/>
      <c r="C90" s="367" t="s">
        <v>1194</v>
      </c>
      <c r="D90" s="582" t="s">
        <v>1049</v>
      </c>
      <c r="E90" s="472"/>
      <c r="F90" s="908"/>
    </row>
    <row r="91" spans="2:139" ht="28.5" customHeight="1" x14ac:dyDescent="0.45">
      <c r="B91" s="931"/>
      <c r="C91" s="1" t="s">
        <v>1195</v>
      </c>
      <c r="D91" s="580" t="s">
        <v>1211</v>
      </c>
      <c r="E91" s="472"/>
      <c r="F91" s="908"/>
    </row>
    <row r="92" spans="2:139" ht="29.25" thickBot="1" x14ac:dyDescent="0.5">
      <c r="B92" s="932"/>
      <c r="C92" s="367" t="s">
        <v>1196</v>
      </c>
      <c r="D92" s="582" t="s">
        <v>1212</v>
      </c>
      <c r="E92" s="472"/>
      <c r="F92" s="908"/>
    </row>
    <row r="93" spans="2:139" s="463" customFormat="1" ht="28.5" customHeight="1" x14ac:dyDescent="0.45">
      <c r="B93" s="930" t="s">
        <v>1057</v>
      </c>
      <c r="C93" s="1" t="s">
        <v>1193</v>
      </c>
      <c r="D93" s="580" t="s">
        <v>1050</v>
      </c>
      <c r="E93" s="472"/>
      <c r="F93" s="90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88"/>
      <c r="AM93" s="888"/>
      <c r="AN93" s="888"/>
      <c r="AO93" s="888"/>
      <c r="AP93" s="888"/>
      <c r="AQ93" s="888"/>
      <c r="AR93" s="888"/>
      <c r="AS93" s="888"/>
      <c r="AT93" s="888"/>
      <c r="AU93" s="888"/>
      <c r="AV93" s="888"/>
      <c r="AW93" s="888"/>
      <c r="AX93" s="888"/>
      <c r="AY93" s="888"/>
      <c r="AZ93" s="888"/>
      <c r="BA93" s="888"/>
      <c r="BB93" s="888"/>
      <c r="BC93" s="888"/>
      <c r="BD93" s="888"/>
      <c r="BE93" s="888"/>
      <c r="BF93" s="888"/>
      <c r="BG93" s="888"/>
      <c r="BH93" s="888"/>
      <c r="BI93" s="888"/>
      <c r="BJ93" s="888"/>
      <c r="BK93" s="888"/>
      <c r="BL93" s="888"/>
      <c r="BM93" s="888"/>
      <c r="BN93" s="888"/>
      <c r="BO93" s="888"/>
      <c r="BP93" s="888"/>
      <c r="BQ93" s="888"/>
      <c r="BR93" s="888"/>
      <c r="BS93" s="888"/>
      <c r="BT93" s="888"/>
      <c r="BU93" s="888"/>
      <c r="BV93" s="888"/>
      <c r="BW93" s="888"/>
      <c r="BX93" s="888"/>
      <c r="BY93" s="888"/>
      <c r="BZ93" s="888"/>
      <c r="CA93" s="888"/>
      <c r="CB93" s="888"/>
      <c r="CC93" s="888"/>
      <c r="CD93" s="888"/>
      <c r="CE93" s="888"/>
      <c r="CF93" s="888"/>
      <c r="CG93" s="888"/>
      <c r="CH93" s="888"/>
      <c r="CI93" s="888"/>
      <c r="CJ93" s="888"/>
      <c r="CK93" s="888"/>
      <c r="CL93" s="888"/>
      <c r="CM93" s="888"/>
      <c r="CN93" s="888"/>
      <c r="CO93" s="888"/>
      <c r="CP93" s="888"/>
      <c r="CQ93" s="888"/>
      <c r="CR93" s="888"/>
      <c r="CS93" s="888"/>
      <c r="CT93" s="888"/>
      <c r="CU93" s="888"/>
      <c r="CV93" s="888"/>
      <c r="CW93" s="888"/>
      <c r="CX93" s="888"/>
      <c r="CY93" s="888"/>
      <c r="CZ93" s="888"/>
      <c r="DA93" s="888"/>
      <c r="DB93" s="888"/>
      <c r="DC93" s="888"/>
      <c r="DD93" s="888"/>
      <c r="DE93" s="888"/>
      <c r="DF93" s="888"/>
      <c r="DG93" s="888"/>
      <c r="DH93" s="888"/>
      <c r="DI93" s="888"/>
      <c r="DJ93" s="888"/>
      <c r="DK93" s="888"/>
      <c r="DL93" s="888"/>
      <c r="DM93" s="888"/>
      <c r="DN93" s="888"/>
      <c r="DO93" s="888"/>
      <c r="DP93" s="888"/>
      <c r="DQ93" s="888"/>
      <c r="DR93" s="888"/>
      <c r="DS93" s="888"/>
      <c r="DT93" s="888"/>
      <c r="DU93" s="888"/>
      <c r="DV93" s="888"/>
      <c r="DW93" s="888"/>
      <c r="DX93" s="888"/>
      <c r="DY93" s="888"/>
      <c r="DZ93" s="888"/>
      <c r="EA93" s="888"/>
      <c r="EB93" s="888"/>
      <c r="EC93" s="888"/>
      <c r="ED93" s="888"/>
      <c r="EE93" s="888"/>
      <c r="EF93" s="888"/>
      <c r="EG93" s="888"/>
      <c r="EH93" s="888"/>
      <c r="EI93" s="888"/>
    </row>
    <row r="94" spans="2:139" s="463" customFormat="1" ht="29.25" thickBot="1" x14ac:dyDescent="0.5">
      <c r="B94" s="931"/>
      <c r="C94" s="367" t="s">
        <v>1194</v>
      </c>
      <c r="D94" s="582" t="s">
        <v>1051</v>
      </c>
      <c r="E94" s="472"/>
      <c r="F94" s="90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88"/>
      <c r="AM94" s="888"/>
      <c r="AN94" s="888"/>
      <c r="AO94" s="888"/>
      <c r="AP94" s="888"/>
      <c r="AQ94" s="888"/>
      <c r="AR94" s="888"/>
      <c r="AS94" s="888"/>
      <c r="AT94" s="888"/>
      <c r="AU94" s="888"/>
      <c r="AV94" s="888"/>
      <c r="AW94" s="888"/>
      <c r="AX94" s="888"/>
      <c r="AY94" s="888"/>
      <c r="AZ94" s="888"/>
      <c r="BA94" s="888"/>
      <c r="BB94" s="888"/>
      <c r="BC94" s="888"/>
      <c r="BD94" s="888"/>
      <c r="BE94" s="888"/>
      <c r="BF94" s="888"/>
      <c r="BG94" s="888"/>
      <c r="BH94" s="888"/>
      <c r="BI94" s="888"/>
      <c r="BJ94" s="888"/>
      <c r="BK94" s="888"/>
      <c r="BL94" s="888"/>
      <c r="BM94" s="888"/>
      <c r="BN94" s="888"/>
      <c r="BO94" s="888"/>
      <c r="BP94" s="888"/>
      <c r="BQ94" s="888"/>
      <c r="BR94" s="888"/>
      <c r="BS94" s="888"/>
      <c r="BT94" s="888"/>
      <c r="BU94" s="888"/>
      <c r="BV94" s="888"/>
      <c r="BW94" s="888"/>
      <c r="BX94" s="888"/>
      <c r="BY94" s="888"/>
      <c r="BZ94" s="888"/>
      <c r="CA94" s="888"/>
      <c r="CB94" s="888"/>
      <c r="CC94" s="888"/>
      <c r="CD94" s="888"/>
      <c r="CE94" s="888"/>
      <c r="CF94" s="888"/>
      <c r="CG94" s="888"/>
      <c r="CH94" s="888"/>
      <c r="CI94" s="888"/>
      <c r="CJ94" s="888"/>
      <c r="CK94" s="888"/>
      <c r="CL94" s="888"/>
      <c r="CM94" s="888"/>
      <c r="CN94" s="888"/>
      <c r="CO94" s="888"/>
      <c r="CP94" s="888"/>
      <c r="CQ94" s="888"/>
      <c r="CR94" s="888"/>
      <c r="CS94" s="888"/>
      <c r="CT94" s="888"/>
      <c r="CU94" s="888"/>
      <c r="CV94" s="888"/>
      <c r="CW94" s="888"/>
      <c r="CX94" s="888"/>
      <c r="CY94" s="888"/>
      <c r="CZ94" s="888"/>
      <c r="DA94" s="888"/>
      <c r="DB94" s="888"/>
      <c r="DC94" s="888"/>
      <c r="DD94" s="888"/>
      <c r="DE94" s="888"/>
      <c r="DF94" s="888"/>
      <c r="DG94" s="888"/>
      <c r="DH94" s="888"/>
      <c r="DI94" s="888"/>
      <c r="DJ94" s="888"/>
      <c r="DK94" s="888"/>
      <c r="DL94" s="888"/>
      <c r="DM94" s="888"/>
      <c r="DN94" s="888"/>
      <c r="DO94" s="888"/>
      <c r="DP94" s="888"/>
      <c r="DQ94" s="888"/>
      <c r="DR94" s="888"/>
      <c r="DS94" s="888"/>
      <c r="DT94" s="888"/>
      <c r="DU94" s="888"/>
      <c r="DV94" s="888"/>
      <c r="DW94" s="888"/>
      <c r="DX94" s="888"/>
      <c r="DY94" s="888"/>
      <c r="DZ94" s="888"/>
      <c r="EA94" s="888"/>
      <c r="EB94" s="888"/>
      <c r="EC94" s="888"/>
      <c r="ED94" s="888"/>
      <c r="EE94" s="888"/>
      <c r="EF94" s="888"/>
      <c r="EG94" s="888"/>
      <c r="EH94" s="888"/>
      <c r="EI94" s="888"/>
    </row>
    <row r="95" spans="2:139" s="463" customFormat="1" ht="28.5" customHeight="1" x14ac:dyDescent="0.45">
      <c r="B95" s="931"/>
      <c r="C95" s="1" t="s">
        <v>1195</v>
      </c>
      <c r="D95" s="580" t="s">
        <v>1213</v>
      </c>
      <c r="E95" s="472"/>
      <c r="F95" s="90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88"/>
      <c r="AM95" s="888"/>
      <c r="AN95" s="888"/>
      <c r="AO95" s="888"/>
      <c r="AP95" s="888"/>
      <c r="AQ95" s="888"/>
      <c r="AR95" s="888"/>
      <c r="AS95" s="888"/>
      <c r="AT95" s="888"/>
      <c r="AU95" s="888"/>
      <c r="AV95" s="888"/>
      <c r="AW95" s="888"/>
      <c r="AX95" s="888"/>
      <c r="AY95" s="888"/>
      <c r="AZ95" s="888"/>
      <c r="BA95" s="888"/>
      <c r="BB95" s="888"/>
      <c r="BC95" s="888"/>
      <c r="BD95" s="888"/>
      <c r="BE95" s="888"/>
      <c r="BF95" s="888"/>
      <c r="BG95" s="888"/>
      <c r="BH95" s="888"/>
      <c r="BI95" s="888"/>
      <c r="BJ95" s="888"/>
      <c r="BK95" s="888"/>
      <c r="BL95" s="888"/>
      <c r="BM95" s="888"/>
      <c r="BN95" s="888"/>
      <c r="BO95" s="888"/>
      <c r="BP95" s="888"/>
      <c r="BQ95" s="888"/>
      <c r="BR95" s="888"/>
      <c r="BS95" s="888"/>
      <c r="BT95" s="888"/>
      <c r="BU95" s="888"/>
      <c r="BV95" s="888"/>
      <c r="BW95" s="888"/>
      <c r="BX95" s="888"/>
      <c r="BY95" s="888"/>
      <c r="BZ95" s="888"/>
      <c r="CA95" s="888"/>
      <c r="CB95" s="888"/>
      <c r="CC95" s="888"/>
      <c r="CD95" s="888"/>
      <c r="CE95" s="888"/>
      <c r="CF95" s="888"/>
      <c r="CG95" s="888"/>
      <c r="CH95" s="888"/>
      <c r="CI95" s="888"/>
      <c r="CJ95" s="888"/>
      <c r="CK95" s="888"/>
      <c r="CL95" s="888"/>
      <c r="CM95" s="888"/>
      <c r="CN95" s="888"/>
      <c r="CO95" s="888"/>
      <c r="CP95" s="888"/>
      <c r="CQ95" s="888"/>
      <c r="CR95" s="888"/>
      <c r="CS95" s="888"/>
      <c r="CT95" s="888"/>
      <c r="CU95" s="888"/>
      <c r="CV95" s="888"/>
      <c r="CW95" s="888"/>
      <c r="CX95" s="888"/>
      <c r="CY95" s="888"/>
      <c r="CZ95" s="888"/>
      <c r="DA95" s="888"/>
      <c r="DB95" s="888"/>
      <c r="DC95" s="888"/>
      <c r="DD95" s="888"/>
      <c r="DE95" s="888"/>
      <c r="DF95" s="888"/>
      <c r="DG95" s="888"/>
      <c r="DH95" s="888"/>
      <c r="DI95" s="888"/>
      <c r="DJ95" s="888"/>
      <c r="DK95" s="888"/>
      <c r="DL95" s="888"/>
      <c r="DM95" s="888"/>
      <c r="DN95" s="888"/>
      <c r="DO95" s="888"/>
      <c r="DP95" s="888"/>
      <c r="DQ95" s="888"/>
      <c r="DR95" s="888"/>
      <c r="DS95" s="888"/>
      <c r="DT95" s="888"/>
      <c r="DU95" s="888"/>
      <c r="DV95" s="888"/>
      <c r="DW95" s="888"/>
      <c r="DX95" s="888"/>
      <c r="DY95" s="888"/>
      <c r="DZ95" s="888"/>
      <c r="EA95" s="888"/>
      <c r="EB95" s="888"/>
      <c r="EC95" s="888"/>
      <c r="ED95" s="888"/>
      <c r="EE95" s="888"/>
      <c r="EF95" s="888"/>
      <c r="EG95" s="888"/>
      <c r="EH95" s="888"/>
      <c r="EI95" s="888"/>
    </row>
    <row r="96" spans="2:139" s="463" customFormat="1" ht="29.25" thickBot="1" x14ac:dyDescent="0.5">
      <c r="B96" s="932"/>
      <c r="C96" s="367" t="s">
        <v>1196</v>
      </c>
      <c r="D96" s="582" t="s">
        <v>1214</v>
      </c>
      <c r="E96" s="472"/>
      <c r="F96" s="90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88"/>
      <c r="AM96" s="888"/>
      <c r="AN96" s="888"/>
      <c r="AO96" s="888"/>
      <c r="AP96" s="888"/>
      <c r="AQ96" s="888"/>
      <c r="AR96" s="888"/>
      <c r="AS96" s="888"/>
      <c r="AT96" s="888"/>
      <c r="AU96" s="888"/>
      <c r="AV96" s="888"/>
      <c r="AW96" s="888"/>
      <c r="AX96" s="888"/>
      <c r="AY96" s="888"/>
      <c r="AZ96" s="888"/>
      <c r="BA96" s="888"/>
      <c r="BB96" s="888"/>
      <c r="BC96" s="888"/>
      <c r="BD96" s="888"/>
      <c r="BE96" s="888"/>
      <c r="BF96" s="888"/>
      <c r="BG96" s="888"/>
      <c r="BH96" s="888"/>
      <c r="BI96" s="888"/>
      <c r="BJ96" s="888"/>
      <c r="BK96" s="888"/>
      <c r="BL96" s="888"/>
      <c r="BM96" s="888"/>
      <c r="BN96" s="888"/>
      <c r="BO96" s="888"/>
      <c r="BP96" s="888"/>
      <c r="BQ96" s="888"/>
      <c r="BR96" s="888"/>
      <c r="BS96" s="888"/>
      <c r="BT96" s="888"/>
      <c r="BU96" s="888"/>
      <c r="BV96" s="888"/>
      <c r="BW96" s="888"/>
      <c r="BX96" s="888"/>
      <c r="BY96" s="888"/>
      <c r="BZ96" s="888"/>
      <c r="CA96" s="888"/>
      <c r="CB96" s="888"/>
      <c r="CC96" s="888"/>
      <c r="CD96" s="888"/>
      <c r="CE96" s="888"/>
      <c r="CF96" s="888"/>
      <c r="CG96" s="888"/>
      <c r="CH96" s="888"/>
      <c r="CI96" s="888"/>
      <c r="CJ96" s="888"/>
      <c r="CK96" s="888"/>
      <c r="CL96" s="888"/>
      <c r="CM96" s="888"/>
      <c r="CN96" s="888"/>
      <c r="CO96" s="888"/>
      <c r="CP96" s="888"/>
      <c r="CQ96" s="888"/>
      <c r="CR96" s="888"/>
      <c r="CS96" s="888"/>
      <c r="CT96" s="888"/>
      <c r="CU96" s="888"/>
      <c r="CV96" s="888"/>
      <c r="CW96" s="888"/>
      <c r="CX96" s="888"/>
      <c r="CY96" s="888"/>
      <c r="CZ96" s="888"/>
      <c r="DA96" s="888"/>
      <c r="DB96" s="888"/>
      <c r="DC96" s="888"/>
      <c r="DD96" s="888"/>
      <c r="DE96" s="888"/>
      <c r="DF96" s="888"/>
      <c r="DG96" s="888"/>
      <c r="DH96" s="888"/>
      <c r="DI96" s="888"/>
      <c r="DJ96" s="888"/>
      <c r="DK96" s="888"/>
      <c r="DL96" s="888"/>
      <c r="DM96" s="888"/>
      <c r="DN96" s="888"/>
      <c r="DO96" s="888"/>
      <c r="DP96" s="888"/>
      <c r="DQ96" s="888"/>
      <c r="DR96" s="888"/>
      <c r="DS96" s="888"/>
      <c r="DT96" s="888"/>
      <c r="DU96" s="888"/>
      <c r="DV96" s="888"/>
      <c r="DW96" s="888"/>
      <c r="DX96" s="888"/>
      <c r="DY96" s="888"/>
      <c r="DZ96" s="888"/>
      <c r="EA96" s="888"/>
      <c r="EB96" s="888"/>
      <c r="EC96" s="888"/>
      <c r="ED96" s="888"/>
      <c r="EE96" s="888"/>
      <c r="EF96" s="888"/>
      <c r="EG96" s="888"/>
      <c r="EH96" s="888"/>
      <c r="EI96" s="888"/>
    </row>
    <row r="97" spans="2:6" x14ac:dyDescent="0.45">
      <c r="B97" s="935" t="s">
        <v>112</v>
      </c>
      <c r="C97" s="936"/>
      <c r="D97" s="936"/>
      <c r="E97" s="936"/>
      <c r="F97" s="937"/>
    </row>
    <row r="98" spans="2:6" ht="114" x14ac:dyDescent="0.45">
      <c r="B98" s="934" t="s">
        <v>20</v>
      </c>
      <c r="C98" s="495" t="s">
        <v>1062</v>
      </c>
      <c r="D98" s="812" t="s">
        <v>174</v>
      </c>
      <c r="E98" s="436" t="s">
        <v>44</v>
      </c>
      <c r="F98" s="902" t="s">
        <v>180</v>
      </c>
    </row>
    <row r="99" spans="2:6" ht="85.5" x14ac:dyDescent="0.45">
      <c r="B99" s="934"/>
      <c r="C99" s="495" t="s">
        <v>175</v>
      </c>
      <c r="D99" s="812" t="s">
        <v>176</v>
      </c>
      <c r="E99" s="436" t="s">
        <v>122</v>
      </c>
      <c r="F99" s="902"/>
    </row>
    <row r="100" spans="2:6" ht="57" x14ac:dyDescent="0.45">
      <c r="B100" s="934"/>
      <c r="C100" s="495" t="s">
        <v>326</v>
      </c>
      <c r="D100" s="812" t="s">
        <v>177</v>
      </c>
      <c r="E100" s="436" t="s">
        <v>45</v>
      </c>
      <c r="F100" s="902"/>
    </row>
    <row r="101" spans="2:6" ht="57" x14ac:dyDescent="0.45">
      <c r="B101" s="934"/>
      <c r="C101" s="443" t="s">
        <v>1063</v>
      </c>
      <c r="D101" s="812" t="s">
        <v>178</v>
      </c>
      <c r="E101" s="436" t="s">
        <v>46</v>
      </c>
      <c r="F101" s="902"/>
    </row>
    <row r="102" spans="2:6" ht="86.25" thickBot="1" x14ac:dyDescent="0.5">
      <c r="B102" s="934"/>
      <c r="C102" s="443" t="s">
        <v>327</v>
      </c>
      <c r="D102" s="812" t="s">
        <v>179</v>
      </c>
      <c r="E102" s="436" t="s">
        <v>47</v>
      </c>
      <c r="F102" s="902"/>
    </row>
    <row r="103" spans="2:6" ht="57" x14ac:dyDescent="0.45">
      <c r="B103" s="930" t="s">
        <v>1244</v>
      </c>
      <c r="C103" s="829" t="s">
        <v>158</v>
      </c>
      <c r="D103" s="831" t="s">
        <v>973</v>
      </c>
      <c r="E103" s="436" t="s">
        <v>979</v>
      </c>
      <c r="F103" s="902" t="s">
        <v>980</v>
      </c>
    </row>
    <row r="104" spans="2:6" ht="83.25" customHeight="1" thickBot="1" x14ac:dyDescent="0.5">
      <c r="B104" s="932"/>
      <c r="C104" s="830" t="s">
        <v>150</v>
      </c>
      <c r="D104" s="831" t="s">
        <v>974</v>
      </c>
      <c r="E104" s="436" t="s">
        <v>981</v>
      </c>
      <c r="F104" s="902" t="s">
        <v>980</v>
      </c>
    </row>
    <row r="105" spans="2:6" ht="31.5" customHeight="1" x14ac:dyDescent="0.45">
      <c r="B105" s="974" t="s">
        <v>1241</v>
      </c>
      <c r="C105" s="646" t="s">
        <v>158</v>
      </c>
      <c r="D105" s="629" t="s">
        <v>1242</v>
      </c>
      <c r="E105" s="436"/>
      <c r="F105" s="902"/>
    </row>
    <row r="106" spans="2:6" ht="29.25" thickBot="1" x14ac:dyDescent="0.5">
      <c r="B106" s="975"/>
      <c r="C106" s="647" t="s">
        <v>150</v>
      </c>
      <c r="D106" s="630" t="s">
        <v>1243</v>
      </c>
      <c r="E106" s="436"/>
      <c r="F106" s="902"/>
    </row>
    <row r="107" spans="2:6" x14ac:dyDescent="0.45">
      <c r="B107" s="935" t="s">
        <v>124</v>
      </c>
      <c r="C107" s="936"/>
      <c r="D107" s="936"/>
      <c r="E107" s="936"/>
      <c r="F107" s="937"/>
    </row>
    <row r="108" spans="2:6" ht="85.5" x14ac:dyDescent="0.45">
      <c r="B108" s="933" t="s">
        <v>582</v>
      </c>
      <c r="C108" s="495" t="s">
        <v>1064</v>
      </c>
      <c r="D108" s="812" t="s">
        <v>184</v>
      </c>
      <c r="E108" s="436" t="s">
        <v>49</v>
      </c>
      <c r="F108" s="902" t="s">
        <v>197</v>
      </c>
    </row>
    <row r="109" spans="2:6" ht="57" x14ac:dyDescent="0.45">
      <c r="B109" s="933"/>
      <c r="C109" s="495" t="s">
        <v>711</v>
      </c>
      <c r="D109" s="812" t="s">
        <v>558</v>
      </c>
      <c r="E109" s="424" t="s">
        <v>712</v>
      </c>
      <c r="F109" s="896" t="s">
        <v>713</v>
      </c>
    </row>
    <row r="110" spans="2:6" ht="57" x14ac:dyDescent="0.45">
      <c r="B110" s="933"/>
      <c r="C110" s="495" t="s">
        <v>714</v>
      </c>
      <c r="D110" s="812" t="s">
        <v>559</v>
      </c>
      <c r="E110" s="424" t="s">
        <v>715</v>
      </c>
      <c r="F110" s="896" t="s">
        <v>713</v>
      </c>
    </row>
    <row r="111" spans="2:6" ht="142.5" x14ac:dyDescent="0.45">
      <c r="B111" s="933"/>
      <c r="C111" s="495" t="s">
        <v>1065</v>
      </c>
      <c r="D111" s="812" t="s">
        <v>185</v>
      </c>
      <c r="E111" s="436" t="s">
        <v>48</v>
      </c>
      <c r="F111" s="902" t="s">
        <v>198</v>
      </c>
    </row>
    <row r="112" spans="2:6" ht="85.5" x14ac:dyDescent="0.45">
      <c r="B112" s="909" t="s">
        <v>583</v>
      </c>
      <c r="C112" s="444" t="s">
        <v>633</v>
      </c>
      <c r="D112" s="812" t="s">
        <v>186</v>
      </c>
      <c r="E112" s="436" t="s">
        <v>120</v>
      </c>
      <c r="F112" s="902" t="s">
        <v>199</v>
      </c>
    </row>
    <row r="113" spans="2:6" ht="57" x14ac:dyDescent="0.45">
      <c r="B113" s="933" t="s">
        <v>575</v>
      </c>
      <c r="C113" s="443" t="s">
        <v>393</v>
      </c>
      <c r="D113" s="812" t="s">
        <v>576</v>
      </c>
      <c r="E113" s="424" t="s">
        <v>716</v>
      </c>
      <c r="F113" s="896" t="s">
        <v>717</v>
      </c>
    </row>
    <row r="114" spans="2:6" ht="57" x14ac:dyDescent="0.45">
      <c r="B114" s="933"/>
      <c r="C114" s="443" t="s">
        <v>388</v>
      </c>
      <c r="D114" s="812" t="s">
        <v>577</v>
      </c>
      <c r="E114" s="424" t="s">
        <v>718</v>
      </c>
      <c r="F114" s="896" t="s">
        <v>717</v>
      </c>
    </row>
    <row r="115" spans="2:6" ht="57" x14ac:dyDescent="0.45">
      <c r="B115" s="933"/>
      <c r="C115" s="495" t="s">
        <v>389</v>
      </c>
      <c r="D115" s="812" t="s">
        <v>578</v>
      </c>
      <c r="E115" s="424" t="s">
        <v>719</v>
      </c>
      <c r="F115" s="896" t="s">
        <v>717</v>
      </c>
    </row>
    <row r="116" spans="2:6" ht="57" x14ac:dyDescent="0.45">
      <c r="B116" s="933"/>
      <c r="C116" s="495" t="s">
        <v>390</v>
      </c>
      <c r="D116" s="812" t="s">
        <v>579</v>
      </c>
      <c r="E116" s="424" t="s">
        <v>720</v>
      </c>
      <c r="F116" s="896" t="s">
        <v>717</v>
      </c>
    </row>
    <row r="117" spans="2:6" ht="57" x14ac:dyDescent="0.45">
      <c r="B117" s="933"/>
      <c r="C117" s="495" t="s">
        <v>391</v>
      </c>
      <c r="D117" s="812" t="s">
        <v>580</v>
      </c>
      <c r="E117" s="424" t="s">
        <v>721</v>
      </c>
      <c r="F117" s="896" t="s">
        <v>717</v>
      </c>
    </row>
    <row r="118" spans="2:6" ht="57" x14ac:dyDescent="0.45">
      <c r="B118" s="933"/>
      <c r="C118" s="495" t="s">
        <v>392</v>
      </c>
      <c r="D118" s="812" t="s">
        <v>581</v>
      </c>
      <c r="E118" s="424" t="s">
        <v>722</v>
      </c>
      <c r="F118" s="896" t="s">
        <v>717</v>
      </c>
    </row>
    <row r="119" spans="2:6" ht="57" hidden="1" x14ac:dyDescent="0.45">
      <c r="B119" s="933" t="s">
        <v>1111</v>
      </c>
      <c r="C119" s="495" t="s">
        <v>556</v>
      </c>
      <c r="D119" s="812" t="s">
        <v>350</v>
      </c>
      <c r="E119" s="436" t="s">
        <v>723</v>
      </c>
      <c r="F119" s="902" t="s">
        <v>724</v>
      </c>
    </row>
    <row r="120" spans="2:6" ht="57" hidden="1" x14ac:dyDescent="0.45">
      <c r="B120" s="933"/>
      <c r="C120" s="495" t="s">
        <v>725</v>
      </c>
      <c r="D120" s="812" t="s">
        <v>560</v>
      </c>
      <c r="E120" s="424" t="s">
        <v>726</v>
      </c>
      <c r="F120" s="896" t="s">
        <v>727</v>
      </c>
    </row>
    <row r="121" spans="2:6" ht="57" hidden="1" x14ac:dyDescent="0.45">
      <c r="B121" s="933"/>
      <c r="C121" s="495" t="s">
        <v>728</v>
      </c>
      <c r="D121" s="812" t="s">
        <v>561</v>
      </c>
      <c r="E121" s="424" t="s">
        <v>729</v>
      </c>
      <c r="F121" s="896" t="s">
        <v>730</v>
      </c>
    </row>
    <row r="122" spans="2:6" ht="85.5" hidden="1" x14ac:dyDescent="0.45">
      <c r="B122" s="933"/>
      <c r="C122" s="495" t="s">
        <v>1066</v>
      </c>
      <c r="D122" s="812" t="s">
        <v>187</v>
      </c>
      <c r="E122" s="436" t="s">
        <v>50</v>
      </c>
      <c r="F122" s="902" t="s">
        <v>200</v>
      </c>
    </row>
    <row r="123" spans="2:6" ht="85.5" hidden="1" x14ac:dyDescent="0.45">
      <c r="B123" s="933"/>
      <c r="C123" s="444" t="s">
        <v>562</v>
      </c>
      <c r="D123" s="812" t="s">
        <v>563</v>
      </c>
      <c r="E123" s="424" t="s">
        <v>731</v>
      </c>
      <c r="F123" s="896" t="s">
        <v>732</v>
      </c>
    </row>
    <row r="124" spans="2:6" ht="114" hidden="1" x14ac:dyDescent="0.45">
      <c r="B124" s="933" t="s">
        <v>574</v>
      </c>
      <c r="C124" s="495" t="s">
        <v>393</v>
      </c>
      <c r="D124" s="812" t="s">
        <v>584</v>
      </c>
      <c r="E124" s="424" t="s">
        <v>733</v>
      </c>
      <c r="F124" s="896"/>
    </row>
    <row r="125" spans="2:6" ht="85.5" hidden="1" x14ac:dyDescent="0.45">
      <c r="B125" s="933"/>
      <c r="C125" s="495" t="s">
        <v>388</v>
      </c>
      <c r="D125" s="812" t="s">
        <v>585</v>
      </c>
      <c r="E125" s="424" t="s">
        <v>734</v>
      </c>
      <c r="F125" s="896"/>
    </row>
    <row r="126" spans="2:6" ht="114" hidden="1" x14ac:dyDescent="0.45">
      <c r="B126" s="933"/>
      <c r="C126" s="495" t="s">
        <v>389</v>
      </c>
      <c r="D126" s="812" t="s">
        <v>586</v>
      </c>
      <c r="E126" s="424" t="s">
        <v>735</v>
      </c>
      <c r="F126" s="896"/>
    </row>
    <row r="127" spans="2:6" ht="85.5" hidden="1" x14ac:dyDescent="0.45">
      <c r="B127" s="933"/>
      <c r="C127" s="495" t="s">
        <v>390</v>
      </c>
      <c r="D127" s="812" t="s">
        <v>587</v>
      </c>
      <c r="E127" s="424" t="s">
        <v>736</v>
      </c>
      <c r="F127" s="896"/>
    </row>
    <row r="128" spans="2:6" ht="114" hidden="1" x14ac:dyDescent="0.45">
      <c r="B128" s="933"/>
      <c r="C128" s="495" t="s">
        <v>391</v>
      </c>
      <c r="D128" s="812" t="s">
        <v>588</v>
      </c>
      <c r="E128" s="424" t="s">
        <v>737</v>
      </c>
      <c r="F128" s="896"/>
    </row>
    <row r="129" spans="2:6" ht="114" hidden="1" x14ac:dyDescent="0.45">
      <c r="B129" s="933"/>
      <c r="C129" s="495" t="s">
        <v>392</v>
      </c>
      <c r="D129" s="812" t="s">
        <v>589</v>
      </c>
      <c r="E129" s="424" t="s">
        <v>738</v>
      </c>
      <c r="F129" s="896"/>
    </row>
    <row r="130" spans="2:6" ht="57" hidden="1" x14ac:dyDescent="0.45">
      <c r="B130" s="934" t="s">
        <v>28</v>
      </c>
      <c r="C130" s="495" t="s">
        <v>188</v>
      </c>
      <c r="D130" s="812" t="s">
        <v>189</v>
      </c>
      <c r="E130" s="436" t="s">
        <v>51</v>
      </c>
      <c r="F130" s="902" t="s">
        <v>200</v>
      </c>
    </row>
    <row r="131" spans="2:6" ht="57" hidden="1" x14ac:dyDescent="0.45">
      <c r="B131" s="934"/>
      <c r="C131" s="495" t="s">
        <v>328</v>
      </c>
      <c r="D131" s="812" t="s">
        <v>190</v>
      </c>
      <c r="E131" s="436" t="s">
        <v>52</v>
      </c>
      <c r="F131" s="902" t="s">
        <v>200</v>
      </c>
    </row>
    <row r="132" spans="2:6" ht="85.5" hidden="1" x14ac:dyDescent="0.45">
      <c r="B132" s="934"/>
      <c r="C132" s="495" t="s">
        <v>329</v>
      </c>
      <c r="D132" s="812" t="s">
        <v>351</v>
      </c>
      <c r="E132" s="436" t="s">
        <v>53</v>
      </c>
      <c r="F132" s="902" t="s">
        <v>204</v>
      </c>
    </row>
    <row r="133" spans="2:6" ht="57" x14ac:dyDescent="0.45">
      <c r="B133" s="934" t="s">
        <v>21</v>
      </c>
      <c r="C133" s="495" t="s">
        <v>1067</v>
      </c>
      <c r="D133" s="812" t="s">
        <v>352</v>
      </c>
      <c r="E133" s="436" t="s">
        <v>54</v>
      </c>
      <c r="F133" s="902" t="s">
        <v>201</v>
      </c>
    </row>
    <row r="134" spans="2:6" ht="57" x14ac:dyDescent="0.45">
      <c r="B134" s="934"/>
      <c r="C134" s="495" t="s">
        <v>1068</v>
      </c>
      <c r="D134" s="812" t="s">
        <v>353</v>
      </c>
      <c r="E134" s="436" t="s">
        <v>86</v>
      </c>
      <c r="F134" s="902" t="s">
        <v>202</v>
      </c>
    </row>
    <row r="135" spans="2:6" ht="57" x14ac:dyDescent="0.45">
      <c r="B135" s="934"/>
      <c r="C135" s="495" t="s">
        <v>191</v>
      </c>
      <c r="D135" s="812" t="s">
        <v>192</v>
      </c>
      <c r="E135" s="436" t="s">
        <v>87</v>
      </c>
      <c r="F135" s="902" t="s">
        <v>203</v>
      </c>
    </row>
    <row r="136" spans="2:6" ht="57" x14ac:dyDescent="0.45">
      <c r="B136" s="934"/>
      <c r="C136" s="495" t="s">
        <v>1069</v>
      </c>
      <c r="D136" s="812" t="s">
        <v>193</v>
      </c>
      <c r="E136" s="436" t="s">
        <v>88</v>
      </c>
      <c r="F136" s="902" t="s">
        <v>203</v>
      </c>
    </row>
    <row r="137" spans="2:6" ht="57" x14ac:dyDescent="0.45">
      <c r="B137" s="934"/>
      <c r="C137" s="495" t="s">
        <v>1070</v>
      </c>
      <c r="D137" s="812" t="s">
        <v>194</v>
      </c>
      <c r="E137" s="436" t="s">
        <v>89</v>
      </c>
      <c r="F137" s="902" t="s">
        <v>630</v>
      </c>
    </row>
    <row r="138" spans="2:6" ht="57" x14ac:dyDescent="0.45">
      <c r="B138" s="934"/>
      <c r="C138" s="495" t="s">
        <v>330</v>
      </c>
      <c r="D138" s="812" t="s">
        <v>195</v>
      </c>
      <c r="E138" s="436" t="s">
        <v>90</v>
      </c>
      <c r="F138" s="902" t="s">
        <v>205</v>
      </c>
    </row>
    <row r="139" spans="2:6" x14ac:dyDescent="0.45">
      <c r="B139" s="934"/>
      <c r="C139" s="495" t="s">
        <v>1071</v>
      </c>
      <c r="D139" s="812" t="s">
        <v>196</v>
      </c>
      <c r="E139" s="436" t="s">
        <v>91</v>
      </c>
      <c r="F139" s="902" t="s">
        <v>631</v>
      </c>
    </row>
    <row r="140" spans="2:6" ht="79.5" thickBot="1" x14ac:dyDescent="0.5">
      <c r="B140" s="874" t="s">
        <v>1015</v>
      </c>
      <c r="C140" s="510" t="s">
        <v>1220</v>
      </c>
      <c r="D140" s="578" t="s">
        <v>1016</v>
      </c>
      <c r="E140" s="436"/>
      <c r="F140" s="902"/>
    </row>
    <row r="141" spans="2:6" x14ac:dyDescent="0.45">
      <c r="B141" s="994" t="s">
        <v>1190</v>
      </c>
      <c r="C141" s="91" t="s">
        <v>1191</v>
      </c>
      <c r="D141" s="872" t="s">
        <v>189</v>
      </c>
      <c r="E141" s="436"/>
      <c r="F141" s="902"/>
    </row>
    <row r="142" spans="2:6" ht="29.25" thickBot="1" x14ac:dyDescent="0.5">
      <c r="B142" s="995"/>
      <c r="C142" s="118" t="s">
        <v>1192</v>
      </c>
      <c r="D142" s="873" t="s">
        <v>190</v>
      </c>
      <c r="E142" s="436"/>
      <c r="F142" s="902"/>
    </row>
    <row r="143" spans="2:6" x14ac:dyDescent="0.45">
      <c r="B143" s="996" t="s">
        <v>1217</v>
      </c>
      <c r="C143" s="515" t="s">
        <v>1215</v>
      </c>
      <c r="D143" s="873" t="s">
        <v>1218</v>
      </c>
      <c r="E143" s="513"/>
      <c r="F143" s="902"/>
    </row>
    <row r="144" spans="2:6" ht="29.25" thickBot="1" x14ac:dyDescent="0.5">
      <c r="B144" s="997"/>
      <c r="C144" s="516" t="s">
        <v>1216</v>
      </c>
      <c r="D144" s="818" t="s">
        <v>1219</v>
      </c>
      <c r="E144" s="513"/>
      <c r="F144" s="902"/>
    </row>
    <row r="145" spans="1:139" ht="143.25" hidden="1" thickBot="1" x14ac:dyDescent="0.5">
      <c r="B145" s="962" t="s">
        <v>114</v>
      </c>
      <c r="C145" s="514" t="s">
        <v>1072</v>
      </c>
      <c r="D145" s="811" t="s">
        <v>354</v>
      </c>
      <c r="E145" s="436" t="s">
        <v>135</v>
      </c>
      <c r="F145" s="902" t="s">
        <v>206</v>
      </c>
    </row>
    <row r="146" spans="1:139" ht="143.25" hidden="1" thickBot="1" x14ac:dyDescent="0.5">
      <c r="B146" s="934"/>
      <c r="C146" s="496" t="s">
        <v>331</v>
      </c>
      <c r="D146" s="812" t="s">
        <v>355</v>
      </c>
      <c r="E146" s="436" t="s">
        <v>134</v>
      </c>
      <c r="F146" s="902" t="s">
        <v>207</v>
      </c>
    </row>
    <row r="147" spans="1:139" x14ac:dyDescent="0.45">
      <c r="B147" s="979" t="s">
        <v>1262</v>
      </c>
      <c r="C147" s="832" t="s">
        <v>391</v>
      </c>
      <c r="D147" s="834" t="s">
        <v>1263</v>
      </c>
      <c r="E147" s="436"/>
      <c r="F147" s="902"/>
    </row>
    <row r="148" spans="1:139" ht="29.25" thickBot="1" x14ac:dyDescent="0.5">
      <c r="B148" s="975"/>
      <c r="C148" s="833" t="s">
        <v>389</v>
      </c>
      <c r="D148" s="835" t="s">
        <v>1264</v>
      </c>
      <c r="E148" s="436"/>
      <c r="F148" s="902"/>
    </row>
    <row r="149" spans="1:139" x14ac:dyDescent="0.45">
      <c r="B149" s="956" t="s">
        <v>1265</v>
      </c>
      <c r="C149" s="957"/>
      <c r="D149" s="957"/>
      <c r="E149" s="957"/>
      <c r="F149" s="958"/>
    </row>
    <row r="150" spans="1:139" s="18" customFormat="1" ht="33.4" customHeight="1" thickBot="1" x14ac:dyDescent="0.45">
      <c r="B150" s="956" t="s">
        <v>1308</v>
      </c>
      <c r="C150" s="957"/>
      <c r="D150" s="957"/>
      <c r="E150" s="957"/>
      <c r="F150" s="958"/>
      <c r="G150" s="889"/>
      <c r="H150" s="889"/>
      <c r="I150" s="889"/>
      <c r="J150" s="889"/>
      <c r="K150" s="889"/>
      <c r="L150" s="889"/>
      <c r="M150" s="889"/>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89"/>
      <c r="AJ150" s="889"/>
      <c r="AK150" s="889"/>
      <c r="AL150" s="889"/>
      <c r="AM150" s="889"/>
      <c r="AN150" s="889"/>
      <c r="AO150" s="482">
        <v>97</v>
      </c>
      <c r="AP150" s="74"/>
      <c r="AQ150" s="890"/>
      <c r="AR150" s="891"/>
      <c r="AS150" s="891"/>
      <c r="AT150" s="891"/>
      <c r="AU150" s="891"/>
      <c r="AV150" s="891"/>
      <c r="AW150" s="891"/>
      <c r="AX150" s="891"/>
      <c r="AY150" s="891"/>
      <c r="AZ150" s="891"/>
      <c r="BA150" s="891"/>
      <c r="BB150" s="891"/>
      <c r="BC150" s="891"/>
      <c r="BD150" s="891"/>
      <c r="BE150" s="891"/>
      <c r="BF150" s="891"/>
      <c r="BG150" s="891"/>
      <c r="BH150" s="891"/>
      <c r="BI150" s="891"/>
      <c r="BJ150" s="891"/>
      <c r="BK150" s="891"/>
      <c r="BL150" s="891"/>
      <c r="BM150" s="891"/>
      <c r="BN150" s="891"/>
      <c r="BO150" s="891"/>
      <c r="BP150" s="891"/>
      <c r="BQ150" s="891"/>
      <c r="BR150" s="891"/>
      <c r="BS150" s="891"/>
      <c r="BT150" s="891"/>
      <c r="BU150" s="891"/>
      <c r="BV150" s="891"/>
      <c r="BW150" s="891"/>
      <c r="BX150" s="891"/>
      <c r="BY150" s="891"/>
      <c r="BZ150" s="891"/>
      <c r="CA150" s="891"/>
      <c r="CB150" s="891"/>
      <c r="CC150" s="891"/>
      <c r="CD150" s="891"/>
      <c r="CE150" s="891"/>
      <c r="CF150" s="891"/>
      <c r="CG150" s="891"/>
      <c r="CH150" s="891"/>
      <c r="CI150" s="891"/>
      <c r="CJ150" s="891"/>
      <c r="CK150" s="891"/>
      <c r="CL150" s="891"/>
      <c r="CM150" s="891"/>
      <c r="CN150" s="891"/>
      <c r="CO150" s="891"/>
      <c r="CP150" s="891"/>
      <c r="CQ150" s="891"/>
      <c r="CR150" s="891"/>
      <c r="CS150" s="891"/>
      <c r="CT150" s="891"/>
      <c r="CU150" s="891"/>
      <c r="CV150" s="891"/>
      <c r="CW150" s="891"/>
      <c r="CX150" s="891"/>
      <c r="CY150" s="891"/>
      <c r="CZ150" s="891"/>
      <c r="DA150" s="891"/>
      <c r="DB150" s="891"/>
      <c r="DC150" s="891"/>
      <c r="DD150" s="891"/>
      <c r="DE150" s="891"/>
      <c r="DF150" s="891"/>
      <c r="DG150" s="891"/>
      <c r="DH150" s="891"/>
      <c r="DI150" s="891"/>
      <c r="DJ150" s="891"/>
      <c r="DK150" s="891"/>
      <c r="DL150" s="891"/>
      <c r="DM150" s="891"/>
      <c r="DN150" s="891"/>
      <c r="DO150" s="891"/>
      <c r="DP150" s="891"/>
      <c r="DQ150" s="891"/>
      <c r="DR150" s="891"/>
      <c r="DS150" s="891"/>
      <c r="DT150" s="891"/>
      <c r="DU150" s="891"/>
      <c r="DV150" s="891"/>
      <c r="DW150" s="891"/>
      <c r="DX150" s="891"/>
      <c r="DY150" s="891"/>
      <c r="DZ150" s="891"/>
      <c r="EA150" s="891"/>
      <c r="EB150" s="891"/>
      <c r="EC150" s="891"/>
      <c r="ED150" s="891"/>
      <c r="EE150" s="891"/>
      <c r="EF150" s="891"/>
      <c r="EG150" s="891"/>
      <c r="EH150" s="891"/>
      <c r="EI150" s="891"/>
    </row>
    <row r="151" spans="1:139" s="838" customFormat="1" x14ac:dyDescent="0.45">
      <c r="A151" s="878"/>
      <c r="B151" s="871" t="s">
        <v>1266</v>
      </c>
      <c r="C151" s="648" t="s">
        <v>1267</v>
      </c>
      <c r="D151" s="599" t="s">
        <v>1272</v>
      </c>
      <c r="E151" s="837"/>
      <c r="F151" s="910"/>
      <c r="G151" s="876"/>
      <c r="H151" s="876"/>
      <c r="I151" s="876"/>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c r="CU151" s="876"/>
      <c r="CV151" s="876"/>
      <c r="CW151" s="876"/>
      <c r="CX151" s="876"/>
      <c r="CY151" s="876"/>
      <c r="CZ151" s="876"/>
      <c r="DA151" s="876"/>
      <c r="DB151" s="876"/>
      <c r="DC151" s="876"/>
      <c r="DD151" s="876"/>
      <c r="DE151" s="876"/>
      <c r="DF151" s="876"/>
      <c r="DG151" s="876"/>
      <c r="DH151" s="876"/>
      <c r="DI151" s="876"/>
      <c r="DJ151" s="876"/>
      <c r="DK151" s="876"/>
      <c r="DL151" s="876"/>
      <c r="DM151" s="876"/>
      <c r="DN151" s="876"/>
      <c r="DO151" s="876"/>
      <c r="DP151" s="876"/>
      <c r="DQ151" s="876"/>
      <c r="DR151" s="876"/>
      <c r="DS151" s="876"/>
      <c r="DT151" s="876"/>
      <c r="DU151" s="876"/>
      <c r="DV151" s="876"/>
      <c r="DW151" s="876"/>
      <c r="DX151" s="876"/>
      <c r="DY151" s="876"/>
      <c r="DZ151" s="876"/>
      <c r="EA151" s="876"/>
      <c r="EB151" s="876"/>
      <c r="EC151" s="876"/>
      <c r="ED151" s="876"/>
      <c r="EE151" s="876"/>
      <c r="EF151" s="876"/>
      <c r="EG151" s="876"/>
      <c r="EH151" s="876"/>
      <c r="EI151" s="876"/>
    </row>
    <row r="152" spans="1:139" ht="85.5" x14ac:dyDescent="0.45">
      <c r="B152" s="934" t="s">
        <v>948</v>
      </c>
      <c r="C152" s="836" t="s">
        <v>1073</v>
      </c>
      <c r="D152" s="811" t="s">
        <v>210</v>
      </c>
      <c r="E152" s="837" t="s">
        <v>81</v>
      </c>
      <c r="F152" s="910" t="s">
        <v>208</v>
      </c>
    </row>
    <row r="153" spans="1:139" ht="85.5" x14ac:dyDescent="0.45">
      <c r="B153" s="934"/>
      <c r="C153" s="495" t="s">
        <v>1074</v>
      </c>
      <c r="D153" s="812" t="s">
        <v>211</v>
      </c>
      <c r="E153" s="436" t="s">
        <v>950</v>
      </c>
      <c r="F153" s="902" t="s">
        <v>208</v>
      </c>
      <c r="G153" s="927"/>
      <c r="H153" s="927"/>
      <c r="I153" s="927"/>
      <c r="J153" s="927"/>
      <c r="K153" s="927"/>
      <c r="L153" s="927"/>
      <c r="M153" s="927"/>
      <c r="N153" s="927"/>
    </row>
    <row r="154" spans="1:139" ht="85.5" x14ac:dyDescent="0.45">
      <c r="B154" s="934" t="s">
        <v>949</v>
      </c>
      <c r="C154" s="495" t="s">
        <v>1075</v>
      </c>
      <c r="D154" s="812" t="s">
        <v>212</v>
      </c>
      <c r="E154" s="436" t="s">
        <v>951</v>
      </c>
      <c r="F154" s="902" t="s">
        <v>208</v>
      </c>
    </row>
    <row r="155" spans="1:139" ht="85.5" x14ac:dyDescent="0.45">
      <c r="B155" s="934"/>
      <c r="C155" s="495" t="s">
        <v>1074</v>
      </c>
      <c r="D155" s="812" t="s">
        <v>213</v>
      </c>
      <c r="E155" s="436" t="s">
        <v>952</v>
      </c>
      <c r="F155" s="902" t="s">
        <v>208</v>
      </c>
    </row>
    <row r="156" spans="1:139" ht="85.5" x14ac:dyDescent="0.45">
      <c r="B156" s="934" t="s">
        <v>29</v>
      </c>
      <c r="C156" s="496" t="s">
        <v>332</v>
      </c>
      <c r="D156" s="812" t="s">
        <v>214</v>
      </c>
      <c r="E156" s="436" t="s">
        <v>82</v>
      </c>
      <c r="F156" s="902" t="s">
        <v>208</v>
      </c>
    </row>
    <row r="157" spans="1:139" ht="85.5" x14ac:dyDescent="0.45">
      <c r="B157" s="934"/>
      <c r="C157" s="496" t="s">
        <v>333</v>
      </c>
      <c r="D157" s="812" t="s">
        <v>215</v>
      </c>
      <c r="E157" s="436" t="s">
        <v>209</v>
      </c>
      <c r="F157" s="902" t="s">
        <v>208</v>
      </c>
    </row>
    <row r="158" spans="1:139" ht="85.5" x14ac:dyDescent="0.45">
      <c r="B158" s="934" t="s">
        <v>30</v>
      </c>
      <c r="C158" s="496" t="s">
        <v>332</v>
      </c>
      <c r="D158" s="812" t="s">
        <v>216</v>
      </c>
      <c r="E158" s="436" t="s">
        <v>83</v>
      </c>
      <c r="F158" s="902" t="s">
        <v>208</v>
      </c>
    </row>
    <row r="159" spans="1:139" ht="85.5" x14ac:dyDescent="0.45">
      <c r="B159" s="934"/>
      <c r="C159" s="445" t="s">
        <v>1076</v>
      </c>
      <c r="D159" s="812" t="s">
        <v>217</v>
      </c>
      <c r="E159" s="436" t="s">
        <v>209</v>
      </c>
      <c r="F159" s="902" t="s">
        <v>208</v>
      </c>
    </row>
    <row r="160" spans="1:139" ht="85.5" x14ac:dyDescent="0.45">
      <c r="B160" s="934" t="s">
        <v>31</v>
      </c>
      <c r="C160" s="445" t="s">
        <v>332</v>
      </c>
      <c r="D160" s="812" t="s">
        <v>218</v>
      </c>
      <c r="E160" s="436" t="s">
        <v>84</v>
      </c>
      <c r="F160" s="902" t="s">
        <v>208</v>
      </c>
    </row>
    <row r="161" spans="1:139" ht="85.5" x14ac:dyDescent="0.45">
      <c r="B161" s="934"/>
      <c r="C161" s="496" t="s">
        <v>1077</v>
      </c>
      <c r="D161" s="812" t="s">
        <v>219</v>
      </c>
      <c r="E161" s="436" t="s">
        <v>209</v>
      </c>
      <c r="F161" s="902" t="s">
        <v>208</v>
      </c>
    </row>
    <row r="162" spans="1:139" ht="85.5" x14ac:dyDescent="0.45">
      <c r="B162" s="934" t="s">
        <v>32</v>
      </c>
      <c r="C162" s="496" t="s">
        <v>332</v>
      </c>
      <c r="D162" s="812" t="s">
        <v>220</v>
      </c>
      <c r="E162" s="436" t="s">
        <v>85</v>
      </c>
      <c r="F162" s="902" t="s">
        <v>208</v>
      </c>
    </row>
    <row r="163" spans="1:139" ht="85.5" x14ac:dyDescent="0.45">
      <c r="B163" s="934"/>
      <c r="C163" s="496" t="s">
        <v>334</v>
      </c>
      <c r="D163" s="812" t="s">
        <v>221</v>
      </c>
      <c r="E163" s="436" t="s">
        <v>209</v>
      </c>
      <c r="F163" s="902" t="s">
        <v>208</v>
      </c>
    </row>
    <row r="164" spans="1:139" s="18" customFormat="1" ht="33.4" customHeight="1" x14ac:dyDescent="0.4">
      <c r="B164" s="956" t="s">
        <v>1307</v>
      </c>
      <c r="C164" s="957"/>
      <c r="D164" s="957"/>
      <c r="E164" s="957"/>
      <c r="F164" s="958"/>
      <c r="G164" s="889"/>
      <c r="H164" s="889"/>
      <c r="I164" s="889"/>
      <c r="J164" s="889"/>
      <c r="K164" s="889"/>
      <c r="L164" s="889"/>
      <c r="M164" s="889"/>
      <c r="N164" s="889"/>
      <c r="O164" s="889"/>
      <c r="P164" s="889"/>
      <c r="Q164" s="889"/>
      <c r="R164" s="889"/>
      <c r="S164" s="889"/>
      <c r="T164" s="889"/>
      <c r="U164" s="889"/>
      <c r="V164" s="889"/>
      <c r="W164" s="889"/>
      <c r="X164" s="889"/>
      <c r="Y164" s="889"/>
      <c r="Z164" s="889"/>
      <c r="AA164" s="889"/>
      <c r="AB164" s="889"/>
      <c r="AC164" s="889"/>
      <c r="AD164" s="889"/>
      <c r="AE164" s="889"/>
      <c r="AF164" s="889"/>
      <c r="AG164" s="889"/>
      <c r="AH164" s="889"/>
      <c r="AI164" s="889"/>
      <c r="AJ164" s="889"/>
      <c r="AK164" s="889"/>
      <c r="AL164" s="889"/>
      <c r="AM164" s="889"/>
      <c r="AN164" s="889"/>
      <c r="AO164" s="482">
        <v>97</v>
      </c>
      <c r="AP164" s="74"/>
      <c r="AQ164" s="890"/>
      <c r="AR164" s="891"/>
      <c r="AS164" s="891"/>
      <c r="AT164" s="891"/>
      <c r="AU164" s="891"/>
      <c r="AV164" s="891"/>
      <c r="AW164" s="891"/>
      <c r="AX164" s="891"/>
      <c r="AY164" s="891"/>
      <c r="AZ164" s="891"/>
      <c r="BA164" s="891"/>
      <c r="BB164" s="891"/>
      <c r="BC164" s="891"/>
      <c r="BD164" s="891"/>
      <c r="BE164" s="891"/>
      <c r="BF164" s="891"/>
      <c r="BG164" s="891"/>
      <c r="BH164" s="891"/>
      <c r="BI164" s="891"/>
      <c r="BJ164" s="891"/>
      <c r="BK164" s="891"/>
      <c r="BL164" s="891"/>
      <c r="BM164" s="891"/>
      <c r="BN164" s="891"/>
      <c r="BO164" s="891"/>
      <c r="BP164" s="891"/>
      <c r="BQ164" s="891"/>
      <c r="BR164" s="891"/>
      <c r="BS164" s="891"/>
      <c r="BT164" s="891"/>
      <c r="BU164" s="891"/>
      <c r="BV164" s="891"/>
      <c r="BW164" s="891"/>
      <c r="BX164" s="891"/>
      <c r="BY164" s="891"/>
      <c r="BZ164" s="891"/>
      <c r="CA164" s="891"/>
      <c r="CB164" s="891"/>
      <c r="CC164" s="891"/>
      <c r="CD164" s="891"/>
      <c r="CE164" s="891"/>
      <c r="CF164" s="891"/>
      <c r="CG164" s="891"/>
      <c r="CH164" s="891"/>
      <c r="CI164" s="891"/>
      <c r="CJ164" s="891"/>
      <c r="CK164" s="891"/>
      <c r="CL164" s="891"/>
      <c r="CM164" s="891"/>
      <c r="CN164" s="891"/>
      <c r="CO164" s="891"/>
      <c r="CP164" s="891"/>
      <c r="CQ164" s="891"/>
      <c r="CR164" s="891"/>
      <c r="CS164" s="891"/>
      <c r="CT164" s="891"/>
      <c r="CU164" s="891"/>
      <c r="CV164" s="891"/>
      <c r="CW164" s="891"/>
      <c r="CX164" s="891"/>
      <c r="CY164" s="891"/>
      <c r="CZ164" s="891"/>
      <c r="DA164" s="891"/>
      <c r="DB164" s="891"/>
      <c r="DC164" s="891"/>
      <c r="DD164" s="891"/>
      <c r="DE164" s="891"/>
      <c r="DF164" s="891"/>
      <c r="DG164" s="891"/>
      <c r="DH164" s="891"/>
      <c r="DI164" s="891"/>
      <c r="DJ164" s="891"/>
      <c r="DK164" s="891"/>
      <c r="DL164" s="891"/>
      <c r="DM164" s="891"/>
      <c r="DN164" s="891"/>
      <c r="DO164" s="891"/>
      <c r="DP164" s="891"/>
      <c r="DQ164" s="891"/>
      <c r="DR164" s="891"/>
      <c r="DS164" s="891"/>
      <c r="DT164" s="891"/>
      <c r="DU164" s="891"/>
      <c r="DV164" s="891"/>
      <c r="DW164" s="891"/>
      <c r="DX164" s="891"/>
      <c r="DY164" s="891"/>
      <c r="DZ164" s="891"/>
      <c r="EA164" s="891"/>
      <c r="EB164" s="891"/>
      <c r="EC164" s="891"/>
      <c r="ED164" s="891"/>
      <c r="EE164" s="891"/>
      <c r="EF164" s="891"/>
      <c r="EG164" s="891"/>
      <c r="EH164" s="891"/>
      <c r="EI164" s="891"/>
    </row>
    <row r="165" spans="1:139" s="838" customFormat="1" x14ac:dyDescent="0.45">
      <c r="A165" s="878"/>
      <c r="B165" s="911" t="s">
        <v>1306</v>
      </c>
      <c r="C165" s="877" t="s">
        <v>1268</v>
      </c>
      <c r="D165" s="881" t="s">
        <v>1273</v>
      </c>
      <c r="E165" s="436"/>
      <c r="F165" s="912"/>
      <c r="G165" s="876"/>
      <c r="H165" s="876"/>
      <c r="I165" s="876"/>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c r="CU165" s="876"/>
      <c r="CV165" s="876"/>
      <c r="CW165" s="876"/>
      <c r="CX165" s="876"/>
      <c r="CY165" s="876"/>
      <c r="CZ165" s="876"/>
      <c r="DA165" s="876"/>
      <c r="DB165" s="876"/>
      <c r="DC165" s="876"/>
      <c r="DD165" s="876"/>
      <c r="DE165" s="876"/>
      <c r="DF165" s="876"/>
      <c r="DG165" s="876"/>
      <c r="DH165" s="876"/>
      <c r="DI165" s="876"/>
      <c r="DJ165" s="876"/>
      <c r="DK165" s="876"/>
      <c r="DL165" s="876"/>
      <c r="DM165" s="876"/>
      <c r="DN165" s="876"/>
      <c r="DO165" s="876"/>
      <c r="DP165" s="876"/>
      <c r="DQ165" s="876"/>
      <c r="DR165" s="876"/>
      <c r="DS165" s="876"/>
      <c r="DT165" s="876"/>
      <c r="DU165" s="876"/>
      <c r="DV165" s="876"/>
      <c r="DW165" s="876"/>
      <c r="DX165" s="876"/>
      <c r="DY165" s="876"/>
      <c r="DZ165" s="876"/>
      <c r="EA165" s="876"/>
      <c r="EB165" s="876"/>
      <c r="EC165" s="876"/>
      <c r="ED165" s="876"/>
      <c r="EE165" s="876"/>
      <c r="EF165" s="876"/>
      <c r="EG165" s="876"/>
      <c r="EH165" s="876"/>
      <c r="EI165" s="876"/>
    </row>
    <row r="166" spans="1:139" s="876" customFormat="1" x14ac:dyDescent="0.45">
      <c r="B166" s="1003" t="s">
        <v>1285</v>
      </c>
      <c r="C166" s="879" t="s">
        <v>1269</v>
      </c>
      <c r="D166" s="881" t="s">
        <v>1287</v>
      </c>
      <c r="E166" s="436"/>
      <c r="F166" s="912"/>
    </row>
    <row r="167" spans="1:139" s="876" customFormat="1" x14ac:dyDescent="0.45">
      <c r="B167" s="1003"/>
      <c r="C167" s="879" t="s">
        <v>1270</v>
      </c>
      <c r="D167" s="881" t="s">
        <v>1288</v>
      </c>
      <c r="E167" s="436"/>
      <c r="F167" s="912"/>
    </row>
    <row r="168" spans="1:139" s="876" customFormat="1" x14ac:dyDescent="0.45">
      <c r="B168" s="1003" t="s">
        <v>1286</v>
      </c>
      <c r="C168" s="879" t="s">
        <v>1271</v>
      </c>
      <c r="D168" s="881" t="s">
        <v>1289</v>
      </c>
      <c r="E168" s="436"/>
      <c r="F168" s="912"/>
    </row>
    <row r="169" spans="1:139" s="876" customFormat="1" x14ac:dyDescent="0.45">
      <c r="B169" s="1003"/>
      <c r="C169" s="879" t="s">
        <v>1270</v>
      </c>
      <c r="D169" s="881" t="s">
        <v>1290</v>
      </c>
      <c r="E169" s="436"/>
      <c r="F169" s="912"/>
    </row>
    <row r="170" spans="1:139" ht="28.5" customHeight="1" x14ac:dyDescent="0.45">
      <c r="B170" s="1004" t="s">
        <v>1300</v>
      </c>
      <c r="C170" s="880" t="s">
        <v>660</v>
      </c>
      <c r="D170" s="881" t="s">
        <v>1291</v>
      </c>
      <c r="E170" s="436"/>
      <c r="F170" s="912"/>
    </row>
    <row r="171" spans="1:139" x14ac:dyDescent="0.45">
      <c r="B171" s="1004"/>
      <c r="C171" s="880" t="s">
        <v>661</v>
      </c>
      <c r="D171" s="881" t="s">
        <v>1292</v>
      </c>
      <c r="E171" s="436"/>
      <c r="F171" s="912"/>
    </row>
    <row r="172" spans="1:139" x14ac:dyDescent="0.45">
      <c r="B172" s="1004" t="s">
        <v>1299</v>
      </c>
      <c r="C172" s="880" t="s">
        <v>660</v>
      </c>
      <c r="D172" s="881" t="s">
        <v>1293</v>
      </c>
      <c r="E172" s="436"/>
      <c r="F172" s="912"/>
    </row>
    <row r="173" spans="1:139" ht="57" customHeight="1" x14ac:dyDescent="0.45">
      <c r="B173" s="1004"/>
      <c r="C173" s="880" t="s">
        <v>661</v>
      </c>
      <c r="D173" s="881" t="s">
        <v>1294</v>
      </c>
      <c r="E173" s="436"/>
      <c r="F173" s="912"/>
    </row>
    <row r="174" spans="1:139" ht="85.5" customHeight="1" x14ac:dyDescent="0.45">
      <c r="B174" s="1004" t="s">
        <v>1301</v>
      </c>
      <c r="C174" s="880" t="s">
        <v>660</v>
      </c>
      <c r="D174" s="881" t="s">
        <v>1295</v>
      </c>
      <c r="E174" s="436"/>
      <c r="F174" s="912"/>
    </row>
    <row r="175" spans="1:139" x14ac:dyDescent="0.45">
      <c r="B175" s="1004"/>
      <c r="C175" s="880" t="s">
        <v>661</v>
      </c>
      <c r="D175" s="881" t="s">
        <v>1296</v>
      </c>
      <c r="E175" s="436"/>
      <c r="F175" s="912"/>
    </row>
    <row r="176" spans="1:139" ht="85.5" customHeight="1" x14ac:dyDescent="0.45">
      <c r="B176" s="1004" t="s">
        <v>1302</v>
      </c>
      <c r="C176" s="880" t="s">
        <v>660</v>
      </c>
      <c r="D176" s="881" t="s">
        <v>1297</v>
      </c>
      <c r="E176" s="436"/>
      <c r="F176" s="912"/>
    </row>
    <row r="177" spans="2:6" x14ac:dyDescent="0.45">
      <c r="B177" s="1004"/>
      <c r="C177" s="880" t="s">
        <v>661</v>
      </c>
      <c r="D177" s="881" t="s">
        <v>1298</v>
      </c>
      <c r="E177" s="436"/>
      <c r="F177" s="912"/>
    </row>
    <row r="178" spans="2:6" x14ac:dyDescent="0.45">
      <c r="B178" s="959" t="s">
        <v>125</v>
      </c>
      <c r="C178" s="960"/>
      <c r="D178" s="960"/>
      <c r="E178" s="960"/>
      <c r="F178" s="961"/>
    </row>
    <row r="179" spans="2:6" ht="114" x14ac:dyDescent="0.45">
      <c r="B179" s="934" t="s">
        <v>33</v>
      </c>
      <c r="C179" s="495" t="s">
        <v>1078</v>
      </c>
      <c r="D179" s="812" t="s">
        <v>356</v>
      </c>
      <c r="E179" s="436" t="s">
        <v>55</v>
      </c>
      <c r="F179" s="902" t="s">
        <v>224</v>
      </c>
    </row>
    <row r="180" spans="2:6" ht="85.5" x14ac:dyDescent="0.45">
      <c r="B180" s="934"/>
      <c r="C180" s="495" t="s">
        <v>223</v>
      </c>
      <c r="D180" s="812" t="s">
        <v>222</v>
      </c>
      <c r="E180" s="436" t="s">
        <v>57</v>
      </c>
      <c r="F180" s="902" t="s">
        <v>225</v>
      </c>
    </row>
    <row r="181" spans="2:6" x14ac:dyDescent="0.45">
      <c r="B181" s="934"/>
      <c r="C181" s="446" t="s">
        <v>990</v>
      </c>
      <c r="D181" s="819" t="s">
        <v>987</v>
      </c>
      <c r="E181" s="436"/>
      <c r="F181" s="902"/>
    </row>
    <row r="182" spans="2:6" ht="114" x14ac:dyDescent="0.45">
      <c r="B182" s="934"/>
      <c r="C182" s="495" t="s">
        <v>1079</v>
      </c>
      <c r="D182" s="812" t="s">
        <v>357</v>
      </c>
      <c r="E182" s="436" t="s">
        <v>56</v>
      </c>
      <c r="F182" s="902" t="s">
        <v>226</v>
      </c>
    </row>
    <row r="183" spans="2:6" ht="57" x14ac:dyDescent="0.45">
      <c r="B183" s="934"/>
      <c r="C183" s="495" t="s">
        <v>1080</v>
      </c>
      <c r="D183" s="812" t="s">
        <v>227</v>
      </c>
      <c r="E183" s="436" t="s">
        <v>58</v>
      </c>
      <c r="F183" s="902" t="s">
        <v>230</v>
      </c>
    </row>
    <row r="184" spans="2:6" ht="85.5" x14ac:dyDescent="0.45">
      <c r="B184" s="934"/>
      <c r="C184" s="495" t="s">
        <v>1081</v>
      </c>
      <c r="D184" s="812" t="s">
        <v>228</v>
      </c>
      <c r="E184" s="436" t="s">
        <v>59</v>
      </c>
      <c r="F184" s="902" t="s">
        <v>231</v>
      </c>
    </row>
    <row r="185" spans="2:6" ht="114" x14ac:dyDescent="0.45">
      <c r="B185" s="934"/>
      <c r="C185" s="495" t="s">
        <v>1082</v>
      </c>
      <c r="D185" s="812" t="s">
        <v>229</v>
      </c>
      <c r="E185" s="436" t="s">
        <v>60</v>
      </c>
      <c r="F185" s="902" t="s">
        <v>231</v>
      </c>
    </row>
    <row r="186" spans="2:6" ht="114" x14ac:dyDescent="0.45">
      <c r="B186" s="934" t="s">
        <v>466</v>
      </c>
      <c r="C186" s="495" t="s">
        <v>235</v>
      </c>
      <c r="D186" s="812" t="s">
        <v>358</v>
      </c>
      <c r="E186" s="436" t="s">
        <v>55</v>
      </c>
      <c r="F186" s="902" t="s">
        <v>232</v>
      </c>
    </row>
    <row r="187" spans="2:6" ht="85.5" x14ac:dyDescent="0.45">
      <c r="B187" s="934"/>
      <c r="C187" s="495" t="s">
        <v>1083</v>
      </c>
      <c r="D187" s="812" t="s">
        <v>359</v>
      </c>
      <c r="E187" s="436" t="s">
        <v>57</v>
      </c>
      <c r="F187" s="902" t="s">
        <v>233</v>
      </c>
    </row>
    <row r="188" spans="2:6" ht="114" x14ac:dyDescent="0.45">
      <c r="B188" s="934"/>
      <c r="C188" s="495" t="s">
        <v>236</v>
      </c>
      <c r="D188" s="812" t="s">
        <v>237</v>
      </c>
      <c r="E188" s="436" t="s">
        <v>56</v>
      </c>
      <c r="F188" s="902" t="s">
        <v>234</v>
      </c>
    </row>
    <row r="189" spans="2:6" hidden="1" x14ac:dyDescent="0.45">
      <c r="B189" s="934"/>
      <c r="C189" s="446" t="s">
        <v>990</v>
      </c>
      <c r="D189" s="819" t="s">
        <v>987</v>
      </c>
      <c r="E189" s="436"/>
      <c r="F189" s="902"/>
    </row>
    <row r="190" spans="2:6" ht="57" hidden="1" x14ac:dyDescent="0.45">
      <c r="B190" s="934"/>
      <c r="C190" s="443" t="s">
        <v>335</v>
      </c>
      <c r="D190" s="812" t="s">
        <v>238</v>
      </c>
      <c r="E190" s="436" t="s">
        <v>58</v>
      </c>
      <c r="F190" s="902" t="s">
        <v>241</v>
      </c>
    </row>
    <row r="191" spans="2:6" ht="85.5" hidden="1" x14ac:dyDescent="0.45">
      <c r="B191" s="934"/>
      <c r="C191" s="443" t="s">
        <v>1081</v>
      </c>
      <c r="D191" s="812" t="s">
        <v>360</v>
      </c>
      <c r="E191" s="436" t="s">
        <v>59</v>
      </c>
      <c r="F191" s="902" t="s">
        <v>242</v>
      </c>
    </row>
    <row r="192" spans="2:6" ht="114" hidden="1" x14ac:dyDescent="0.45">
      <c r="B192" s="934"/>
      <c r="C192" s="495" t="s">
        <v>239</v>
      </c>
      <c r="D192" s="812" t="s">
        <v>240</v>
      </c>
      <c r="E192" s="436" t="s">
        <v>60</v>
      </c>
      <c r="F192" s="902" t="s">
        <v>242</v>
      </c>
    </row>
    <row r="193" spans="2:139" s="447" customFormat="1" ht="114" hidden="1" x14ac:dyDescent="0.45">
      <c r="B193" s="934" t="s">
        <v>25</v>
      </c>
      <c r="C193" s="495" t="s">
        <v>1084</v>
      </c>
      <c r="D193" s="812" t="s">
        <v>361</v>
      </c>
      <c r="E193" s="436" t="s">
        <v>55</v>
      </c>
      <c r="F193" s="902" t="s">
        <v>243</v>
      </c>
      <c r="G193" s="892"/>
      <c r="H193" s="892"/>
      <c r="I193" s="892"/>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92"/>
      <c r="AH193" s="892"/>
      <c r="AI193" s="892"/>
      <c r="AJ193" s="892"/>
      <c r="AK193" s="892"/>
      <c r="AL193" s="892"/>
      <c r="AM193" s="892"/>
      <c r="AN193" s="892"/>
      <c r="AO193" s="892"/>
      <c r="AP193" s="892"/>
      <c r="AQ193" s="892"/>
      <c r="AR193" s="892"/>
      <c r="AS193" s="892"/>
      <c r="AT193" s="892"/>
      <c r="AU193" s="892"/>
      <c r="AV193" s="892"/>
      <c r="AW193" s="892"/>
      <c r="AX193" s="892"/>
      <c r="AY193" s="892"/>
      <c r="AZ193" s="892"/>
      <c r="BA193" s="892"/>
      <c r="BB193" s="892"/>
      <c r="BC193" s="892"/>
      <c r="BD193" s="892"/>
      <c r="BE193" s="892"/>
      <c r="BF193" s="892"/>
      <c r="BG193" s="892"/>
      <c r="BH193" s="892"/>
      <c r="BI193" s="892"/>
      <c r="BJ193" s="892"/>
      <c r="BK193" s="892"/>
      <c r="BL193" s="892"/>
      <c r="BM193" s="892"/>
      <c r="BN193" s="892"/>
      <c r="BO193" s="892"/>
      <c r="BP193" s="892"/>
      <c r="BQ193" s="892"/>
      <c r="BR193" s="892"/>
      <c r="BS193" s="892"/>
      <c r="BT193" s="892"/>
      <c r="BU193" s="892"/>
      <c r="BV193" s="892"/>
      <c r="BW193" s="892"/>
      <c r="BX193" s="892"/>
      <c r="BY193" s="892"/>
      <c r="BZ193" s="892"/>
      <c r="CA193" s="892"/>
      <c r="CB193" s="892"/>
      <c r="CC193" s="892"/>
      <c r="CD193" s="892"/>
      <c r="CE193" s="892"/>
      <c r="CF193" s="892"/>
      <c r="CG193" s="892"/>
      <c r="CH193" s="892"/>
      <c r="CI193" s="892"/>
      <c r="CJ193" s="892"/>
      <c r="CK193" s="892"/>
      <c r="CL193" s="892"/>
      <c r="CM193" s="892"/>
      <c r="CN193" s="892"/>
      <c r="CO193" s="892"/>
      <c r="CP193" s="892"/>
      <c r="CQ193" s="892"/>
      <c r="CR193" s="892"/>
      <c r="CS193" s="892"/>
      <c r="CT193" s="892"/>
      <c r="CU193" s="892"/>
      <c r="CV193" s="892"/>
      <c r="CW193" s="892"/>
      <c r="CX193" s="892"/>
      <c r="CY193" s="892"/>
      <c r="CZ193" s="892"/>
      <c r="DA193" s="892"/>
      <c r="DB193" s="892"/>
      <c r="DC193" s="892"/>
      <c r="DD193" s="892"/>
      <c r="DE193" s="892"/>
      <c r="DF193" s="892"/>
      <c r="DG193" s="892"/>
      <c r="DH193" s="892"/>
      <c r="DI193" s="892"/>
      <c r="DJ193" s="892"/>
      <c r="DK193" s="892"/>
      <c r="DL193" s="892"/>
      <c r="DM193" s="892"/>
      <c r="DN193" s="892"/>
      <c r="DO193" s="892"/>
      <c r="DP193" s="892"/>
      <c r="DQ193" s="892"/>
      <c r="DR193" s="892"/>
      <c r="DS193" s="892"/>
      <c r="DT193" s="892"/>
      <c r="DU193" s="892"/>
      <c r="DV193" s="892"/>
      <c r="DW193" s="892"/>
      <c r="DX193" s="892"/>
      <c r="DY193" s="892"/>
      <c r="DZ193" s="892"/>
      <c r="EA193" s="892"/>
      <c r="EB193" s="892"/>
      <c r="EC193" s="892"/>
      <c r="ED193" s="892"/>
      <c r="EE193" s="892"/>
      <c r="EF193" s="892"/>
      <c r="EG193" s="892"/>
      <c r="EH193" s="892"/>
      <c r="EI193" s="892"/>
    </row>
    <row r="194" spans="2:139" ht="85.5" hidden="1" x14ac:dyDescent="0.45">
      <c r="B194" s="934"/>
      <c r="C194" s="443" t="s">
        <v>223</v>
      </c>
      <c r="D194" s="812" t="s">
        <v>362</v>
      </c>
      <c r="E194" s="436" t="s">
        <v>57</v>
      </c>
      <c r="F194" s="902" t="s">
        <v>244</v>
      </c>
    </row>
    <row r="195" spans="2:139" ht="114" hidden="1" x14ac:dyDescent="0.45">
      <c r="B195" s="934"/>
      <c r="C195" s="495" t="s">
        <v>236</v>
      </c>
      <c r="D195" s="812" t="s">
        <v>363</v>
      </c>
      <c r="E195" s="436" t="s">
        <v>56</v>
      </c>
      <c r="F195" s="902" t="s">
        <v>245</v>
      </c>
    </row>
    <row r="196" spans="2:139" hidden="1" x14ac:dyDescent="0.45">
      <c r="B196" s="934"/>
      <c r="C196" s="446" t="s">
        <v>990</v>
      </c>
      <c r="D196" s="819" t="s">
        <v>987</v>
      </c>
      <c r="E196" s="436"/>
      <c r="F196" s="902"/>
    </row>
    <row r="197" spans="2:139" ht="57" hidden="1" x14ac:dyDescent="0.45">
      <c r="B197" s="934"/>
      <c r="C197" s="495" t="s">
        <v>1080</v>
      </c>
      <c r="D197" s="812" t="s">
        <v>248</v>
      </c>
      <c r="E197" s="436" t="s">
        <v>58</v>
      </c>
      <c r="F197" s="902" t="s">
        <v>247</v>
      </c>
    </row>
    <row r="198" spans="2:139" ht="85.5" hidden="1" x14ac:dyDescent="0.45">
      <c r="B198" s="934"/>
      <c r="C198" s="495" t="s">
        <v>1081</v>
      </c>
      <c r="D198" s="812" t="s">
        <v>364</v>
      </c>
      <c r="E198" s="436" t="s">
        <v>59</v>
      </c>
      <c r="F198" s="902" t="s">
        <v>246</v>
      </c>
    </row>
    <row r="199" spans="2:139" ht="114" hidden="1" x14ac:dyDescent="0.45">
      <c r="B199" s="934"/>
      <c r="C199" s="495" t="s">
        <v>239</v>
      </c>
      <c r="D199" s="812" t="s">
        <v>365</v>
      </c>
      <c r="E199" s="436" t="s">
        <v>60</v>
      </c>
      <c r="F199" s="902" t="s">
        <v>246</v>
      </c>
    </row>
    <row r="200" spans="2:139" hidden="1" x14ac:dyDescent="0.45">
      <c r="B200" s="953" t="s">
        <v>126</v>
      </c>
      <c r="C200" s="954"/>
      <c r="D200" s="954"/>
      <c r="E200" s="954"/>
      <c r="F200" s="955"/>
    </row>
    <row r="201" spans="2:139" ht="57" hidden="1" x14ac:dyDescent="0.45">
      <c r="B201" s="934" t="s">
        <v>863</v>
      </c>
      <c r="C201" s="495" t="s">
        <v>667</v>
      </c>
      <c r="D201" s="820" t="s">
        <v>517</v>
      </c>
      <c r="E201" s="436" t="s">
        <v>704</v>
      </c>
      <c r="F201" s="913" t="s">
        <v>739</v>
      </c>
    </row>
    <row r="202" spans="2:139" ht="57" hidden="1" x14ac:dyDescent="0.45">
      <c r="B202" s="934"/>
      <c r="C202" s="495" t="s">
        <v>902</v>
      </c>
      <c r="D202" s="820" t="s">
        <v>518</v>
      </c>
      <c r="E202" s="436" t="s">
        <v>740</v>
      </c>
      <c r="F202" s="914" t="s">
        <v>741</v>
      </c>
    </row>
    <row r="203" spans="2:139" hidden="1" x14ac:dyDescent="0.45">
      <c r="B203" s="934"/>
      <c r="C203" s="442" t="s">
        <v>906</v>
      </c>
      <c r="D203" s="820" t="s">
        <v>867</v>
      </c>
      <c r="E203" s="436" t="s">
        <v>917</v>
      </c>
      <c r="F203" s="914" t="s">
        <v>918</v>
      </c>
    </row>
    <row r="204" spans="2:139" ht="57" hidden="1" x14ac:dyDescent="0.45">
      <c r="B204" s="934"/>
      <c r="C204" s="495" t="s">
        <v>858</v>
      </c>
      <c r="D204" s="820" t="s">
        <v>868</v>
      </c>
      <c r="E204" s="436" t="s">
        <v>919</v>
      </c>
      <c r="F204" s="914" t="s">
        <v>918</v>
      </c>
    </row>
    <row r="205" spans="2:139" ht="85.5" hidden="1" x14ac:dyDescent="0.45">
      <c r="B205" s="934"/>
      <c r="C205" s="495" t="s">
        <v>859</v>
      </c>
      <c r="D205" s="820" t="s">
        <v>869</v>
      </c>
      <c r="E205" s="436" t="s">
        <v>920</v>
      </c>
      <c r="F205" s="914" t="s">
        <v>921</v>
      </c>
    </row>
    <row r="206" spans="2:139" ht="57" hidden="1" x14ac:dyDescent="0.45">
      <c r="B206" s="934"/>
      <c r="C206" s="495" t="s">
        <v>860</v>
      </c>
      <c r="D206" s="820" t="s">
        <v>870</v>
      </c>
      <c r="E206" s="436" t="s">
        <v>922</v>
      </c>
      <c r="F206" s="914" t="s">
        <v>918</v>
      </c>
    </row>
    <row r="207" spans="2:139" ht="85.5" hidden="1" x14ac:dyDescent="0.45">
      <c r="B207" s="934"/>
      <c r="C207" s="495" t="s">
        <v>861</v>
      </c>
      <c r="D207" s="820" t="s">
        <v>871</v>
      </c>
      <c r="E207" s="436" t="s">
        <v>923</v>
      </c>
      <c r="F207" s="914" t="s">
        <v>921</v>
      </c>
    </row>
    <row r="208" spans="2:139" ht="57" hidden="1" x14ac:dyDescent="0.45">
      <c r="B208" s="934"/>
      <c r="C208" s="495" t="s">
        <v>862</v>
      </c>
      <c r="D208" s="820" t="s">
        <v>872</v>
      </c>
      <c r="E208" s="436" t="s">
        <v>924</v>
      </c>
      <c r="F208" s="914" t="s">
        <v>918</v>
      </c>
    </row>
    <row r="209" spans="2:6" ht="57" hidden="1" x14ac:dyDescent="0.45">
      <c r="B209" s="934"/>
      <c r="C209" s="495" t="s">
        <v>897</v>
      </c>
      <c r="D209" s="820" t="s">
        <v>873</v>
      </c>
      <c r="E209" s="436" t="s">
        <v>928</v>
      </c>
      <c r="F209" s="914" t="s">
        <v>918</v>
      </c>
    </row>
    <row r="210" spans="2:6" ht="57" hidden="1" x14ac:dyDescent="0.45">
      <c r="B210" s="934" t="s">
        <v>864</v>
      </c>
      <c r="C210" s="495" t="s">
        <v>908</v>
      </c>
      <c r="D210" s="820" t="s">
        <v>874</v>
      </c>
      <c r="E210" s="436" t="s">
        <v>925</v>
      </c>
      <c r="F210" s="914" t="s">
        <v>926</v>
      </c>
    </row>
    <row r="211" spans="2:6" ht="57" hidden="1" x14ac:dyDescent="0.45">
      <c r="B211" s="934"/>
      <c r="C211" s="495" t="s">
        <v>903</v>
      </c>
      <c r="D211" s="820" t="s">
        <v>875</v>
      </c>
      <c r="E211" s="436" t="s">
        <v>927</v>
      </c>
      <c r="F211" s="914" t="s">
        <v>741</v>
      </c>
    </row>
    <row r="212" spans="2:6" hidden="1" x14ac:dyDescent="0.45">
      <c r="B212" s="934"/>
      <c r="C212" s="442" t="s">
        <v>911</v>
      </c>
      <c r="D212" s="820" t="s">
        <v>876</v>
      </c>
      <c r="E212" s="436" t="s">
        <v>917</v>
      </c>
      <c r="F212" s="914" t="s">
        <v>918</v>
      </c>
    </row>
    <row r="213" spans="2:6" ht="57" hidden="1" x14ac:dyDescent="0.45">
      <c r="B213" s="934"/>
      <c r="C213" s="495" t="s">
        <v>858</v>
      </c>
      <c r="D213" s="820" t="s">
        <v>877</v>
      </c>
      <c r="E213" s="436" t="s">
        <v>919</v>
      </c>
      <c r="F213" s="914" t="s">
        <v>918</v>
      </c>
    </row>
    <row r="214" spans="2:6" ht="85.5" hidden="1" x14ac:dyDescent="0.45">
      <c r="B214" s="934"/>
      <c r="C214" s="495" t="s">
        <v>859</v>
      </c>
      <c r="D214" s="820" t="s">
        <v>878</v>
      </c>
      <c r="E214" s="436" t="s">
        <v>920</v>
      </c>
      <c r="F214" s="914" t="s">
        <v>921</v>
      </c>
    </row>
    <row r="215" spans="2:6" ht="57" hidden="1" x14ac:dyDescent="0.45">
      <c r="B215" s="934"/>
      <c r="C215" s="495" t="s">
        <v>860</v>
      </c>
      <c r="D215" s="820" t="s">
        <v>879</v>
      </c>
      <c r="E215" s="436" t="s">
        <v>922</v>
      </c>
      <c r="F215" s="914" t="s">
        <v>918</v>
      </c>
    </row>
    <row r="216" spans="2:6" ht="85.5" hidden="1" x14ac:dyDescent="0.45">
      <c r="B216" s="934"/>
      <c r="C216" s="495" t="s">
        <v>861</v>
      </c>
      <c r="D216" s="820" t="s">
        <v>880</v>
      </c>
      <c r="E216" s="436" t="s">
        <v>923</v>
      </c>
      <c r="F216" s="914" t="s">
        <v>921</v>
      </c>
    </row>
    <row r="217" spans="2:6" ht="57" hidden="1" x14ac:dyDescent="0.45">
      <c r="B217" s="934"/>
      <c r="C217" s="495" t="s">
        <v>862</v>
      </c>
      <c r="D217" s="820" t="s">
        <v>881</v>
      </c>
      <c r="E217" s="436" t="s">
        <v>924</v>
      </c>
      <c r="F217" s="914" t="s">
        <v>918</v>
      </c>
    </row>
    <row r="218" spans="2:6" ht="57" hidden="1" x14ac:dyDescent="0.45">
      <c r="B218" s="934"/>
      <c r="C218" s="495" t="s">
        <v>897</v>
      </c>
      <c r="D218" s="820" t="s">
        <v>882</v>
      </c>
      <c r="E218" s="436" t="s">
        <v>928</v>
      </c>
      <c r="F218" s="914" t="s">
        <v>918</v>
      </c>
    </row>
    <row r="219" spans="2:6" hidden="1" x14ac:dyDescent="0.45">
      <c r="B219" s="934" t="s">
        <v>866</v>
      </c>
      <c r="C219" s="495" t="s">
        <v>909</v>
      </c>
      <c r="D219" s="820" t="s">
        <v>883</v>
      </c>
      <c r="E219" s="436" t="s">
        <v>929</v>
      </c>
      <c r="F219" s="914" t="s">
        <v>930</v>
      </c>
    </row>
    <row r="220" spans="2:6" ht="57" hidden="1" x14ac:dyDescent="0.45">
      <c r="B220" s="934"/>
      <c r="C220" s="495" t="s">
        <v>904</v>
      </c>
      <c r="D220" s="820" t="s">
        <v>884</v>
      </c>
      <c r="E220" s="436" t="s">
        <v>931</v>
      </c>
      <c r="F220" s="914" t="s">
        <v>741</v>
      </c>
    </row>
    <row r="221" spans="2:6" hidden="1" x14ac:dyDescent="0.45">
      <c r="B221" s="934"/>
      <c r="C221" s="442" t="s">
        <v>912</v>
      </c>
      <c r="D221" s="820" t="s">
        <v>885</v>
      </c>
      <c r="E221" s="436" t="s">
        <v>917</v>
      </c>
      <c r="F221" s="914" t="s">
        <v>918</v>
      </c>
    </row>
    <row r="222" spans="2:6" ht="57" hidden="1" x14ac:dyDescent="0.45">
      <c r="B222" s="934"/>
      <c r="C222" s="495" t="s">
        <v>858</v>
      </c>
      <c r="D222" s="820" t="s">
        <v>886</v>
      </c>
      <c r="E222" s="436" t="s">
        <v>932</v>
      </c>
      <c r="F222" s="914" t="s">
        <v>918</v>
      </c>
    </row>
    <row r="223" spans="2:6" ht="57" hidden="1" x14ac:dyDescent="0.45">
      <c r="B223" s="934"/>
      <c r="C223" s="495" t="s">
        <v>859</v>
      </c>
      <c r="D223" s="820" t="s">
        <v>887</v>
      </c>
      <c r="E223" s="436" t="s">
        <v>933</v>
      </c>
      <c r="F223" s="914" t="s">
        <v>921</v>
      </c>
    </row>
    <row r="224" spans="2:6" ht="57" hidden="1" x14ac:dyDescent="0.45">
      <c r="B224" s="934"/>
      <c r="C224" s="495" t="s">
        <v>860</v>
      </c>
      <c r="D224" s="820" t="s">
        <v>888</v>
      </c>
      <c r="E224" s="436" t="s">
        <v>934</v>
      </c>
      <c r="F224" s="914" t="s">
        <v>918</v>
      </c>
    </row>
    <row r="225" spans="2:6" ht="57" x14ac:dyDescent="0.45">
      <c r="B225" s="934"/>
      <c r="C225" s="495" t="s">
        <v>861</v>
      </c>
      <c r="D225" s="820" t="s">
        <v>889</v>
      </c>
      <c r="E225" s="436" t="s">
        <v>935</v>
      </c>
      <c r="F225" s="914" t="s">
        <v>921</v>
      </c>
    </row>
    <row r="226" spans="2:6" ht="57" x14ac:dyDescent="0.45">
      <c r="B226" s="934"/>
      <c r="C226" s="495" t="s">
        <v>862</v>
      </c>
      <c r="D226" s="820" t="s">
        <v>890</v>
      </c>
      <c r="E226" s="436" t="s">
        <v>924</v>
      </c>
      <c r="F226" s="914" t="s">
        <v>918</v>
      </c>
    </row>
    <row r="227" spans="2:6" ht="57" x14ac:dyDescent="0.45">
      <c r="B227" s="934"/>
      <c r="C227" s="495" t="s">
        <v>897</v>
      </c>
      <c r="D227" s="820" t="s">
        <v>891</v>
      </c>
      <c r="E227" s="436" t="s">
        <v>928</v>
      </c>
      <c r="F227" s="914" t="s">
        <v>918</v>
      </c>
    </row>
    <row r="228" spans="2:6" ht="57" x14ac:dyDescent="0.45">
      <c r="B228" s="934" t="s">
        <v>865</v>
      </c>
      <c r="C228" s="495" t="s">
        <v>910</v>
      </c>
      <c r="D228" s="820" t="s">
        <v>892</v>
      </c>
      <c r="E228" s="436" t="s">
        <v>704</v>
      </c>
      <c r="F228" s="914" t="s">
        <v>936</v>
      </c>
    </row>
    <row r="229" spans="2:6" ht="57" x14ac:dyDescent="0.45">
      <c r="B229" s="934"/>
      <c r="C229" s="495" t="s">
        <v>905</v>
      </c>
      <c r="D229" s="820" t="s">
        <v>893</v>
      </c>
      <c r="E229" s="436" t="s">
        <v>740</v>
      </c>
      <c r="F229" s="914" t="s">
        <v>741</v>
      </c>
    </row>
    <row r="230" spans="2:6" x14ac:dyDescent="0.45">
      <c r="B230" s="934"/>
      <c r="C230" s="442" t="s">
        <v>913</v>
      </c>
      <c r="D230" s="820" t="s">
        <v>894</v>
      </c>
      <c r="E230" s="436" t="s">
        <v>917</v>
      </c>
      <c r="F230" s="914" t="s">
        <v>918</v>
      </c>
    </row>
    <row r="231" spans="2:6" ht="57" x14ac:dyDescent="0.45">
      <c r="B231" s="934"/>
      <c r="C231" s="495" t="s">
        <v>858</v>
      </c>
      <c r="D231" s="820" t="s">
        <v>895</v>
      </c>
      <c r="E231" s="436" t="s">
        <v>919</v>
      </c>
      <c r="F231" s="914" t="s">
        <v>918</v>
      </c>
    </row>
    <row r="232" spans="2:6" ht="85.5" x14ac:dyDescent="0.45">
      <c r="B232" s="934"/>
      <c r="C232" s="495" t="s">
        <v>859</v>
      </c>
      <c r="D232" s="820" t="s">
        <v>896</v>
      </c>
      <c r="E232" s="436" t="s">
        <v>920</v>
      </c>
      <c r="F232" s="914" t="s">
        <v>921</v>
      </c>
    </row>
    <row r="233" spans="2:6" ht="57" x14ac:dyDescent="0.45">
      <c r="B233" s="934"/>
      <c r="C233" s="495" t="s">
        <v>860</v>
      </c>
      <c r="D233" s="820" t="s">
        <v>898</v>
      </c>
      <c r="E233" s="436" t="s">
        <v>922</v>
      </c>
      <c r="F233" s="914" t="s">
        <v>918</v>
      </c>
    </row>
    <row r="234" spans="2:6" ht="85.5" x14ac:dyDescent="0.45">
      <c r="B234" s="934"/>
      <c r="C234" s="495" t="s">
        <v>861</v>
      </c>
      <c r="D234" s="820" t="s">
        <v>899</v>
      </c>
      <c r="E234" s="436" t="s">
        <v>923</v>
      </c>
      <c r="F234" s="914" t="s">
        <v>921</v>
      </c>
    </row>
    <row r="235" spans="2:6" ht="57" x14ac:dyDescent="0.45">
      <c r="B235" s="934"/>
      <c r="C235" s="495" t="s">
        <v>862</v>
      </c>
      <c r="D235" s="820" t="s">
        <v>900</v>
      </c>
      <c r="E235" s="436" t="s">
        <v>924</v>
      </c>
      <c r="F235" s="914" t="s">
        <v>918</v>
      </c>
    </row>
    <row r="236" spans="2:6" ht="57" x14ac:dyDescent="0.45">
      <c r="B236" s="934"/>
      <c r="C236" s="495" t="s">
        <v>897</v>
      </c>
      <c r="D236" s="820" t="s">
        <v>901</v>
      </c>
      <c r="E236" s="436" t="s">
        <v>928</v>
      </c>
      <c r="F236" s="914" t="s">
        <v>918</v>
      </c>
    </row>
    <row r="237" spans="2:6" ht="85.5" x14ac:dyDescent="0.45">
      <c r="B237" s="934" t="s">
        <v>34</v>
      </c>
      <c r="C237" s="495" t="s">
        <v>181</v>
      </c>
      <c r="D237" s="812" t="s">
        <v>183</v>
      </c>
      <c r="E237" s="436" t="s">
        <v>272</v>
      </c>
      <c r="F237" s="902" t="s">
        <v>250</v>
      </c>
    </row>
    <row r="238" spans="2:6" ht="57" x14ac:dyDescent="0.45">
      <c r="B238" s="934"/>
      <c r="C238" s="495" t="s">
        <v>1085</v>
      </c>
      <c r="D238" s="812" t="s">
        <v>182</v>
      </c>
      <c r="E238" s="436" t="s">
        <v>64</v>
      </c>
      <c r="F238" s="902" t="s">
        <v>251</v>
      </c>
    </row>
    <row r="239" spans="2:6" ht="57" x14ac:dyDescent="0.45">
      <c r="B239" s="934" t="s">
        <v>35</v>
      </c>
      <c r="C239" s="448" t="s">
        <v>1086</v>
      </c>
      <c r="D239" s="812" t="s">
        <v>249</v>
      </c>
      <c r="E239" s="449" t="s">
        <v>318</v>
      </c>
      <c r="F239" s="915" t="s">
        <v>250</v>
      </c>
    </row>
    <row r="240" spans="2:6" ht="57" x14ac:dyDescent="0.45">
      <c r="B240" s="934"/>
      <c r="C240" s="443" t="s">
        <v>252</v>
      </c>
      <c r="D240" s="812" t="s">
        <v>253</v>
      </c>
      <c r="E240" s="436" t="s">
        <v>61</v>
      </c>
      <c r="F240" s="902" t="s">
        <v>251</v>
      </c>
    </row>
    <row r="241" spans="2:6" x14ac:dyDescent="0.45">
      <c r="B241" s="933" t="s">
        <v>26</v>
      </c>
      <c r="C241" s="496" t="s">
        <v>1087</v>
      </c>
      <c r="D241" s="812" t="s">
        <v>254</v>
      </c>
      <c r="E241" s="436" t="s">
        <v>62</v>
      </c>
      <c r="F241" s="902" t="s">
        <v>263</v>
      </c>
    </row>
    <row r="242" spans="2:6" x14ac:dyDescent="0.45">
      <c r="B242" s="933"/>
      <c r="C242" s="496" t="s">
        <v>336</v>
      </c>
      <c r="D242" s="812" t="s">
        <v>255</v>
      </c>
      <c r="E242" s="436" t="s">
        <v>65</v>
      </c>
      <c r="F242" s="902" t="s">
        <v>263</v>
      </c>
    </row>
    <row r="243" spans="2:6" ht="57" x14ac:dyDescent="0.45">
      <c r="B243" s="933"/>
      <c r="C243" s="496" t="s">
        <v>1088</v>
      </c>
      <c r="D243" s="812" t="s">
        <v>256</v>
      </c>
      <c r="E243" s="436" t="s">
        <v>63</v>
      </c>
      <c r="F243" s="902" t="s">
        <v>264</v>
      </c>
    </row>
    <row r="244" spans="2:6" ht="85.5" x14ac:dyDescent="0.45">
      <c r="B244" s="933"/>
      <c r="C244" s="496" t="s">
        <v>337</v>
      </c>
      <c r="D244" s="812" t="s">
        <v>257</v>
      </c>
      <c r="E244" s="436" t="s">
        <v>267</v>
      </c>
      <c r="F244" s="902" t="s">
        <v>266</v>
      </c>
    </row>
    <row r="245" spans="2:6" ht="57" x14ac:dyDescent="0.45">
      <c r="B245" s="933"/>
      <c r="C245" s="496" t="s">
        <v>338</v>
      </c>
      <c r="D245" s="812" t="s">
        <v>258</v>
      </c>
      <c r="E245" s="436" t="s">
        <v>268</v>
      </c>
      <c r="F245" s="902" t="s">
        <v>265</v>
      </c>
    </row>
    <row r="246" spans="2:6" ht="57" x14ac:dyDescent="0.45">
      <c r="B246" s="933"/>
      <c r="C246" s="445" t="s">
        <v>1089</v>
      </c>
      <c r="D246" s="812" t="s">
        <v>259</v>
      </c>
      <c r="E246" s="436" t="s">
        <v>66</v>
      </c>
      <c r="F246" s="902" t="s">
        <v>269</v>
      </c>
    </row>
    <row r="247" spans="2:6" ht="57" x14ac:dyDescent="0.45">
      <c r="B247" s="933"/>
      <c r="C247" s="445" t="s">
        <v>1090</v>
      </c>
      <c r="D247" s="812" t="s">
        <v>260</v>
      </c>
      <c r="E247" s="436" t="s">
        <v>67</v>
      </c>
      <c r="F247" s="902" t="s">
        <v>269</v>
      </c>
    </row>
    <row r="248" spans="2:6" ht="57" x14ac:dyDescent="0.45">
      <c r="B248" s="933" t="s">
        <v>111</v>
      </c>
      <c r="C248" s="496" t="s">
        <v>270</v>
      </c>
      <c r="D248" s="812" t="s">
        <v>261</v>
      </c>
      <c r="E248" s="436" t="s">
        <v>136</v>
      </c>
      <c r="F248" s="902" t="s">
        <v>251</v>
      </c>
    </row>
    <row r="249" spans="2:6" ht="85.5" x14ac:dyDescent="0.45">
      <c r="B249" s="933"/>
      <c r="C249" s="445" t="s">
        <v>271</v>
      </c>
      <c r="D249" s="812" t="s">
        <v>262</v>
      </c>
      <c r="E249" s="436" t="s">
        <v>617</v>
      </c>
      <c r="F249" s="902" t="s">
        <v>251</v>
      </c>
    </row>
    <row r="250" spans="2:6" ht="85.5" x14ac:dyDescent="0.45">
      <c r="B250" s="933"/>
      <c r="C250" s="496" t="s">
        <v>1091</v>
      </c>
      <c r="D250" s="812" t="s">
        <v>319</v>
      </c>
      <c r="E250" s="436" t="s">
        <v>321</v>
      </c>
      <c r="F250" s="902" t="s">
        <v>322</v>
      </c>
    </row>
    <row r="251" spans="2:6" ht="85.5" x14ac:dyDescent="0.45">
      <c r="B251" s="933"/>
      <c r="C251" s="496" t="s">
        <v>1092</v>
      </c>
      <c r="D251" s="812" t="s">
        <v>320</v>
      </c>
      <c r="E251" s="436" t="s">
        <v>323</v>
      </c>
      <c r="F251" s="902" t="s">
        <v>322</v>
      </c>
    </row>
    <row r="252" spans="2:6" x14ac:dyDescent="0.45">
      <c r="B252" s="953" t="s">
        <v>128</v>
      </c>
      <c r="C252" s="954"/>
      <c r="D252" s="954"/>
      <c r="E252" s="954"/>
      <c r="F252" s="955"/>
    </row>
    <row r="253" spans="2:6" ht="57" x14ac:dyDescent="0.45">
      <c r="B253" s="993" t="s">
        <v>115</v>
      </c>
      <c r="C253" s="448" t="s">
        <v>1093</v>
      </c>
      <c r="D253" s="812" t="s">
        <v>366</v>
      </c>
      <c r="E253" s="436" t="s">
        <v>69</v>
      </c>
      <c r="F253" s="902" t="s">
        <v>275</v>
      </c>
    </row>
    <row r="254" spans="2:6" ht="85.5" x14ac:dyDescent="0.45">
      <c r="B254" s="993"/>
      <c r="C254" s="448" t="s">
        <v>473</v>
      </c>
      <c r="D254" s="812" t="s">
        <v>273</v>
      </c>
      <c r="E254" s="436" t="s">
        <v>68</v>
      </c>
      <c r="F254" s="902" t="s">
        <v>276</v>
      </c>
    </row>
    <row r="255" spans="2:6" ht="114" x14ac:dyDescent="0.45">
      <c r="B255" s="993"/>
      <c r="C255" s="495" t="s">
        <v>1094</v>
      </c>
      <c r="D255" s="812" t="s">
        <v>274</v>
      </c>
      <c r="E255" s="436" t="s">
        <v>117</v>
      </c>
      <c r="F255" s="902" t="s">
        <v>277</v>
      </c>
    </row>
    <row r="256" spans="2:6" ht="57" x14ac:dyDescent="0.45">
      <c r="B256" s="993"/>
      <c r="C256" s="448" t="s">
        <v>475</v>
      </c>
      <c r="D256" s="812" t="s">
        <v>367</v>
      </c>
      <c r="E256" s="436" t="s">
        <v>116</v>
      </c>
      <c r="F256" s="902" t="s">
        <v>278</v>
      </c>
    </row>
    <row r="257" spans="2:6" ht="114" x14ac:dyDescent="0.45">
      <c r="B257" s="993"/>
      <c r="C257" s="444" t="s">
        <v>474</v>
      </c>
      <c r="D257" s="812" t="s">
        <v>478</v>
      </c>
      <c r="E257" s="424" t="s">
        <v>742</v>
      </c>
      <c r="F257" s="896"/>
    </row>
    <row r="258" spans="2:6" ht="114" x14ac:dyDescent="0.45">
      <c r="B258" s="993"/>
      <c r="C258" s="444" t="s">
        <v>479</v>
      </c>
      <c r="D258" s="812" t="s">
        <v>493</v>
      </c>
      <c r="E258" s="436" t="s">
        <v>743</v>
      </c>
      <c r="F258" s="896"/>
    </row>
    <row r="259" spans="2:6" ht="114" x14ac:dyDescent="0.45">
      <c r="B259" s="934" t="s">
        <v>1095</v>
      </c>
      <c r="C259" s="450" t="s">
        <v>1096</v>
      </c>
      <c r="D259" s="812" t="s">
        <v>279</v>
      </c>
      <c r="E259" s="436" t="s">
        <v>618</v>
      </c>
      <c r="F259" s="902" t="s">
        <v>278</v>
      </c>
    </row>
    <row r="260" spans="2:6" ht="199.5" x14ac:dyDescent="0.45">
      <c r="B260" s="934"/>
      <c r="C260" s="495" t="s">
        <v>476</v>
      </c>
      <c r="D260" s="812" t="s">
        <v>280</v>
      </c>
      <c r="E260" s="436" t="s">
        <v>619</v>
      </c>
      <c r="F260" s="902" t="s">
        <v>278</v>
      </c>
    </row>
    <row r="261" spans="2:6" ht="57" x14ac:dyDescent="0.45">
      <c r="B261" s="934"/>
      <c r="C261" s="495" t="s">
        <v>481</v>
      </c>
      <c r="D261" s="812" t="s">
        <v>483</v>
      </c>
      <c r="E261" s="424" t="s">
        <v>744</v>
      </c>
      <c r="F261" s="896" t="s">
        <v>745</v>
      </c>
    </row>
    <row r="262" spans="2:6" ht="114" x14ac:dyDescent="0.45">
      <c r="B262" s="934"/>
      <c r="C262" s="495" t="s">
        <v>482</v>
      </c>
      <c r="D262" s="812" t="s">
        <v>484</v>
      </c>
      <c r="E262" s="424" t="s">
        <v>746</v>
      </c>
      <c r="F262" s="896" t="s">
        <v>745</v>
      </c>
    </row>
    <row r="263" spans="2:6" ht="114" x14ac:dyDescent="0.45">
      <c r="B263" s="1002" t="s">
        <v>485</v>
      </c>
      <c r="C263" s="495" t="s">
        <v>339</v>
      </c>
      <c r="D263" s="812" t="s">
        <v>368</v>
      </c>
      <c r="E263" s="436" t="s">
        <v>118</v>
      </c>
      <c r="F263" s="902" t="s">
        <v>747</v>
      </c>
    </row>
    <row r="264" spans="2:6" ht="57" x14ac:dyDescent="0.45">
      <c r="B264" s="1002"/>
      <c r="C264" s="495" t="s">
        <v>1097</v>
      </c>
      <c r="D264" s="812" t="s">
        <v>369</v>
      </c>
      <c r="E264" s="424" t="s">
        <v>748</v>
      </c>
      <c r="F264" s="896" t="s">
        <v>749</v>
      </c>
    </row>
    <row r="265" spans="2:6" hidden="1" x14ac:dyDescent="0.45">
      <c r="B265" s="1002"/>
      <c r="C265" s="443" t="s">
        <v>637</v>
      </c>
      <c r="D265" s="812" t="s">
        <v>638</v>
      </c>
      <c r="E265" s="436" t="s">
        <v>750</v>
      </c>
      <c r="F265" s="902" t="s">
        <v>747</v>
      </c>
    </row>
    <row r="266" spans="2:6" ht="57" hidden="1" x14ac:dyDescent="0.45">
      <c r="B266" s="1002"/>
      <c r="C266" s="443" t="s">
        <v>1098</v>
      </c>
      <c r="D266" s="812" t="s">
        <v>639</v>
      </c>
      <c r="E266" s="424" t="s">
        <v>751</v>
      </c>
      <c r="F266" s="902" t="s">
        <v>749</v>
      </c>
    </row>
    <row r="267" spans="2:6" ht="85.5" hidden="1" x14ac:dyDescent="0.45">
      <c r="B267" s="980" t="s">
        <v>488</v>
      </c>
      <c r="C267" s="495" t="s">
        <v>477</v>
      </c>
      <c r="D267" s="812" t="s">
        <v>281</v>
      </c>
      <c r="E267" s="436" t="s">
        <v>119</v>
      </c>
      <c r="F267" s="902" t="s">
        <v>282</v>
      </c>
    </row>
    <row r="268" spans="2:6" ht="142.5" hidden="1" x14ac:dyDescent="0.45">
      <c r="B268" s="981"/>
      <c r="C268" s="443" t="s">
        <v>1099</v>
      </c>
      <c r="D268" s="812" t="s">
        <v>283</v>
      </c>
      <c r="E268" s="436" t="s">
        <v>620</v>
      </c>
      <c r="F268" s="902" t="s">
        <v>282</v>
      </c>
    </row>
    <row r="269" spans="2:6" ht="85.5" hidden="1" x14ac:dyDescent="0.45">
      <c r="B269" s="981"/>
      <c r="C269" s="443" t="s">
        <v>486</v>
      </c>
      <c r="D269" s="812" t="s">
        <v>489</v>
      </c>
      <c r="E269" s="424" t="s">
        <v>752</v>
      </c>
      <c r="F269" s="902" t="s">
        <v>753</v>
      </c>
    </row>
    <row r="270" spans="2:6" ht="114" hidden="1" x14ac:dyDescent="0.45">
      <c r="B270" s="981"/>
      <c r="C270" s="495" t="s">
        <v>487</v>
      </c>
      <c r="D270" s="812" t="s">
        <v>490</v>
      </c>
      <c r="E270" s="424" t="s">
        <v>754</v>
      </c>
      <c r="F270" s="896" t="s">
        <v>755</v>
      </c>
    </row>
    <row r="271" spans="2:6" ht="57" hidden="1" x14ac:dyDescent="0.45">
      <c r="B271" s="981"/>
      <c r="C271" s="1" t="s">
        <v>1256</v>
      </c>
      <c r="D271" s="812" t="s">
        <v>491</v>
      </c>
      <c r="E271" s="424" t="s">
        <v>756</v>
      </c>
      <c r="F271" s="896" t="s">
        <v>757</v>
      </c>
    </row>
    <row r="272" spans="2:6" ht="57" hidden="1" x14ac:dyDescent="0.45">
      <c r="B272" s="981"/>
      <c r="C272" s="667" t="s">
        <v>1251</v>
      </c>
      <c r="D272" s="812" t="s">
        <v>492</v>
      </c>
      <c r="E272" s="424" t="s">
        <v>758</v>
      </c>
      <c r="F272" s="896" t="s">
        <v>757</v>
      </c>
    </row>
    <row r="273" spans="2:139" hidden="1" x14ac:dyDescent="0.45">
      <c r="B273" s="981"/>
      <c r="C273" s="668" t="s">
        <v>1252</v>
      </c>
      <c r="D273" s="629" t="s">
        <v>1254</v>
      </c>
      <c r="E273" s="424"/>
      <c r="F273" s="896"/>
    </row>
    <row r="274" spans="2:139" ht="53.25" thickBot="1" x14ac:dyDescent="0.5">
      <c r="B274" s="982"/>
      <c r="C274" s="669" t="s">
        <v>1253</v>
      </c>
      <c r="D274" s="630" t="s">
        <v>1255</v>
      </c>
      <c r="E274" s="424"/>
      <c r="F274" s="896"/>
    </row>
    <row r="275" spans="2:139" ht="114" x14ac:dyDescent="0.45">
      <c r="B275" s="993" t="s">
        <v>123</v>
      </c>
      <c r="C275" s="495" t="s">
        <v>1100</v>
      </c>
      <c r="D275" s="812" t="s">
        <v>284</v>
      </c>
      <c r="E275" s="436" t="s">
        <v>132</v>
      </c>
      <c r="F275" s="902" t="s">
        <v>286</v>
      </c>
    </row>
    <row r="276" spans="2:139" ht="85.5" x14ac:dyDescent="0.45">
      <c r="B276" s="993"/>
      <c r="C276" s="495" t="s">
        <v>340</v>
      </c>
      <c r="D276" s="812" t="s">
        <v>285</v>
      </c>
      <c r="E276" s="436" t="s">
        <v>621</v>
      </c>
      <c r="F276" s="902" t="s">
        <v>286</v>
      </c>
    </row>
    <row r="277" spans="2:139" ht="57" x14ac:dyDescent="0.45">
      <c r="B277" s="993" t="s">
        <v>507</v>
      </c>
      <c r="C277" s="495" t="s">
        <v>514</v>
      </c>
      <c r="D277" s="812" t="s">
        <v>524</v>
      </c>
      <c r="E277" s="424" t="s">
        <v>759</v>
      </c>
      <c r="F277" s="896" t="s">
        <v>760</v>
      </c>
    </row>
    <row r="278" spans="2:139" ht="57" x14ac:dyDescent="0.45">
      <c r="B278" s="993"/>
      <c r="C278" s="495" t="s">
        <v>509</v>
      </c>
      <c r="D278" s="812" t="s">
        <v>525</v>
      </c>
      <c r="E278" s="424" t="s">
        <v>761</v>
      </c>
      <c r="F278" s="896" t="s">
        <v>760</v>
      </c>
    </row>
    <row r="279" spans="2:139" ht="57" x14ac:dyDescent="0.45">
      <c r="B279" s="993"/>
      <c r="C279" s="444" t="s">
        <v>510</v>
      </c>
      <c r="D279" s="812" t="s">
        <v>526</v>
      </c>
      <c r="E279" s="424" t="s">
        <v>762</v>
      </c>
      <c r="F279" s="896"/>
    </row>
    <row r="280" spans="2:139" ht="57" x14ac:dyDescent="0.45">
      <c r="B280" s="993" t="s">
        <v>511</v>
      </c>
      <c r="C280" s="495" t="s">
        <v>515</v>
      </c>
      <c r="D280" s="812" t="s">
        <v>527</v>
      </c>
      <c r="E280" s="424" t="s">
        <v>763</v>
      </c>
      <c r="F280" s="896" t="s">
        <v>764</v>
      </c>
    </row>
    <row r="281" spans="2:139" ht="57" x14ac:dyDescent="0.45">
      <c r="B281" s="993"/>
      <c r="C281" s="495" t="s">
        <v>512</v>
      </c>
      <c r="D281" s="812" t="s">
        <v>528</v>
      </c>
      <c r="E281" s="424" t="s">
        <v>765</v>
      </c>
      <c r="F281" s="896" t="s">
        <v>764</v>
      </c>
    </row>
    <row r="282" spans="2:139" ht="57" x14ac:dyDescent="0.45">
      <c r="B282" s="993"/>
      <c r="C282" s="444" t="s">
        <v>513</v>
      </c>
      <c r="D282" s="812" t="s">
        <v>529</v>
      </c>
      <c r="E282" s="424" t="s">
        <v>766</v>
      </c>
      <c r="F282" s="896"/>
    </row>
    <row r="283" spans="2:139" ht="57" x14ac:dyDescent="0.45">
      <c r="B283" s="993" t="s">
        <v>508</v>
      </c>
      <c r="C283" s="495" t="s">
        <v>915</v>
      </c>
      <c r="D283" s="812" t="s">
        <v>530</v>
      </c>
      <c r="E283" s="424" t="s">
        <v>767</v>
      </c>
      <c r="F283" s="896" t="s">
        <v>768</v>
      </c>
    </row>
    <row r="284" spans="2:139" ht="57" x14ac:dyDescent="0.45">
      <c r="B284" s="993"/>
      <c r="C284" s="495" t="s">
        <v>916</v>
      </c>
      <c r="D284" s="812" t="s">
        <v>531</v>
      </c>
      <c r="E284" s="424" t="s">
        <v>769</v>
      </c>
      <c r="F284" s="896" t="s">
        <v>768</v>
      </c>
    </row>
    <row r="285" spans="2:139" ht="57" x14ac:dyDescent="0.45">
      <c r="B285" s="993"/>
      <c r="C285" s="451" t="s">
        <v>937</v>
      </c>
      <c r="D285" s="812" t="s">
        <v>532</v>
      </c>
      <c r="E285" s="424" t="s">
        <v>770</v>
      </c>
      <c r="F285" s="896"/>
    </row>
    <row r="286" spans="2:139" x14ac:dyDescent="0.45">
      <c r="B286" s="953" t="s">
        <v>127</v>
      </c>
      <c r="C286" s="954"/>
      <c r="D286" s="954"/>
      <c r="E286" s="954"/>
      <c r="F286" s="955"/>
    </row>
    <row r="287" spans="2:139" ht="114" x14ac:dyDescent="0.45">
      <c r="B287" s="1002" t="s">
        <v>480</v>
      </c>
      <c r="C287" s="495" t="s">
        <v>494</v>
      </c>
      <c r="D287" s="812" t="s">
        <v>370</v>
      </c>
      <c r="E287" s="436" t="s">
        <v>70</v>
      </c>
      <c r="F287" s="902" t="s">
        <v>771</v>
      </c>
    </row>
    <row r="288" spans="2:139" s="454" customFormat="1" ht="57" x14ac:dyDescent="0.45">
      <c r="B288" s="1002"/>
      <c r="C288" s="495" t="s">
        <v>495</v>
      </c>
      <c r="D288" s="812" t="s">
        <v>371</v>
      </c>
      <c r="E288" s="436" t="s">
        <v>71</v>
      </c>
      <c r="F288" s="902" t="s">
        <v>771</v>
      </c>
      <c r="G288" s="893"/>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3"/>
      <c r="AM288" s="893"/>
      <c r="AN288" s="893"/>
      <c r="AO288" s="893"/>
      <c r="AP288" s="893"/>
      <c r="AQ288" s="893"/>
      <c r="AR288" s="893"/>
      <c r="AS288" s="893"/>
      <c r="AT288" s="893"/>
      <c r="AU288" s="893"/>
      <c r="AV288" s="893"/>
      <c r="AW288" s="893"/>
      <c r="AX288" s="893"/>
      <c r="AY288" s="893"/>
      <c r="AZ288" s="893"/>
      <c r="BA288" s="893"/>
      <c r="BB288" s="893"/>
      <c r="BC288" s="893"/>
      <c r="BD288" s="893"/>
      <c r="BE288" s="893"/>
      <c r="BF288" s="893"/>
      <c r="BG288" s="893"/>
      <c r="BH288" s="893"/>
      <c r="BI288" s="893"/>
      <c r="BJ288" s="893"/>
      <c r="BK288" s="893"/>
      <c r="BL288" s="893"/>
      <c r="BM288" s="893"/>
      <c r="BN288" s="893"/>
      <c r="BO288" s="893"/>
      <c r="BP288" s="893"/>
      <c r="BQ288" s="893"/>
      <c r="BR288" s="893"/>
      <c r="BS288" s="893"/>
      <c r="BT288" s="893"/>
      <c r="BU288" s="893"/>
      <c r="BV288" s="893"/>
      <c r="BW288" s="893"/>
      <c r="BX288" s="893"/>
      <c r="BY288" s="893"/>
      <c r="BZ288" s="893"/>
      <c r="CA288" s="893"/>
      <c r="CB288" s="893"/>
      <c r="CC288" s="893"/>
      <c r="CD288" s="893"/>
      <c r="CE288" s="893"/>
      <c r="CF288" s="893"/>
      <c r="CG288" s="893"/>
      <c r="CH288" s="893"/>
      <c r="CI288" s="893"/>
      <c r="CJ288" s="893"/>
      <c r="CK288" s="893"/>
      <c r="CL288" s="893"/>
      <c r="CM288" s="893"/>
      <c r="CN288" s="893"/>
      <c r="CO288" s="893"/>
      <c r="CP288" s="893"/>
      <c r="CQ288" s="893"/>
      <c r="CR288" s="893"/>
      <c r="CS288" s="893"/>
      <c r="CT288" s="893"/>
      <c r="CU288" s="893"/>
      <c r="CV288" s="893"/>
      <c r="CW288" s="893"/>
      <c r="CX288" s="893"/>
      <c r="CY288" s="893"/>
      <c r="CZ288" s="893"/>
      <c r="DA288" s="893"/>
      <c r="DB288" s="893"/>
      <c r="DC288" s="893"/>
      <c r="DD288" s="893"/>
      <c r="DE288" s="893"/>
      <c r="DF288" s="893"/>
      <c r="DG288" s="893"/>
      <c r="DH288" s="893"/>
      <c r="DI288" s="893"/>
      <c r="DJ288" s="893"/>
      <c r="DK288" s="893"/>
      <c r="DL288" s="893"/>
      <c r="DM288" s="893"/>
      <c r="DN288" s="893"/>
      <c r="DO288" s="893"/>
      <c r="DP288" s="893"/>
      <c r="DQ288" s="893"/>
      <c r="DR288" s="893"/>
      <c r="DS288" s="893"/>
      <c r="DT288" s="893"/>
      <c r="DU288" s="893"/>
      <c r="DV288" s="893"/>
      <c r="DW288" s="893"/>
      <c r="DX288" s="893"/>
      <c r="DY288" s="893"/>
      <c r="DZ288" s="893"/>
      <c r="EA288" s="893"/>
      <c r="EB288" s="893"/>
      <c r="EC288" s="893"/>
      <c r="ED288" s="893"/>
      <c r="EE288" s="893"/>
      <c r="EF288" s="893"/>
      <c r="EG288" s="893"/>
      <c r="EH288" s="893"/>
      <c r="EI288" s="893"/>
    </row>
    <row r="289" spans="2:6" x14ac:dyDescent="0.45">
      <c r="B289" s="1002"/>
      <c r="C289" s="444" t="s">
        <v>496</v>
      </c>
      <c r="D289" s="812" t="s">
        <v>502</v>
      </c>
      <c r="E289" s="424"/>
      <c r="F289" s="896"/>
    </row>
    <row r="290" spans="2:6" ht="85.5" x14ac:dyDescent="0.45">
      <c r="B290" s="934" t="s">
        <v>1101</v>
      </c>
      <c r="C290" s="495" t="s">
        <v>497</v>
      </c>
      <c r="D290" s="812" t="s">
        <v>503</v>
      </c>
      <c r="E290" s="424" t="s">
        <v>772</v>
      </c>
      <c r="F290" s="902" t="s">
        <v>771</v>
      </c>
    </row>
    <row r="291" spans="2:6" ht="57" x14ac:dyDescent="0.45">
      <c r="B291" s="934"/>
      <c r="C291" s="495" t="s">
        <v>498</v>
      </c>
      <c r="D291" s="812" t="s">
        <v>504</v>
      </c>
      <c r="E291" s="424" t="s">
        <v>773</v>
      </c>
      <c r="F291" s="902" t="s">
        <v>771</v>
      </c>
    </row>
    <row r="292" spans="2:6" ht="57" x14ac:dyDescent="0.45">
      <c r="B292" s="1005" t="s">
        <v>485</v>
      </c>
      <c r="C292" s="452" t="s">
        <v>499</v>
      </c>
      <c r="D292" s="821" t="s">
        <v>372</v>
      </c>
      <c r="E292" s="453" t="s">
        <v>137</v>
      </c>
      <c r="F292" s="916" t="s">
        <v>293</v>
      </c>
    </row>
    <row r="293" spans="2:6" ht="57" x14ac:dyDescent="0.45">
      <c r="B293" s="1005"/>
      <c r="C293" s="452" t="s">
        <v>635</v>
      </c>
      <c r="D293" s="821" t="s">
        <v>636</v>
      </c>
      <c r="E293" s="453" t="s">
        <v>774</v>
      </c>
      <c r="F293" s="916" t="s">
        <v>293</v>
      </c>
    </row>
    <row r="294" spans="2:6" ht="57" x14ac:dyDescent="0.45">
      <c r="B294" s="983" t="s">
        <v>488</v>
      </c>
      <c r="C294" s="495" t="s">
        <v>500</v>
      </c>
      <c r="D294" s="812" t="s">
        <v>373</v>
      </c>
      <c r="E294" s="436" t="s">
        <v>775</v>
      </c>
      <c r="F294" s="902" t="s">
        <v>776</v>
      </c>
    </row>
    <row r="295" spans="2:6" ht="57.75" thickBot="1" x14ac:dyDescent="0.5">
      <c r="B295" s="984"/>
      <c r="C295" s="495" t="s">
        <v>501</v>
      </c>
      <c r="D295" s="812" t="s">
        <v>505</v>
      </c>
      <c r="E295" s="424" t="s">
        <v>777</v>
      </c>
      <c r="F295" s="902" t="s">
        <v>776</v>
      </c>
    </row>
    <row r="296" spans="2:6" ht="85.5" x14ac:dyDescent="0.45">
      <c r="B296" s="984"/>
      <c r="C296" s="724" t="s">
        <v>1276</v>
      </c>
      <c r="D296" s="875" t="s">
        <v>506</v>
      </c>
      <c r="E296" s="424" t="s">
        <v>778</v>
      </c>
      <c r="F296" s="902" t="s">
        <v>779</v>
      </c>
    </row>
    <row r="297" spans="2:6" ht="53.25" thickBot="1" x14ac:dyDescent="0.5">
      <c r="B297" s="985"/>
      <c r="C297" s="714" t="s">
        <v>1275</v>
      </c>
      <c r="D297" s="716" t="s">
        <v>1274</v>
      </c>
      <c r="E297" s="424"/>
      <c r="F297" s="902"/>
    </row>
    <row r="298" spans="2:6" ht="57" x14ac:dyDescent="0.45">
      <c r="B298" s="917" t="s">
        <v>287</v>
      </c>
      <c r="C298" s="495" t="s">
        <v>1102</v>
      </c>
      <c r="D298" s="812" t="s">
        <v>374</v>
      </c>
      <c r="E298" s="436" t="s">
        <v>288</v>
      </c>
      <c r="F298" s="902" t="s">
        <v>289</v>
      </c>
    </row>
    <row r="299" spans="2:6" ht="85.5" x14ac:dyDescent="0.45">
      <c r="B299" s="1002" t="s">
        <v>1103</v>
      </c>
      <c r="C299" s="495" t="s">
        <v>290</v>
      </c>
      <c r="D299" s="812" t="s">
        <v>375</v>
      </c>
      <c r="E299" s="436" t="s">
        <v>291</v>
      </c>
      <c r="F299" s="902" t="s">
        <v>292</v>
      </c>
    </row>
    <row r="300" spans="2:6" ht="171" x14ac:dyDescent="0.45">
      <c r="B300" s="1002"/>
      <c r="C300" s="495" t="s">
        <v>341</v>
      </c>
      <c r="D300" s="812" t="s">
        <v>376</v>
      </c>
      <c r="E300" s="436" t="s">
        <v>138</v>
      </c>
      <c r="F300" s="902" t="s">
        <v>293</v>
      </c>
    </row>
    <row r="301" spans="2:6" ht="142.5" x14ac:dyDescent="0.45">
      <c r="B301" s="1002"/>
      <c r="C301" s="495" t="s">
        <v>1104</v>
      </c>
      <c r="D301" s="812" t="s">
        <v>377</v>
      </c>
      <c r="E301" s="436" t="s">
        <v>139</v>
      </c>
      <c r="F301" s="902" t="s">
        <v>294</v>
      </c>
    </row>
    <row r="302" spans="2:6" x14ac:dyDescent="0.45">
      <c r="B302" s="953" t="s">
        <v>129</v>
      </c>
      <c r="C302" s="954"/>
      <c r="D302" s="954"/>
      <c r="E302" s="954"/>
      <c r="F302" s="955"/>
    </row>
    <row r="303" spans="2:6" ht="57" x14ac:dyDescent="0.45">
      <c r="B303" s="917" t="s">
        <v>295</v>
      </c>
      <c r="C303" s="455" t="s">
        <v>1105</v>
      </c>
      <c r="D303" s="812" t="s">
        <v>296</v>
      </c>
      <c r="E303" s="436" t="s">
        <v>780</v>
      </c>
      <c r="F303" s="902" t="s">
        <v>781</v>
      </c>
    </row>
    <row r="304" spans="2:6" ht="85.5" x14ac:dyDescent="0.45">
      <c r="B304" s="934" t="s">
        <v>570</v>
      </c>
      <c r="C304" s="443" t="s">
        <v>393</v>
      </c>
      <c r="D304" s="812" t="s">
        <v>564</v>
      </c>
      <c r="E304" s="424" t="s">
        <v>782</v>
      </c>
      <c r="F304" s="902" t="s">
        <v>781</v>
      </c>
    </row>
    <row r="305" spans="2:6" ht="85.5" x14ac:dyDescent="0.45">
      <c r="B305" s="934"/>
      <c r="C305" s="443" t="s">
        <v>388</v>
      </c>
      <c r="D305" s="812" t="s">
        <v>565</v>
      </c>
      <c r="E305" s="424" t="s">
        <v>783</v>
      </c>
      <c r="F305" s="902" t="s">
        <v>781</v>
      </c>
    </row>
    <row r="306" spans="2:6" ht="85.5" x14ac:dyDescent="0.45">
      <c r="B306" s="934"/>
      <c r="C306" s="495" t="s">
        <v>389</v>
      </c>
      <c r="D306" s="812" t="s">
        <v>566</v>
      </c>
      <c r="E306" s="424" t="s">
        <v>784</v>
      </c>
      <c r="F306" s="902" t="s">
        <v>781</v>
      </c>
    </row>
    <row r="307" spans="2:6" ht="85.5" x14ac:dyDescent="0.45">
      <c r="B307" s="934"/>
      <c r="C307" s="495" t="s">
        <v>390</v>
      </c>
      <c r="D307" s="812" t="s">
        <v>567</v>
      </c>
      <c r="E307" s="424" t="s">
        <v>785</v>
      </c>
      <c r="F307" s="902" t="s">
        <v>781</v>
      </c>
    </row>
    <row r="308" spans="2:6" ht="85.5" x14ac:dyDescent="0.45">
      <c r="B308" s="934"/>
      <c r="C308" s="495" t="s">
        <v>391</v>
      </c>
      <c r="D308" s="812" t="s">
        <v>568</v>
      </c>
      <c r="E308" s="424" t="s">
        <v>786</v>
      </c>
      <c r="F308" s="902" t="s">
        <v>781</v>
      </c>
    </row>
    <row r="309" spans="2:6" ht="85.5" x14ac:dyDescent="0.45">
      <c r="B309" s="934"/>
      <c r="C309" s="495" t="s">
        <v>392</v>
      </c>
      <c r="D309" s="812" t="s">
        <v>569</v>
      </c>
      <c r="E309" s="424" t="s">
        <v>787</v>
      </c>
      <c r="F309" s="902" t="s">
        <v>781</v>
      </c>
    </row>
    <row r="310" spans="2:6" ht="57.75" thickBot="1" x14ac:dyDescent="0.5">
      <c r="B310" s="917" t="s">
        <v>571</v>
      </c>
      <c r="C310" s="456" t="s">
        <v>938</v>
      </c>
      <c r="D310" s="812" t="s">
        <v>297</v>
      </c>
      <c r="E310" s="436" t="s">
        <v>72</v>
      </c>
      <c r="F310" s="902" t="s">
        <v>781</v>
      </c>
    </row>
    <row r="311" spans="2:6" ht="85.5" x14ac:dyDescent="0.45">
      <c r="B311" s="918" t="s">
        <v>968</v>
      </c>
      <c r="C311" s="517" t="s">
        <v>969</v>
      </c>
      <c r="D311" s="822" t="s">
        <v>970</v>
      </c>
      <c r="E311" s="436" t="s">
        <v>977</v>
      </c>
      <c r="F311" s="902" t="s">
        <v>978</v>
      </c>
    </row>
    <row r="312" spans="2:6" ht="57" x14ac:dyDescent="0.45">
      <c r="B312" s="934" t="s">
        <v>572</v>
      </c>
      <c r="C312" s="495" t="s">
        <v>971</v>
      </c>
      <c r="D312" s="812" t="s">
        <v>555</v>
      </c>
      <c r="E312" s="424" t="s">
        <v>972</v>
      </c>
      <c r="F312" s="896" t="s">
        <v>788</v>
      </c>
    </row>
    <row r="313" spans="2:6" ht="57" x14ac:dyDescent="0.45">
      <c r="B313" s="934"/>
      <c r="C313" s="455" t="s">
        <v>1106</v>
      </c>
      <c r="D313" s="812" t="s">
        <v>299</v>
      </c>
      <c r="E313" s="436" t="s">
        <v>298</v>
      </c>
      <c r="F313" s="902" t="s">
        <v>300</v>
      </c>
    </row>
    <row r="314" spans="2:6" ht="57" x14ac:dyDescent="0.45">
      <c r="B314" s="934" t="s">
        <v>438</v>
      </c>
      <c r="C314" s="495" t="s">
        <v>393</v>
      </c>
      <c r="D314" s="812" t="s">
        <v>407</v>
      </c>
      <c r="E314" s="436" t="s">
        <v>424</v>
      </c>
      <c r="F314" s="902" t="s">
        <v>300</v>
      </c>
    </row>
    <row r="315" spans="2:6" ht="57" x14ac:dyDescent="0.45">
      <c r="B315" s="934"/>
      <c r="C315" s="495" t="s">
        <v>388</v>
      </c>
      <c r="D315" s="812" t="s">
        <v>408</v>
      </c>
      <c r="E315" s="436" t="s">
        <v>425</v>
      </c>
      <c r="F315" s="902" t="s">
        <v>300</v>
      </c>
    </row>
    <row r="316" spans="2:6" ht="57" x14ac:dyDescent="0.45">
      <c r="B316" s="934"/>
      <c r="C316" s="495" t="s">
        <v>389</v>
      </c>
      <c r="D316" s="812" t="s">
        <v>409</v>
      </c>
      <c r="E316" s="436" t="s">
        <v>426</v>
      </c>
      <c r="F316" s="902" t="s">
        <v>300</v>
      </c>
    </row>
    <row r="317" spans="2:6" ht="57" x14ac:dyDescent="0.45">
      <c r="B317" s="934"/>
      <c r="C317" s="495" t="s">
        <v>390</v>
      </c>
      <c r="D317" s="812" t="s">
        <v>410</v>
      </c>
      <c r="E317" s="436" t="s">
        <v>427</v>
      </c>
      <c r="F317" s="902" t="s">
        <v>300</v>
      </c>
    </row>
    <row r="318" spans="2:6" ht="57" x14ac:dyDescent="0.45">
      <c r="B318" s="934"/>
      <c r="C318" s="495" t="s">
        <v>391</v>
      </c>
      <c r="D318" s="812" t="s">
        <v>411</v>
      </c>
      <c r="E318" s="436" t="s">
        <v>428</v>
      </c>
      <c r="F318" s="902" t="s">
        <v>300</v>
      </c>
    </row>
    <row r="319" spans="2:6" ht="57" x14ac:dyDescent="0.45">
      <c r="B319" s="934"/>
      <c r="C319" s="495" t="s">
        <v>392</v>
      </c>
      <c r="D319" s="812" t="s">
        <v>412</v>
      </c>
      <c r="E319" s="436" t="s">
        <v>429</v>
      </c>
      <c r="F319" s="902" t="s">
        <v>300</v>
      </c>
    </row>
    <row r="320" spans="2:6" ht="57" x14ac:dyDescent="0.45">
      <c r="B320" s="934" t="s">
        <v>439</v>
      </c>
      <c r="C320" s="495" t="s">
        <v>442</v>
      </c>
      <c r="D320" s="812" t="s">
        <v>418</v>
      </c>
      <c r="E320" s="436" t="s">
        <v>430</v>
      </c>
      <c r="F320" s="902" t="s">
        <v>436</v>
      </c>
    </row>
    <row r="321" spans="2:6" ht="57" x14ac:dyDescent="0.45">
      <c r="B321" s="934"/>
      <c r="C321" s="443" t="s">
        <v>413</v>
      </c>
      <c r="D321" s="812" t="s">
        <v>419</v>
      </c>
      <c r="E321" s="436" t="s">
        <v>431</v>
      </c>
      <c r="F321" s="902" t="s">
        <v>436</v>
      </c>
    </row>
    <row r="322" spans="2:6" ht="57" x14ac:dyDescent="0.45">
      <c r="B322" s="934"/>
      <c r="C322" s="443" t="s">
        <v>414</v>
      </c>
      <c r="D322" s="812" t="s">
        <v>420</v>
      </c>
      <c r="E322" s="436" t="s">
        <v>432</v>
      </c>
      <c r="F322" s="902" t="s">
        <v>436</v>
      </c>
    </row>
    <row r="323" spans="2:6" ht="57" x14ac:dyDescent="0.45">
      <c r="B323" s="934"/>
      <c r="C323" s="495" t="s">
        <v>415</v>
      </c>
      <c r="D323" s="812" t="s">
        <v>421</v>
      </c>
      <c r="E323" s="436" t="s">
        <v>433</v>
      </c>
      <c r="F323" s="902" t="s">
        <v>436</v>
      </c>
    </row>
    <row r="324" spans="2:6" ht="57" x14ac:dyDescent="0.45">
      <c r="B324" s="934"/>
      <c r="C324" s="495" t="s">
        <v>416</v>
      </c>
      <c r="D324" s="812" t="s">
        <v>422</v>
      </c>
      <c r="E324" s="436" t="s">
        <v>434</v>
      </c>
      <c r="F324" s="902" t="s">
        <v>436</v>
      </c>
    </row>
    <row r="325" spans="2:6" ht="57" x14ac:dyDescent="0.45">
      <c r="B325" s="934"/>
      <c r="C325" s="495" t="s">
        <v>417</v>
      </c>
      <c r="D325" s="812" t="s">
        <v>423</v>
      </c>
      <c r="E325" s="436" t="s">
        <v>435</v>
      </c>
      <c r="F325" s="902" t="s">
        <v>436</v>
      </c>
    </row>
    <row r="326" spans="2:6" x14ac:dyDescent="0.45">
      <c r="B326" s="934"/>
      <c r="C326" s="442" t="s">
        <v>437</v>
      </c>
      <c r="D326" s="812" t="s">
        <v>441</v>
      </c>
      <c r="E326" s="424"/>
      <c r="F326" s="896"/>
    </row>
    <row r="327" spans="2:6" ht="57" x14ac:dyDescent="0.45">
      <c r="B327" s="934"/>
      <c r="C327" s="495" t="s">
        <v>459</v>
      </c>
      <c r="D327" s="812" t="s">
        <v>443</v>
      </c>
      <c r="E327" s="436" t="s">
        <v>457</v>
      </c>
      <c r="F327" s="902" t="s">
        <v>436</v>
      </c>
    </row>
    <row r="328" spans="2:6" ht="85.5" x14ac:dyDescent="0.45">
      <c r="B328" s="1002" t="s">
        <v>603</v>
      </c>
      <c r="C328" s="495" t="s">
        <v>596</v>
      </c>
      <c r="D328" s="812" t="s">
        <v>552</v>
      </c>
      <c r="E328" s="424" t="s">
        <v>790</v>
      </c>
      <c r="F328" s="896" t="s">
        <v>791</v>
      </c>
    </row>
    <row r="329" spans="2:6" ht="114" x14ac:dyDescent="0.45">
      <c r="B329" s="1002"/>
      <c r="C329" s="495" t="s">
        <v>597</v>
      </c>
      <c r="D329" s="812" t="s">
        <v>553</v>
      </c>
      <c r="E329" s="424" t="s">
        <v>792</v>
      </c>
      <c r="F329" s="896" t="s">
        <v>791</v>
      </c>
    </row>
    <row r="330" spans="2:6" ht="57" x14ac:dyDescent="0.45">
      <c r="B330" s="1002"/>
      <c r="C330" s="442" t="s">
        <v>831</v>
      </c>
      <c r="D330" s="812" t="s">
        <v>551</v>
      </c>
      <c r="E330" s="424"/>
      <c r="F330" s="919"/>
    </row>
    <row r="331" spans="2:6" ht="85.5" x14ac:dyDescent="0.45">
      <c r="B331" s="1002"/>
      <c r="C331" s="495" t="s">
        <v>598</v>
      </c>
      <c r="D331" s="812" t="s">
        <v>554</v>
      </c>
      <c r="E331" s="424" t="s">
        <v>793</v>
      </c>
      <c r="F331" s="896" t="s">
        <v>791</v>
      </c>
    </row>
    <row r="332" spans="2:6" ht="114" x14ac:dyDescent="0.45">
      <c r="B332" s="1002"/>
      <c r="C332" s="495" t="s">
        <v>599</v>
      </c>
      <c r="D332" s="812" t="s">
        <v>592</v>
      </c>
      <c r="E332" s="424" t="s">
        <v>794</v>
      </c>
      <c r="F332" s="896" t="s">
        <v>791</v>
      </c>
    </row>
    <row r="333" spans="2:6" ht="114" x14ac:dyDescent="0.45">
      <c r="B333" s="1002"/>
      <c r="C333" s="442" t="s">
        <v>832</v>
      </c>
      <c r="D333" s="812" t="s">
        <v>301</v>
      </c>
      <c r="E333" s="436" t="s">
        <v>789</v>
      </c>
      <c r="F333" s="902" t="s">
        <v>300</v>
      </c>
    </row>
    <row r="334" spans="2:6" ht="57" x14ac:dyDescent="0.45">
      <c r="B334" s="1002"/>
      <c r="C334" s="495" t="s">
        <v>1107</v>
      </c>
      <c r="D334" s="812" t="s">
        <v>593</v>
      </c>
      <c r="E334" s="424" t="s">
        <v>795</v>
      </c>
      <c r="F334" s="896" t="s">
        <v>796</v>
      </c>
    </row>
    <row r="335" spans="2:6" ht="57" x14ac:dyDescent="0.45">
      <c r="B335" s="1002"/>
      <c r="C335" s="495" t="s">
        <v>1108</v>
      </c>
      <c r="D335" s="812" t="s">
        <v>594</v>
      </c>
      <c r="E335" s="424" t="s">
        <v>797</v>
      </c>
      <c r="F335" s="896" t="s">
        <v>798</v>
      </c>
    </row>
    <row r="336" spans="2:6" ht="57" x14ac:dyDescent="0.45">
      <c r="B336" s="1002"/>
      <c r="C336" s="495" t="s">
        <v>1109</v>
      </c>
      <c r="D336" s="812" t="s">
        <v>595</v>
      </c>
      <c r="E336" s="424" t="s">
        <v>799</v>
      </c>
      <c r="F336" s="896" t="s">
        <v>800</v>
      </c>
    </row>
    <row r="337" spans="2:6" ht="57" x14ac:dyDescent="0.45">
      <c r="B337" s="1002"/>
      <c r="C337" s="442" t="s">
        <v>833</v>
      </c>
      <c r="D337" s="812" t="s">
        <v>601</v>
      </c>
      <c r="E337" s="457" t="s">
        <v>837</v>
      </c>
      <c r="F337" s="920">
        <f t="shared" ref="F337" si="0">SUM(F334:F336)</f>
        <v>0</v>
      </c>
    </row>
    <row r="338" spans="2:6" ht="28.5" hidden="1" customHeight="1" x14ac:dyDescent="0.45">
      <c r="B338" s="1002"/>
      <c r="C338" s="495" t="s">
        <v>600</v>
      </c>
      <c r="D338" s="812" t="s">
        <v>602</v>
      </c>
      <c r="E338" s="424" t="s">
        <v>801</v>
      </c>
      <c r="F338" s="896" t="s">
        <v>802</v>
      </c>
    </row>
    <row r="339" spans="2:6" ht="57" hidden="1" x14ac:dyDescent="0.45">
      <c r="B339" s="1002"/>
      <c r="C339" s="442" t="s">
        <v>834</v>
      </c>
      <c r="D339" s="812" t="s">
        <v>605</v>
      </c>
      <c r="E339" s="424" t="s">
        <v>803</v>
      </c>
      <c r="F339" s="896" t="s">
        <v>804</v>
      </c>
    </row>
    <row r="340" spans="2:6" ht="57" hidden="1" x14ac:dyDescent="0.45">
      <c r="B340" s="1002"/>
      <c r="C340" s="495" t="s">
        <v>805</v>
      </c>
      <c r="D340" s="812" t="s">
        <v>606</v>
      </c>
      <c r="E340" s="424" t="s">
        <v>806</v>
      </c>
      <c r="F340" s="896" t="s">
        <v>807</v>
      </c>
    </row>
    <row r="341" spans="2:6" ht="57" hidden="1" x14ac:dyDescent="0.45">
      <c r="B341" s="1002"/>
      <c r="C341" s="495" t="s">
        <v>808</v>
      </c>
      <c r="D341" s="812" t="s">
        <v>607</v>
      </c>
      <c r="E341" s="424" t="s">
        <v>809</v>
      </c>
      <c r="F341" s="896" t="s">
        <v>807</v>
      </c>
    </row>
    <row r="342" spans="2:6" ht="57" hidden="1" x14ac:dyDescent="0.45">
      <c r="B342" s="1002" t="s">
        <v>604</v>
      </c>
      <c r="C342" s="442" t="s">
        <v>516</v>
      </c>
      <c r="D342" s="812" t="s">
        <v>608</v>
      </c>
      <c r="E342" s="424" t="s">
        <v>704</v>
      </c>
      <c r="F342" s="896" t="s">
        <v>810</v>
      </c>
    </row>
    <row r="343" spans="2:6" hidden="1" x14ac:dyDescent="0.45">
      <c r="B343" s="1002"/>
      <c r="C343" s="458" t="s">
        <v>953</v>
      </c>
      <c r="D343" s="812" t="s">
        <v>608</v>
      </c>
      <c r="E343" s="424"/>
      <c r="F343" s="896"/>
    </row>
    <row r="344" spans="2:6" ht="57" hidden="1" x14ac:dyDescent="0.45">
      <c r="B344" s="1002"/>
      <c r="C344" s="495" t="s">
        <v>591</v>
      </c>
      <c r="D344" s="812" t="s">
        <v>609</v>
      </c>
      <c r="E344" s="495" t="s">
        <v>811</v>
      </c>
      <c r="F344" s="896" t="s">
        <v>812</v>
      </c>
    </row>
    <row r="345" spans="2:6" ht="57" hidden="1" x14ac:dyDescent="0.45">
      <c r="B345" s="1002"/>
      <c r="C345" s="495" t="s">
        <v>1107</v>
      </c>
      <c r="D345" s="812" t="s">
        <v>610</v>
      </c>
      <c r="E345" s="424" t="s">
        <v>813</v>
      </c>
      <c r="F345" s="896" t="s">
        <v>796</v>
      </c>
    </row>
    <row r="346" spans="2:6" ht="57" hidden="1" x14ac:dyDescent="0.45">
      <c r="B346" s="1002"/>
      <c r="C346" s="495" t="s">
        <v>1108</v>
      </c>
      <c r="D346" s="812" t="s">
        <v>611</v>
      </c>
      <c r="E346" s="424" t="s">
        <v>814</v>
      </c>
      <c r="F346" s="896" t="s">
        <v>798</v>
      </c>
    </row>
    <row r="347" spans="2:6" ht="57" hidden="1" x14ac:dyDescent="0.45">
      <c r="B347" s="1002"/>
      <c r="C347" s="495" t="s">
        <v>1109</v>
      </c>
      <c r="D347" s="812" t="s">
        <v>612</v>
      </c>
      <c r="E347" s="424" t="s">
        <v>815</v>
      </c>
      <c r="F347" s="896" t="s">
        <v>800</v>
      </c>
    </row>
    <row r="348" spans="2:6" ht="85.5" hidden="1" x14ac:dyDescent="0.45">
      <c r="B348" s="1002"/>
      <c r="C348" s="495" t="s">
        <v>600</v>
      </c>
      <c r="D348" s="812" t="s">
        <v>613</v>
      </c>
      <c r="E348" s="424" t="s">
        <v>816</v>
      </c>
      <c r="F348" s="896" t="s">
        <v>802</v>
      </c>
    </row>
    <row r="349" spans="2:6" ht="57" hidden="1" x14ac:dyDescent="0.45">
      <c r="B349" s="1002"/>
      <c r="C349" s="442" t="s">
        <v>959</v>
      </c>
      <c r="D349" s="812" t="s">
        <v>614</v>
      </c>
      <c r="E349" s="424" t="s">
        <v>817</v>
      </c>
      <c r="F349" s="896" t="s">
        <v>804</v>
      </c>
    </row>
    <row r="350" spans="2:6" hidden="1" x14ac:dyDescent="0.45">
      <c r="B350" s="953" t="s">
        <v>130</v>
      </c>
      <c r="C350" s="954"/>
      <c r="D350" s="954"/>
      <c r="E350" s="954"/>
      <c r="F350" s="955"/>
    </row>
    <row r="351" spans="2:6" ht="114" hidden="1" x14ac:dyDescent="0.45">
      <c r="B351" s="933" t="s">
        <v>387</v>
      </c>
      <c r="C351" s="495" t="s">
        <v>393</v>
      </c>
      <c r="D351" s="816" t="s">
        <v>394</v>
      </c>
      <c r="E351" s="436" t="s">
        <v>400</v>
      </c>
      <c r="F351" s="902" t="s">
        <v>406</v>
      </c>
    </row>
    <row r="352" spans="2:6" ht="114" hidden="1" x14ac:dyDescent="0.45">
      <c r="B352" s="933"/>
      <c r="C352" s="495" t="s">
        <v>388</v>
      </c>
      <c r="D352" s="816" t="s">
        <v>395</v>
      </c>
      <c r="E352" s="436" t="s">
        <v>401</v>
      </c>
      <c r="F352" s="902" t="s">
        <v>406</v>
      </c>
    </row>
    <row r="353" spans="2:6" ht="114" hidden="1" x14ac:dyDescent="0.45">
      <c r="B353" s="933"/>
      <c r="C353" s="495" t="s">
        <v>389</v>
      </c>
      <c r="D353" s="816" t="s">
        <v>396</v>
      </c>
      <c r="E353" s="436" t="s">
        <v>402</v>
      </c>
      <c r="F353" s="902" t="s">
        <v>406</v>
      </c>
    </row>
    <row r="354" spans="2:6" ht="114" hidden="1" x14ac:dyDescent="0.45">
      <c r="B354" s="933"/>
      <c r="C354" s="495" t="s">
        <v>390</v>
      </c>
      <c r="D354" s="816" t="s">
        <v>397</v>
      </c>
      <c r="E354" s="436" t="s">
        <v>403</v>
      </c>
      <c r="F354" s="902" t="s">
        <v>406</v>
      </c>
    </row>
    <row r="355" spans="2:6" ht="114" hidden="1" x14ac:dyDescent="0.45">
      <c r="B355" s="933"/>
      <c r="C355" s="495" t="s">
        <v>391</v>
      </c>
      <c r="D355" s="816" t="s">
        <v>398</v>
      </c>
      <c r="E355" s="436" t="s">
        <v>404</v>
      </c>
      <c r="F355" s="902" t="s">
        <v>406</v>
      </c>
    </row>
    <row r="356" spans="2:6" ht="114" hidden="1" x14ac:dyDescent="0.45">
      <c r="B356" s="933"/>
      <c r="C356" s="495" t="s">
        <v>392</v>
      </c>
      <c r="D356" s="816" t="s">
        <v>399</v>
      </c>
      <c r="E356" s="436" t="s">
        <v>405</v>
      </c>
      <c r="F356" s="902" t="s">
        <v>406</v>
      </c>
    </row>
    <row r="357" spans="2:6" ht="85.5" hidden="1" x14ac:dyDescent="0.45">
      <c r="B357" s="934" t="s">
        <v>27</v>
      </c>
      <c r="C357" s="495" t="s">
        <v>342</v>
      </c>
      <c r="D357" s="812" t="s">
        <v>302</v>
      </c>
      <c r="E357" s="436" t="s">
        <v>73</v>
      </c>
      <c r="F357" s="902" t="s">
        <v>303</v>
      </c>
    </row>
    <row r="358" spans="2:6" ht="85.5" x14ac:dyDescent="0.45">
      <c r="B358" s="934"/>
      <c r="C358" s="495" t="s">
        <v>590</v>
      </c>
      <c r="D358" s="812" t="s">
        <v>447</v>
      </c>
      <c r="E358" s="436" t="s">
        <v>453</v>
      </c>
      <c r="F358" s="902" t="s">
        <v>455</v>
      </c>
    </row>
    <row r="359" spans="2:6" ht="85.5" x14ac:dyDescent="0.45">
      <c r="B359" s="934"/>
      <c r="C359" s="495" t="s">
        <v>451</v>
      </c>
      <c r="D359" s="812" t="s">
        <v>448</v>
      </c>
      <c r="E359" s="436" t="s">
        <v>454</v>
      </c>
      <c r="F359" s="902" t="s">
        <v>455</v>
      </c>
    </row>
    <row r="360" spans="2:6" ht="370.5" x14ac:dyDescent="0.45">
      <c r="B360" s="934"/>
      <c r="C360" s="495" t="s">
        <v>444</v>
      </c>
      <c r="D360" s="812" t="s">
        <v>449</v>
      </c>
      <c r="E360" s="436" t="s">
        <v>445</v>
      </c>
      <c r="F360" s="902" t="s">
        <v>312</v>
      </c>
    </row>
    <row r="361" spans="2:6" ht="114" x14ac:dyDescent="0.45">
      <c r="B361" s="934"/>
      <c r="C361" s="495" t="s">
        <v>446</v>
      </c>
      <c r="D361" s="812" t="s">
        <v>450</v>
      </c>
      <c r="E361" s="436" t="s">
        <v>452</v>
      </c>
      <c r="F361" s="902" t="s">
        <v>456</v>
      </c>
    </row>
    <row r="362" spans="2:6" x14ac:dyDescent="0.45">
      <c r="B362" s="934"/>
      <c r="C362" s="459" t="s">
        <v>458</v>
      </c>
      <c r="D362" s="823" t="s">
        <v>304</v>
      </c>
      <c r="E362" s="424"/>
      <c r="F362" s="896"/>
    </row>
    <row r="363" spans="2:6" ht="85.5" x14ac:dyDescent="0.45">
      <c r="B363" s="934" t="s">
        <v>1110</v>
      </c>
      <c r="C363" s="495" t="s">
        <v>314</v>
      </c>
      <c r="D363" s="812" t="s">
        <v>305</v>
      </c>
      <c r="E363" s="436" t="s">
        <v>80</v>
      </c>
      <c r="F363" s="902" t="s">
        <v>313</v>
      </c>
    </row>
    <row r="364" spans="2:6" ht="57" x14ac:dyDescent="0.45">
      <c r="B364" s="934"/>
      <c r="C364" s="495" t="s">
        <v>547</v>
      </c>
      <c r="D364" s="812" t="s">
        <v>306</v>
      </c>
      <c r="E364" s="436" t="s">
        <v>79</v>
      </c>
      <c r="F364" s="902" t="s">
        <v>313</v>
      </c>
    </row>
    <row r="365" spans="2:6" ht="57" x14ac:dyDescent="0.45">
      <c r="B365" s="934"/>
      <c r="C365" s="495" t="s">
        <v>343</v>
      </c>
      <c r="D365" s="812" t="s">
        <v>307</v>
      </c>
      <c r="E365" s="436" t="s">
        <v>78</v>
      </c>
      <c r="F365" s="902" t="s">
        <v>313</v>
      </c>
    </row>
    <row r="366" spans="2:6" ht="114" x14ac:dyDescent="0.45">
      <c r="B366" s="934"/>
      <c r="C366" s="495" t="s">
        <v>315</v>
      </c>
      <c r="D366" s="812" t="s">
        <v>308</v>
      </c>
      <c r="E366" s="436" t="s">
        <v>74</v>
      </c>
      <c r="F366" s="902"/>
    </row>
    <row r="367" spans="2:6" ht="85.5" x14ac:dyDescent="0.45">
      <c r="B367" s="934"/>
      <c r="C367" s="495" t="s">
        <v>548</v>
      </c>
      <c r="D367" s="812" t="s">
        <v>309</v>
      </c>
      <c r="E367" s="436" t="s">
        <v>75</v>
      </c>
      <c r="F367" s="902" t="s">
        <v>313</v>
      </c>
    </row>
    <row r="368" spans="2:6" ht="57" x14ac:dyDescent="0.45">
      <c r="B368" s="934"/>
      <c r="C368" s="495" t="s">
        <v>316</v>
      </c>
      <c r="D368" s="812" t="s">
        <v>310</v>
      </c>
      <c r="E368" s="436" t="s">
        <v>76</v>
      </c>
      <c r="F368" s="902" t="s">
        <v>313</v>
      </c>
    </row>
    <row r="369" spans="2:39" x14ac:dyDescent="0.45">
      <c r="B369" s="934"/>
      <c r="C369" s="495" t="s">
        <v>317</v>
      </c>
      <c r="D369" s="812" t="s">
        <v>311</v>
      </c>
      <c r="E369" s="436" t="s">
        <v>77</v>
      </c>
      <c r="F369" s="902" t="s">
        <v>313</v>
      </c>
    </row>
    <row r="370" spans="2:39" hidden="1" x14ac:dyDescent="0.45">
      <c r="B370" s="953" t="s">
        <v>573</v>
      </c>
      <c r="C370" s="954"/>
      <c r="D370" s="954"/>
      <c r="E370" s="954"/>
      <c r="F370" s="955"/>
      <c r="G370" s="462"/>
      <c r="H370" s="462"/>
      <c r="I370" s="462"/>
      <c r="J370" s="462"/>
      <c r="K370" s="462"/>
      <c r="L370" s="462"/>
      <c r="M370" s="462"/>
      <c r="N370" s="462"/>
      <c r="O370" s="462"/>
      <c r="P370" s="462"/>
      <c r="Q370" s="462"/>
      <c r="R370" s="462"/>
      <c r="S370" s="462"/>
      <c r="T370" s="462"/>
      <c r="U370" s="462"/>
      <c r="V370" s="462"/>
      <c r="W370" s="462"/>
      <c r="X370" s="462"/>
      <c r="Y370" s="462"/>
      <c r="Z370" s="462"/>
      <c r="AA370" s="462"/>
      <c r="AB370" s="462"/>
      <c r="AC370" s="462"/>
      <c r="AD370" s="462"/>
      <c r="AE370" s="462"/>
      <c r="AF370" s="462"/>
      <c r="AG370" s="462"/>
      <c r="AH370" s="888"/>
      <c r="AI370" s="888"/>
      <c r="AJ370" s="888"/>
      <c r="AK370" s="888"/>
      <c r="AL370" s="888"/>
      <c r="AM370" s="888"/>
    </row>
    <row r="371" spans="2:39" ht="57" hidden="1" x14ac:dyDescent="0.45">
      <c r="B371" s="1001" t="s">
        <v>519</v>
      </c>
      <c r="C371" s="495" t="s">
        <v>520</v>
      </c>
      <c r="D371" s="812" t="s">
        <v>523</v>
      </c>
      <c r="E371" s="424" t="s">
        <v>818</v>
      </c>
      <c r="F371" s="896" t="s">
        <v>819</v>
      </c>
      <c r="G371" s="464"/>
      <c r="H371" s="464"/>
      <c r="I371" s="464"/>
      <c r="J371" s="464"/>
      <c r="K371" s="465"/>
      <c r="L371" s="465"/>
      <c r="M371" s="465"/>
      <c r="N371" s="465"/>
      <c r="O371" s="465"/>
      <c r="P371" s="465"/>
      <c r="Q371" s="465"/>
      <c r="R371" s="465"/>
      <c r="S371" s="465"/>
      <c r="T371" s="465"/>
      <c r="U371" s="465"/>
      <c r="V371" s="465"/>
      <c r="W371" s="465"/>
      <c r="X371" s="465"/>
      <c r="Y371" s="465"/>
      <c r="Z371" s="465"/>
      <c r="AA371" s="465"/>
      <c r="AB371" s="465"/>
      <c r="AC371" s="465"/>
      <c r="AD371" s="465"/>
      <c r="AE371" s="465"/>
      <c r="AF371" s="466"/>
      <c r="AG371" s="467"/>
      <c r="AH371" s="888"/>
      <c r="AI371" s="888"/>
      <c r="AJ371" s="888"/>
      <c r="AK371" s="888"/>
      <c r="AL371" s="888"/>
      <c r="AM371" s="888"/>
    </row>
    <row r="372" spans="2:39" ht="57" x14ac:dyDescent="0.45">
      <c r="B372" s="1001"/>
      <c r="C372" s="496" t="s">
        <v>546</v>
      </c>
      <c r="D372" s="812" t="s">
        <v>533</v>
      </c>
      <c r="E372" s="424" t="s">
        <v>820</v>
      </c>
      <c r="F372" s="896" t="s">
        <v>821</v>
      </c>
    </row>
    <row r="373" spans="2:39" ht="57" x14ac:dyDescent="0.45">
      <c r="B373" s="1001"/>
      <c r="C373" s="496" t="s">
        <v>992</v>
      </c>
      <c r="D373" s="812" t="s">
        <v>991</v>
      </c>
      <c r="E373" s="424" t="s">
        <v>993</v>
      </c>
      <c r="F373" s="896"/>
    </row>
    <row r="374" spans="2:39" x14ac:dyDescent="0.45">
      <c r="B374" s="1001"/>
      <c r="C374" s="451" t="s">
        <v>521</v>
      </c>
      <c r="D374" s="812" t="s">
        <v>534</v>
      </c>
      <c r="E374" s="424" t="s">
        <v>822</v>
      </c>
      <c r="F374" s="896"/>
    </row>
    <row r="375" spans="2:39" x14ac:dyDescent="0.45">
      <c r="B375" s="1001"/>
      <c r="C375" s="496" t="s">
        <v>543</v>
      </c>
      <c r="D375" s="812" t="s">
        <v>535</v>
      </c>
      <c r="E375" s="496" t="s">
        <v>823</v>
      </c>
      <c r="F375" s="896" t="s">
        <v>821</v>
      </c>
    </row>
    <row r="376" spans="2:39" ht="57" x14ac:dyDescent="0.45">
      <c r="B376" s="1001"/>
      <c r="C376" s="451" t="s">
        <v>522</v>
      </c>
      <c r="D376" s="812" t="s">
        <v>536</v>
      </c>
      <c r="E376" s="424" t="s">
        <v>824</v>
      </c>
      <c r="F376" s="896"/>
    </row>
    <row r="377" spans="2:39" ht="57" x14ac:dyDescent="0.45">
      <c r="B377" s="1001"/>
      <c r="C377" s="496" t="s">
        <v>545</v>
      </c>
      <c r="D377" s="812" t="s">
        <v>537</v>
      </c>
      <c r="E377" s="424" t="s">
        <v>825</v>
      </c>
      <c r="F377" s="896" t="s">
        <v>821</v>
      </c>
    </row>
    <row r="378" spans="2:39" ht="57" x14ac:dyDescent="0.45">
      <c r="B378" s="1001"/>
      <c r="C378" s="451" t="s">
        <v>538</v>
      </c>
      <c r="D378" s="812" t="s">
        <v>539</v>
      </c>
      <c r="E378" s="424" t="s">
        <v>826</v>
      </c>
      <c r="F378" s="896"/>
    </row>
    <row r="379" spans="2:39" ht="57" x14ac:dyDescent="0.45">
      <c r="B379" s="1001"/>
      <c r="C379" s="496" t="s">
        <v>542</v>
      </c>
      <c r="D379" s="812" t="s">
        <v>540</v>
      </c>
      <c r="E379" s="424" t="s">
        <v>827</v>
      </c>
      <c r="F379" s="896" t="s">
        <v>828</v>
      </c>
    </row>
    <row r="380" spans="2:39" ht="57" x14ac:dyDescent="0.45">
      <c r="B380" s="1001"/>
      <c r="C380" s="496" t="s">
        <v>544</v>
      </c>
      <c r="D380" s="812" t="s">
        <v>541</v>
      </c>
      <c r="E380" s="424" t="s">
        <v>829</v>
      </c>
      <c r="F380" s="896" t="s">
        <v>828</v>
      </c>
    </row>
    <row r="381" spans="2:39" ht="57" x14ac:dyDescent="0.45">
      <c r="B381" s="1001"/>
      <c r="C381" s="451" t="s">
        <v>550</v>
      </c>
      <c r="D381" s="812" t="s">
        <v>549</v>
      </c>
      <c r="E381" s="424" t="s">
        <v>830</v>
      </c>
      <c r="F381" s="896"/>
    </row>
    <row r="382" spans="2:39" ht="29.25" thickBot="1" x14ac:dyDescent="0.5">
      <c r="B382" s="921" t="s">
        <v>965</v>
      </c>
      <c r="C382" s="461"/>
      <c r="D382" s="461"/>
      <c r="E382" s="460"/>
      <c r="F382" s="922"/>
    </row>
    <row r="383" spans="2:39" ht="57.75" thickBot="1" x14ac:dyDescent="0.5">
      <c r="B383" s="923" t="s">
        <v>967</v>
      </c>
      <c r="C383" s="496" t="s">
        <v>966</v>
      </c>
      <c r="D383" s="812" t="s">
        <v>964</v>
      </c>
      <c r="E383" s="511" t="s">
        <v>975</v>
      </c>
      <c r="F383" s="907" t="s">
        <v>976</v>
      </c>
    </row>
    <row r="384" spans="2:39" x14ac:dyDescent="0.45">
      <c r="B384" s="998" t="s">
        <v>121</v>
      </c>
      <c r="C384" s="488" t="s">
        <v>150</v>
      </c>
      <c r="D384" s="758" t="s">
        <v>1114</v>
      </c>
      <c r="E384" s="512"/>
      <c r="F384" s="924"/>
    </row>
    <row r="385" spans="2:6" x14ac:dyDescent="0.45">
      <c r="B385" s="999"/>
      <c r="C385" s="485" t="s">
        <v>1136</v>
      </c>
      <c r="D385" s="759" t="s">
        <v>1115</v>
      </c>
      <c r="E385" s="512"/>
      <c r="F385" s="924"/>
    </row>
    <row r="386" spans="2:6" x14ac:dyDescent="0.45">
      <c r="B386" s="999"/>
      <c r="C386" s="485" t="s">
        <v>1117</v>
      </c>
      <c r="D386" s="759" t="s">
        <v>1116</v>
      </c>
      <c r="E386" s="512"/>
      <c r="F386" s="924"/>
    </row>
    <row r="387" spans="2:6" ht="52.5" x14ac:dyDescent="0.45">
      <c r="B387" s="999"/>
      <c r="C387" s="485" t="s">
        <v>1119</v>
      </c>
      <c r="D387" s="759" t="s">
        <v>1118</v>
      </c>
      <c r="E387" s="512"/>
      <c r="F387" s="924"/>
    </row>
    <row r="388" spans="2:6" ht="29.25" thickBot="1" x14ac:dyDescent="0.5">
      <c r="B388" s="1000"/>
      <c r="C388" s="489" t="s">
        <v>1121</v>
      </c>
      <c r="D388" s="760" t="s">
        <v>1120</v>
      </c>
      <c r="E388" s="512"/>
      <c r="F388" s="924"/>
    </row>
    <row r="389" spans="2:6" x14ac:dyDescent="0.45">
      <c r="B389" s="998" t="s">
        <v>13</v>
      </c>
      <c r="C389" s="488" t="s">
        <v>150</v>
      </c>
      <c r="D389" s="758" t="s">
        <v>1122</v>
      </c>
      <c r="E389" s="512"/>
      <c r="F389" s="924"/>
    </row>
    <row r="390" spans="2:6" x14ac:dyDescent="0.45">
      <c r="B390" s="999"/>
      <c r="C390" s="485" t="s">
        <v>1136</v>
      </c>
      <c r="D390" s="759" t="s">
        <v>1123</v>
      </c>
      <c r="E390" s="512"/>
      <c r="F390" s="924"/>
    </row>
    <row r="391" spans="2:6" x14ac:dyDescent="0.45">
      <c r="B391" s="999"/>
      <c r="C391" s="485" t="s">
        <v>1117</v>
      </c>
      <c r="D391" s="759" t="s">
        <v>1124</v>
      </c>
      <c r="E391" s="512"/>
      <c r="F391" s="924"/>
    </row>
    <row r="392" spans="2:6" ht="52.5" x14ac:dyDescent="0.45">
      <c r="B392" s="999"/>
      <c r="C392" s="485" t="s">
        <v>1119</v>
      </c>
      <c r="D392" s="759" t="s">
        <v>1125</v>
      </c>
      <c r="E392" s="512"/>
      <c r="F392" s="924"/>
    </row>
    <row r="393" spans="2:6" ht="29.25" thickBot="1" x14ac:dyDescent="0.5">
      <c r="B393" s="1000"/>
      <c r="C393" s="489" t="s">
        <v>1121</v>
      </c>
      <c r="D393" s="760" t="s">
        <v>1126</v>
      </c>
      <c r="E393" s="512"/>
      <c r="F393" s="924"/>
    </row>
    <row r="394" spans="2:6" x14ac:dyDescent="0.45">
      <c r="B394" s="998" t="s">
        <v>14</v>
      </c>
      <c r="C394" s="488" t="s">
        <v>150</v>
      </c>
      <c r="D394" s="758" t="s">
        <v>1127</v>
      </c>
      <c r="E394" s="512"/>
      <c r="F394" s="924"/>
    </row>
    <row r="395" spans="2:6" x14ac:dyDescent="0.45">
      <c r="B395" s="999"/>
      <c r="C395" s="485" t="s">
        <v>1136</v>
      </c>
      <c r="D395" s="759" t="s">
        <v>1128</v>
      </c>
      <c r="E395" s="512"/>
      <c r="F395" s="924"/>
    </row>
    <row r="396" spans="2:6" x14ac:dyDescent="0.45">
      <c r="B396" s="999"/>
      <c r="C396" s="485" t="s">
        <v>1117</v>
      </c>
      <c r="D396" s="759" t="s">
        <v>1129</v>
      </c>
      <c r="E396" s="512"/>
      <c r="F396" s="924"/>
    </row>
    <row r="397" spans="2:6" ht="52.5" x14ac:dyDescent="0.45">
      <c r="B397" s="999"/>
      <c r="C397" s="485" t="s">
        <v>1119</v>
      </c>
      <c r="D397" s="759" t="s">
        <v>1130</v>
      </c>
      <c r="E397" s="512"/>
      <c r="F397" s="924"/>
    </row>
    <row r="398" spans="2:6" ht="29.25" thickBot="1" x14ac:dyDescent="0.5">
      <c r="B398" s="1000"/>
      <c r="C398" s="489" t="s">
        <v>1121</v>
      </c>
      <c r="D398" s="760" t="s">
        <v>1131</v>
      </c>
      <c r="E398" s="512"/>
      <c r="F398" s="924"/>
    </row>
    <row r="399" spans="2:6" x14ac:dyDescent="0.45">
      <c r="B399" s="998" t="s">
        <v>15</v>
      </c>
      <c r="C399" s="488" t="s">
        <v>150</v>
      </c>
      <c r="D399" s="758" t="s">
        <v>1132</v>
      </c>
      <c r="E399" s="512"/>
      <c r="F399" s="924"/>
    </row>
    <row r="400" spans="2:6" x14ac:dyDescent="0.45">
      <c r="B400" s="999"/>
      <c r="C400" s="485" t="s">
        <v>1136</v>
      </c>
      <c r="D400" s="759" t="s">
        <v>1133</v>
      </c>
      <c r="E400" s="512"/>
      <c r="F400" s="924"/>
    </row>
    <row r="401" spans="2:6" x14ac:dyDescent="0.45">
      <c r="B401" s="999"/>
      <c r="C401" s="485" t="s">
        <v>1117</v>
      </c>
      <c r="D401" s="759" t="s">
        <v>1134</v>
      </c>
      <c r="E401" s="512"/>
      <c r="F401" s="924"/>
    </row>
    <row r="402" spans="2:6" ht="52.5" x14ac:dyDescent="0.45">
      <c r="B402" s="999"/>
      <c r="C402" s="485" t="s">
        <v>1119</v>
      </c>
      <c r="D402" s="759" t="s">
        <v>1135</v>
      </c>
      <c r="E402" s="512"/>
      <c r="F402" s="924"/>
    </row>
    <row r="403" spans="2:6" ht="29.25" thickBot="1" x14ac:dyDescent="0.5">
      <c r="B403" s="1000"/>
      <c r="C403" s="489" t="s">
        <v>1121</v>
      </c>
      <c r="D403" s="760" t="s">
        <v>1141</v>
      </c>
      <c r="E403" s="512"/>
      <c r="F403" s="924"/>
    </row>
    <row r="404" spans="2:6" x14ac:dyDescent="0.45">
      <c r="B404" s="998" t="s">
        <v>1137</v>
      </c>
      <c r="C404" s="488" t="s">
        <v>150</v>
      </c>
      <c r="D404" s="758" t="s">
        <v>1142</v>
      </c>
      <c r="E404" s="512"/>
      <c r="F404" s="924"/>
    </row>
    <row r="405" spans="2:6" x14ac:dyDescent="0.45">
      <c r="B405" s="999"/>
      <c r="C405" s="485" t="s">
        <v>1136</v>
      </c>
      <c r="D405" s="759" t="s">
        <v>1143</v>
      </c>
      <c r="E405" s="512"/>
      <c r="F405" s="924"/>
    </row>
    <row r="406" spans="2:6" x14ac:dyDescent="0.45">
      <c r="B406" s="999"/>
      <c r="C406" s="485" t="s">
        <v>1117</v>
      </c>
      <c r="D406" s="759" t="s">
        <v>1144</v>
      </c>
      <c r="E406" s="512"/>
      <c r="F406" s="924"/>
    </row>
    <row r="407" spans="2:6" ht="52.5" x14ac:dyDescent="0.45">
      <c r="B407" s="999"/>
      <c r="C407" s="485" t="s">
        <v>1119</v>
      </c>
      <c r="D407" s="759" t="s">
        <v>1145</v>
      </c>
      <c r="E407" s="512"/>
      <c r="F407" s="924"/>
    </row>
    <row r="408" spans="2:6" ht="29.25" thickBot="1" x14ac:dyDescent="0.5">
      <c r="B408" s="1000"/>
      <c r="C408" s="489" t="s">
        <v>1121</v>
      </c>
      <c r="D408" s="760" t="s">
        <v>1146</v>
      </c>
      <c r="E408" s="512"/>
      <c r="F408" s="924"/>
    </row>
    <row r="409" spans="2:6" x14ac:dyDescent="0.45">
      <c r="B409" s="998" t="s">
        <v>16</v>
      </c>
      <c r="C409" s="488" t="s">
        <v>150</v>
      </c>
      <c r="D409" s="758" t="s">
        <v>1147</v>
      </c>
      <c r="E409" s="512"/>
      <c r="F409" s="924"/>
    </row>
    <row r="410" spans="2:6" x14ac:dyDescent="0.45">
      <c r="B410" s="999"/>
      <c r="C410" s="485" t="s">
        <v>1136</v>
      </c>
      <c r="D410" s="759" t="s">
        <v>1148</v>
      </c>
      <c r="E410" s="512"/>
      <c r="F410" s="924"/>
    </row>
    <row r="411" spans="2:6" x14ac:dyDescent="0.45">
      <c r="B411" s="999"/>
      <c r="C411" s="485" t="s">
        <v>1117</v>
      </c>
      <c r="D411" s="759" t="s">
        <v>1149</v>
      </c>
      <c r="E411" s="512"/>
      <c r="F411" s="924"/>
    </row>
    <row r="412" spans="2:6" ht="52.5" x14ac:dyDescent="0.45">
      <c r="B412" s="999"/>
      <c r="C412" s="485" t="s">
        <v>1119</v>
      </c>
      <c r="D412" s="759" t="s">
        <v>1150</v>
      </c>
      <c r="E412" s="512"/>
      <c r="F412" s="924"/>
    </row>
    <row r="413" spans="2:6" ht="29.25" thickBot="1" x14ac:dyDescent="0.5">
      <c r="B413" s="1000"/>
      <c r="C413" s="489" t="s">
        <v>1121</v>
      </c>
      <c r="D413" s="760" t="s">
        <v>1151</v>
      </c>
      <c r="E413" s="512"/>
      <c r="F413" s="924"/>
    </row>
    <row r="414" spans="2:6" x14ac:dyDescent="0.45">
      <c r="B414" s="998" t="s">
        <v>1138</v>
      </c>
      <c r="C414" s="488" t="s">
        <v>150</v>
      </c>
      <c r="D414" s="758" t="s">
        <v>1152</v>
      </c>
      <c r="E414" s="512"/>
      <c r="F414" s="924"/>
    </row>
    <row r="415" spans="2:6" x14ac:dyDescent="0.45">
      <c r="B415" s="999"/>
      <c r="C415" s="485" t="s">
        <v>1136</v>
      </c>
      <c r="D415" s="759" t="s">
        <v>1153</v>
      </c>
      <c r="E415" s="512"/>
      <c r="F415" s="924"/>
    </row>
    <row r="416" spans="2:6" x14ac:dyDescent="0.45">
      <c r="B416" s="999"/>
      <c r="C416" s="485" t="s">
        <v>1117</v>
      </c>
      <c r="D416" s="759" t="s">
        <v>1154</v>
      </c>
      <c r="E416" s="512"/>
      <c r="F416" s="924"/>
    </row>
    <row r="417" spans="2:6" ht="52.5" x14ac:dyDescent="0.45">
      <c r="B417" s="999"/>
      <c r="C417" s="485" t="s">
        <v>1119</v>
      </c>
      <c r="D417" s="759" t="s">
        <v>1155</v>
      </c>
      <c r="E417" s="512"/>
      <c r="F417" s="924"/>
    </row>
    <row r="418" spans="2:6" ht="29.25" thickBot="1" x14ac:dyDescent="0.5">
      <c r="B418" s="1000"/>
      <c r="C418" s="489" t="s">
        <v>1121</v>
      </c>
      <c r="D418" s="760" t="s">
        <v>1156</v>
      </c>
      <c r="E418" s="512"/>
      <c r="F418" s="924"/>
    </row>
    <row r="419" spans="2:6" x14ac:dyDescent="0.45">
      <c r="B419" s="998" t="s">
        <v>22</v>
      </c>
      <c r="C419" s="488" t="s">
        <v>150</v>
      </c>
      <c r="D419" s="758" t="s">
        <v>1157</v>
      </c>
      <c r="E419" s="512"/>
      <c r="F419" s="924"/>
    </row>
    <row r="420" spans="2:6" x14ac:dyDescent="0.45">
      <c r="B420" s="999"/>
      <c r="C420" s="485" t="s">
        <v>1136</v>
      </c>
      <c r="D420" s="759" t="s">
        <v>1158</v>
      </c>
      <c r="E420" s="512"/>
      <c r="F420" s="924"/>
    </row>
    <row r="421" spans="2:6" x14ac:dyDescent="0.45">
      <c r="B421" s="999"/>
      <c r="C421" s="485" t="s">
        <v>1117</v>
      </c>
      <c r="D421" s="759" t="s">
        <v>1159</v>
      </c>
      <c r="E421" s="512"/>
      <c r="F421" s="924"/>
    </row>
    <row r="422" spans="2:6" ht="52.5" x14ac:dyDescent="0.45">
      <c r="B422" s="999"/>
      <c r="C422" s="485" t="s">
        <v>1119</v>
      </c>
      <c r="D422" s="759" t="s">
        <v>1160</v>
      </c>
      <c r="E422" s="512"/>
      <c r="F422" s="924"/>
    </row>
    <row r="423" spans="2:6" ht="29.25" thickBot="1" x14ac:dyDescent="0.5">
      <c r="B423" s="1000"/>
      <c r="C423" s="489" t="s">
        <v>1121</v>
      </c>
      <c r="D423" s="760" t="s">
        <v>1161</v>
      </c>
      <c r="E423" s="512"/>
      <c r="F423" s="924"/>
    </row>
    <row r="424" spans="2:6" x14ac:dyDescent="0.45">
      <c r="B424" s="998" t="s">
        <v>18</v>
      </c>
      <c r="C424" s="488" t="s">
        <v>150</v>
      </c>
      <c r="D424" s="758" t="s">
        <v>1162</v>
      </c>
      <c r="E424" s="512"/>
      <c r="F424" s="924"/>
    </row>
    <row r="425" spans="2:6" x14ac:dyDescent="0.45">
      <c r="B425" s="999"/>
      <c r="C425" s="485" t="s">
        <v>1136</v>
      </c>
      <c r="D425" s="759" t="s">
        <v>1163</v>
      </c>
      <c r="E425" s="512"/>
      <c r="F425" s="924"/>
    </row>
    <row r="426" spans="2:6" x14ac:dyDescent="0.45">
      <c r="B426" s="999"/>
      <c r="C426" s="485" t="s">
        <v>1117</v>
      </c>
      <c r="D426" s="759" t="s">
        <v>1164</v>
      </c>
      <c r="E426" s="512"/>
      <c r="F426" s="924"/>
    </row>
    <row r="427" spans="2:6" ht="52.5" x14ac:dyDescent="0.45">
      <c r="B427" s="999"/>
      <c r="C427" s="485" t="s">
        <v>1119</v>
      </c>
      <c r="D427" s="759" t="s">
        <v>1165</v>
      </c>
      <c r="E427" s="512"/>
      <c r="F427" s="924"/>
    </row>
    <row r="428" spans="2:6" ht="29.25" thickBot="1" x14ac:dyDescent="0.5">
      <c r="B428" s="1000"/>
      <c r="C428" s="489" t="s">
        <v>1121</v>
      </c>
      <c r="D428" s="760" t="s">
        <v>1166</v>
      </c>
      <c r="E428" s="512"/>
      <c r="F428" s="924"/>
    </row>
    <row r="429" spans="2:6" x14ac:dyDescent="0.45">
      <c r="B429" s="998" t="s">
        <v>1052</v>
      </c>
      <c r="C429" s="488" t="s">
        <v>150</v>
      </c>
      <c r="D429" s="758" t="s">
        <v>1167</v>
      </c>
      <c r="E429" s="512"/>
      <c r="F429" s="924"/>
    </row>
    <row r="430" spans="2:6" x14ac:dyDescent="0.45">
      <c r="B430" s="999"/>
      <c r="C430" s="485" t="s">
        <v>1136</v>
      </c>
      <c r="D430" s="759" t="s">
        <v>1168</v>
      </c>
      <c r="E430" s="512"/>
      <c r="F430" s="924"/>
    </row>
    <row r="431" spans="2:6" x14ac:dyDescent="0.45">
      <c r="B431" s="999"/>
      <c r="C431" s="485" t="s">
        <v>1117</v>
      </c>
      <c r="D431" s="759" t="s">
        <v>1169</v>
      </c>
      <c r="E431" s="512"/>
      <c r="F431" s="924"/>
    </row>
    <row r="432" spans="2:6" ht="52.5" x14ac:dyDescent="0.45">
      <c r="B432" s="999"/>
      <c r="C432" s="485" t="s">
        <v>1119</v>
      </c>
      <c r="D432" s="759" t="s">
        <v>1170</v>
      </c>
      <c r="E432" s="512"/>
      <c r="F432" s="924"/>
    </row>
    <row r="433" spans="2:6" ht="29.25" thickBot="1" x14ac:dyDescent="0.5">
      <c r="B433" s="1000"/>
      <c r="C433" s="489" t="s">
        <v>1121</v>
      </c>
      <c r="D433" s="760" t="s">
        <v>1171</v>
      </c>
      <c r="E433" s="512"/>
      <c r="F433" s="924"/>
    </row>
    <row r="434" spans="2:6" x14ac:dyDescent="0.45">
      <c r="B434" s="998" t="s">
        <v>1139</v>
      </c>
      <c r="C434" s="488" t="s">
        <v>150</v>
      </c>
      <c r="D434" s="758" t="s">
        <v>1172</v>
      </c>
      <c r="E434" s="512"/>
      <c r="F434" s="924"/>
    </row>
    <row r="435" spans="2:6" x14ac:dyDescent="0.45">
      <c r="B435" s="999"/>
      <c r="C435" s="485" t="s">
        <v>1136</v>
      </c>
      <c r="D435" s="759" t="s">
        <v>1173</v>
      </c>
      <c r="E435" s="512"/>
      <c r="F435" s="924"/>
    </row>
    <row r="436" spans="2:6" x14ac:dyDescent="0.45">
      <c r="B436" s="999"/>
      <c r="C436" s="485" t="s">
        <v>1117</v>
      </c>
      <c r="D436" s="759" t="s">
        <v>1174</v>
      </c>
      <c r="E436" s="512"/>
      <c r="F436" s="924"/>
    </row>
    <row r="437" spans="2:6" ht="52.5" x14ac:dyDescent="0.45">
      <c r="B437" s="999"/>
      <c r="C437" s="485" t="s">
        <v>1119</v>
      </c>
      <c r="D437" s="759" t="s">
        <v>1175</v>
      </c>
      <c r="E437" s="512"/>
      <c r="F437" s="924"/>
    </row>
    <row r="438" spans="2:6" ht="29.25" thickBot="1" x14ac:dyDescent="0.5">
      <c r="B438" s="1000"/>
      <c r="C438" s="489" t="s">
        <v>1121</v>
      </c>
      <c r="D438" s="760" t="s">
        <v>1176</v>
      </c>
      <c r="E438" s="512"/>
      <c r="F438" s="924"/>
    </row>
    <row r="439" spans="2:6" x14ac:dyDescent="0.45">
      <c r="B439" s="998" t="s">
        <v>1140</v>
      </c>
      <c r="C439" s="488" t="s">
        <v>150</v>
      </c>
      <c r="D439" s="758" t="s">
        <v>1177</v>
      </c>
      <c r="E439" s="512"/>
      <c r="F439" s="924"/>
    </row>
    <row r="440" spans="2:6" x14ac:dyDescent="0.45">
      <c r="B440" s="999"/>
      <c r="C440" s="485" t="s">
        <v>1136</v>
      </c>
      <c r="D440" s="759" t="s">
        <v>1178</v>
      </c>
      <c r="E440" s="512"/>
      <c r="F440" s="924"/>
    </row>
    <row r="441" spans="2:6" x14ac:dyDescent="0.45">
      <c r="B441" s="999"/>
      <c r="C441" s="485" t="s">
        <v>1117</v>
      </c>
      <c r="D441" s="759" t="s">
        <v>1179</v>
      </c>
      <c r="E441" s="512"/>
      <c r="F441" s="924"/>
    </row>
    <row r="442" spans="2:6" ht="52.5" x14ac:dyDescent="0.45">
      <c r="B442" s="999"/>
      <c r="C442" s="485" t="s">
        <v>1119</v>
      </c>
      <c r="D442" s="759" t="s">
        <v>1180</v>
      </c>
      <c r="E442" s="512"/>
      <c r="F442" s="924"/>
    </row>
    <row r="443" spans="2:6" ht="29.25" thickBot="1" x14ac:dyDescent="0.5">
      <c r="B443" s="1000"/>
      <c r="C443" s="489" t="s">
        <v>1121</v>
      </c>
      <c r="D443" s="760" t="s">
        <v>1181</v>
      </c>
      <c r="E443" s="512"/>
      <c r="F443" s="924"/>
    </row>
    <row r="444" spans="2:6" x14ac:dyDescent="0.45">
      <c r="B444" s="998" t="s">
        <v>1187</v>
      </c>
      <c r="C444" s="488" t="s">
        <v>150</v>
      </c>
      <c r="D444" s="758" t="s">
        <v>1182</v>
      </c>
      <c r="E444" s="512"/>
      <c r="F444" s="924"/>
    </row>
    <row r="445" spans="2:6" x14ac:dyDescent="0.45">
      <c r="B445" s="999"/>
      <c r="C445" s="485" t="s">
        <v>1136</v>
      </c>
      <c r="D445" s="759" t="s">
        <v>1183</v>
      </c>
      <c r="E445" s="512"/>
      <c r="F445" s="924"/>
    </row>
    <row r="446" spans="2:6" x14ac:dyDescent="0.45">
      <c r="B446" s="999"/>
      <c r="C446" s="485" t="s">
        <v>1117</v>
      </c>
      <c r="D446" s="759" t="s">
        <v>1184</v>
      </c>
      <c r="E446" s="512"/>
      <c r="F446" s="924"/>
    </row>
    <row r="447" spans="2:6" ht="52.5" x14ac:dyDescent="0.45">
      <c r="B447" s="999"/>
      <c r="C447" s="485" t="s">
        <v>1119</v>
      </c>
      <c r="D447" s="759" t="s">
        <v>1185</v>
      </c>
      <c r="E447" s="512"/>
      <c r="F447" s="924"/>
    </row>
    <row r="448" spans="2:6" ht="29.25" thickBot="1" x14ac:dyDescent="0.5">
      <c r="B448" s="1000"/>
      <c r="C448" s="489" t="s">
        <v>1121</v>
      </c>
      <c r="D448" s="760" t="s">
        <v>1186</v>
      </c>
      <c r="E448" s="925"/>
      <c r="F448" s="926"/>
    </row>
  </sheetData>
  <autoFilter ref="B2:F381"/>
  <mergeCells count="118">
    <mergeCell ref="B166:B167"/>
    <mergeCell ref="B168:B169"/>
    <mergeCell ref="B170:B171"/>
    <mergeCell ref="B172:B173"/>
    <mergeCell ref="B174:B175"/>
    <mergeCell ref="B176:B177"/>
    <mergeCell ref="B434:B438"/>
    <mergeCell ref="B439:B443"/>
    <mergeCell ref="B444:B448"/>
    <mergeCell ref="B320:B327"/>
    <mergeCell ref="B286:F286"/>
    <mergeCell ref="B287:B289"/>
    <mergeCell ref="B290:B291"/>
    <mergeCell ref="B292:B293"/>
    <mergeCell ref="B299:B301"/>
    <mergeCell ref="B302:F302"/>
    <mergeCell ref="B304:B309"/>
    <mergeCell ref="B312:B313"/>
    <mergeCell ref="B314:B319"/>
    <mergeCell ref="B263:B266"/>
    <mergeCell ref="B275:B276"/>
    <mergeCell ref="B277:B279"/>
    <mergeCell ref="B141:B142"/>
    <mergeCell ref="B143:B144"/>
    <mergeCell ref="B409:B413"/>
    <mergeCell ref="B414:B418"/>
    <mergeCell ref="B419:B423"/>
    <mergeCell ref="B424:B428"/>
    <mergeCell ref="B429:B433"/>
    <mergeCell ref="B384:B388"/>
    <mergeCell ref="B389:B393"/>
    <mergeCell ref="B394:B398"/>
    <mergeCell ref="B399:B403"/>
    <mergeCell ref="B404:B408"/>
    <mergeCell ref="B237:B238"/>
    <mergeCell ref="B370:F370"/>
    <mergeCell ref="B371:B381"/>
    <mergeCell ref="B252:F252"/>
    <mergeCell ref="B253:B258"/>
    <mergeCell ref="B259:B262"/>
    <mergeCell ref="B328:B341"/>
    <mergeCell ref="B342:B349"/>
    <mergeCell ref="B350:F350"/>
    <mergeCell ref="B351:B356"/>
    <mergeCell ref="B357:B362"/>
    <mergeCell ref="B363:B369"/>
    <mergeCell ref="B105:B106"/>
    <mergeCell ref="B44:B46"/>
    <mergeCell ref="B147:B148"/>
    <mergeCell ref="B267:B274"/>
    <mergeCell ref="B294:B297"/>
    <mergeCell ref="B5:B7"/>
    <mergeCell ref="B14:F14"/>
    <mergeCell ref="B15:B25"/>
    <mergeCell ref="B81:B84"/>
    <mergeCell ref="B57:B60"/>
    <mergeCell ref="B61:B64"/>
    <mergeCell ref="B26:B27"/>
    <mergeCell ref="B28:B29"/>
    <mergeCell ref="B30:B31"/>
    <mergeCell ref="B32:B33"/>
    <mergeCell ref="B34:B35"/>
    <mergeCell ref="B36:B37"/>
    <mergeCell ref="B150:F150"/>
    <mergeCell ref="B164:F164"/>
    <mergeCell ref="B280:B282"/>
    <mergeCell ref="B239:B240"/>
    <mergeCell ref="B241:B247"/>
    <mergeCell ref="B248:B251"/>
    <mergeCell ref="B283:B285"/>
    <mergeCell ref="B1:E1"/>
    <mergeCell ref="B210:B218"/>
    <mergeCell ref="B219:B227"/>
    <mergeCell ref="B228:B236"/>
    <mergeCell ref="B201:B209"/>
    <mergeCell ref="B200:F200"/>
    <mergeCell ref="B149:F149"/>
    <mergeCell ref="B152:B153"/>
    <mergeCell ref="B154:B155"/>
    <mergeCell ref="B156:B157"/>
    <mergeCell ref="B158:B159"/>
    <mergeCell ref="B160:B161"/>
    <mergeCell ref="B162:B163"/>
    <mergeCell ref="B178:F178"/>
    <mergeCell ref="B179:B185"/>
    <mergeCell ref="B186:B192"/>
    <mergeCell ref="B193:B199"/>
    <mergeCell ref="B145:B146"/>
    <mergeCell ref="B40:B41"/>
    <mergeCell ref="B42:B43"/>
    <mergeCell ref="B4:F4"/>
    <mergeCell ref="B8:B10"/>
    <mergeCell ref="B11:B13"/>
    <mergeCell ref="B56:F56"/>
    <mergeCell ref="G153:N153"/>
    <mergeCell ref="B38:B39"/>
    <mergeCell ref="B85:B88"/>
    <mergeCell ref="B89:B92"/>
    <mergeCell ref="B93:B96"/>
    <mergeCell ref="B113:B118"/>
    <mergeCell ref="B119:B123"/>
    <mergeCell ref="B124:B129"/>
    <mergeCell ref="B130:B132"/>
    <mergeCell ref="B133:B139"/>
    <mergeCell ref="B103:B104"/>
    <mergeCell ref="B97:F97"/>
    <mergeCell ref="B98:B102"/>
    <mergeCell ref="B107:F107"/>
    <mergeCell ref="B108:B111"/>
    <mergeCell ref="B47:B48"/>
    <mergeCell ref="B49:B50"/>
    <mergeCell ref="B77:B80"/>
    <mergeCell ref="B65:B68"/>
    <mergeCell ref="B69:B72"/>
    <mergeCell ref="B73:B76"/>
    <mergeCell ref="B51:F51"/>
    <mergeCell ref="B52:B53"/>
    <mergeCell ref="B54:B55"/>
  </mergeCells>
  <phoneticPr fontId="3" type="noConversion"/>
  <conditionalFormatting sqref="C285">
    <cfRule type="cellIs" dxfId="1908" priority="133" operator="equal">
      <formula>0</formula>
    </cfRule>
  </conditionalFormatting>
  <conditionalFormatting sqref="F201">
    <cfRule type="cellIs" dxfId="1907" priority="140" operator="equal">
      <formula>0</formula>
    </cfRule>
  </conditionalFormatting>
  <conditionalFormatting sqref="D201:D236">
    <cfRule type="duplicateValues" dxfId="1906" priority="135"/>
  </conditionalFormatting>
  <conditionalFormatting sqref="D201:D236">
    <cfRule type="duplicateValues" dxfId="1905" priority="136"/>
  </conditionalFormatting>
  <conditionalFormatting sqref="D201:D236">
    <cfRule type="duplicateValues" dxfId="1904" priority="134"/>
  </conditionalFormatting>
  <conditionalFormatting sqref="K371:AA371">
    <cfRule type="expression" dxfId="1903" priority="130">
      <formula>K371&gt;K369</formula>
    </cfRule>
  </conditionalFormatting>
  <conditionalFormatting sqref="AF371">
    <cfRule type="notContainsBlanks" dxfId="1902" priority="132">
      <formula>LEN(TRIM(AF371))&gt;0</formula>
    </cfRule>
  </conditionalFormatting>
  <conditionalFormatting sqref="K371:AA371">
    <cfRule type="expression" dxfId="1901" priority="128">
      <formula>K369&gt;K371</formula>
    </cfRule>
  </conditionalFormatting>
  <conditionalFormatting sqref="AB371:AE371">
    <cfRule type="expression" dxfId="1900" priority="127">
      <formula>AB371&gt;AB369</formula>
    </cfRule>
  </conditionalFormatting>
  <conditionalFormatting sqref="AB371:AE371">
    <cfRule type="expression" dxfId="1899" priority="126">
      <formula>AB369&gt;AB371</formula>
    </cfRule>
  </conditionalFormatting>
  <conditionalFormatting sqref="D45:D46">
    <cfRule type="duplicateValues" dxfId="1898" priority="125"/>
  </conditionalFormatting>
  <conditionalFormatting sqref="D45:D46">
    <cfRule type="duplicateValues" dxfId="1897" priority="124"/>
  </conditionalFormatting>
  <conditionalFormatting sqref="D45:D46">
    <cfRule type="duplicateValues" dxfId="1896" priority="123"/>
  </conditionalFormatting>
  <conditionalFormatting sqref="D45:D46">
    <cfRule type="duplicateValues" dxfId="1895" priority="122"/>
  </conditionalFormatting>
  <conditionalFormatting sqref="D140">
    <cfRule type="duplicateValues" dxfId="1894" priority="100"/>
  </conditionalFormatting>
  <conditionalFormatting sqref="D24">
    <cfRule type="duplicateValues" dxfId="1893" priority="96"/>
  </conditionalFormatting>
  <conditionalFormatting sqref="D24">
    <cfRule type="duplicateValues" dxfId="1892" priority="95"/>
  </conditionalFormatting>
  <conditionalFormatting sqref="D24">
    <cfRule type="duplicateValues" dxfId="1891" priority="94"/>
  </conditionalFormatting>
  <conditionalFormatting sqref="D24">
    <cfRule type="duplicateValues" dxfId="1890" priority="93"/>
  </conditionalFormatting>
  <conditionalFormatting sqref="D24">
    <cfRule type="duplicateValues" dxfId="1889" priority="92"/>
  </conditionalFormatting>
  <conditionalFormatting sqref="D24">
    <cfRule type="duplicateValues" dxfId="1888" priority="89"/>
    <cfRule type="duplicateValues" dxfId="1887" priority="91"/>
  </conditionalFormatting>
  <conditionalFormatting sqref="D24">
    <cfRule type="duplicateValues" dxfId="1886" priority="90"/>
  </conditionalFormatting>
  <conditionalFormatting sqref="D47:D48">
    <cfRule type="duplicateValues" dxfId="1885" priority="88"/>
  </conditionalFormatting>
  <conditionalFormatting sqref="D47:D48">
    <cfRule type="duplicateValues" dxfId="1884" priority="87"/>
  </conditionalFormatting>
  <conditionalFormatting sqref="D49:D50">
    <cfRule type="duplicateValues" dxfId="1883" priority="85"/>
  </conditionalFormatting>
  <conditionalFormatting sqref="D47:D50">
    <cfRule type="duplicateValues" dxfId="1882" priority="83"/>
  </conditionalFormatting>
  <conditionalFormatting sqref="D47:D50">
    <cfRule type="duplicateValues" dxfId="1881" priority="82"/>
  </conditionalFormatting>
  <conditionalFormatting sqref="D47:D50">
    <cfRule type="duplicateValues" dxfId="1880" priority="80"/>
  </conditionalFormatting>
  <conditionalFormatting sqref="D52:D53">
    <cfRule type="duplicateValues" dxfId="1879" priority="78"/>
  </conditionalFormatting>
  <conditionalFormatting sqref="D52:D53">
    <cfRule type="duplicateValues" dxfId="1878" priority="77"/>
  </conditionalFormatting>
  <conditionalFormatting sqref="D52:D53">
    <cfRule type="duplicateValues" dxfId="1877" priority="76"/>
  </conditionalFormatting>
  <conditionalFormatting sqref="D52:D53">
    <cfRule type="duplicateValues" dxfId="1876" priority="75"/>
  </conditionalFormatting>
  <conditionalFormatting sqref="D52:D53">
    <cfRule type="duplicateValues" dxfId="1875" priority="74"/>
  </conditionalFormatting>
  <conditionalFormatting sqref="D52:D53">
    <cfRule type="duplicateValues" dxfId="1874" priority="71"/>
    <cfRule type="duplicateValues" dxfId="1873" priority="73"/>
  </conditionalFormatting>
  <conditionalFormatting sqref="D52:D53">
    <cfRule type="duplicateValues" dxfId="1872" priority="72"/>
  </conditionalFormatting>
  <conditionalFormatting sqref="D54:D55">
    <cfRule type="duplicateValues" dxfId="1871" priority="70"/>
  </conditionalFormatting>
  <conditionalFormatting sqref="D54:D55">
    <cfRule type="duplicateValues" dxfId="1870" priority="69"/>
  </conditionalFormatting>
  <conditionalFormatting sqref="D54:D55">
    <cfRule type="duplicateValues" dxfId="1869" priority="68"/>
  </conditionalFormatting>
  <conditionalFormatting sqref="D54:D55">
    <cfRule type="duplicateValues" dxfId="1868" priority="67"/>
  </conditionalFormatting>
  <conditionalFormatting sqref="D54:D55">
    <cfRule type="duplicateValues" dxfId="1867" priority="66"/>
  </conditionalFormatting>
  <conditionalFormatting sqref="D54:D55">
    <cfRule type="duplicateValues" dxfId="1866" priority="63"/>
    <cfRule type="duplicateValues" dxfId="1865" priority="65"/>
  </conditionalFormatting>
  <conditionalFormatting sqref="D54:D55">
    <cfRule type="duplicateValues" dxfId="1864" priority="64"/>
  </conditionalFormatting>
  <conditionalFormatting sqref="D105:D106">
    <cfRule type="duplicateValues" dxfId="1863" priority="62"/>
  </conditionalFormatting>
  <conditionalFormatting sqref="D105:D106">
    <cfRule type="duplicateValues" dxfId="1862" priority="61"/>
  </conditionalFormatting>
  <conditionalFormatting sqref="D105:D106">
    <cfRule type="duplicateValues" dxfId="1861" priority="60"/>
  </conditionalFormatting>
  <conditionalFormatting sqref="D105:D106">
    <cfRule type="duplicateValues" dxfId="1860" priority="59"/>
  </conditionalFormatting>
  <conditionalFormatting sqref="D105:D106">
    <cfRule type="duplicateValues" dxfId="1859" priority="58"/>
  </conditionalFormatting>
  <conditionalFormatting sqref="D105:D106">
    <cfRule type="duplicateValues" dxfId="1858" priority="55"/>
    <cfRule type="duplicateValues" dxfId="1857" priority="57"/>
  </conditionalFormatting>
  <conditionalFormatting sqref="D105:D106">
    <cfRule type="duplicateValues" dxfId="1856" priority="56"/>
  </conditionalFormatting>
  <conditionalFormatting sqref="D44">
    <cfRule type="duplicateValues" dxfId="1855" priority="54"/>
  </conditionalFormatting>
  <conditionalFormatting sqref="D44">
    <cfRule type="duplicateValues" dxfId="1854" priority="53"/>
  </conditionalFormatting>
  <conditionalFormatting sqref="D44">
    <cfRule type="duplicateValues" dxfId="1853" priority="52"/>
  </conditionalFormatting>
  <conditionalFormatting sqref="D44">
    <cfRule type="duplicateValues" dxfId="1852" priority="51"/>
  </conditionalFormatting>
  <conditionalFormatting sqref="D44">
    <cfRule type="duplicateValues" dxfId="1851" priority="50"/>
  </conditionalFormatting>
  <conditionalFormatting sqref="D44">
    <cfRule type="duplicateValues" dxfId="1850" priority="47"/>
    <cfRule type="duplicateValues" dxfId="1849" priority="49"/>
  </conditionalFormatting>
  <conditionalFormatting sqref="D44">
    <cfRule type="duplicateValues" dxfId="1848" priority="48"/>
  </conditionalFormatting>
  <conditionalFormatting sqref="D49:D50">
    <cfRule type="duplicateValues" dxfId="1847" priority="3256"/>
  </conditionalFormatting>
  <conditionalFormatting sqref="D47:D50">
    <cfRule type="duplicateValues" dxfId="1846" priority="3257"/>
  </conditionalFormatting>
  <conditionalFormatting sqref="D47:D50">
    <cfRule type="duplicateValues" dxfId="1845" priority="3258"/>
    <cfRule type="duplicateValues" dxfId="1844" priority="3259"/>
  </conditionalFormatting>
  <conditionalFormatting sqref="D147:D148">
    <cfRule type="duplicateValues" dxfId="1843" priority="46"/>
  </conditionalFormatting>
  <conditionalFormatting sqref="D147:D148">
    <cfRule type="duplicateValues" dxfId="1842" priority="45"/>
  </conditionalFormatting>
  <conditionalFormatting sqref="D147:D148">
    <cfRule type="duplicateValues" dxfId="1841" priority="44"/>
  </conditionalFormatting>
  <conditionalFormatting sqref="D147:D148">
    <cfRule type="duplicateValues" dxfId="1840" priority="43"/>
  </conditionalFormatting>
  <conditionalFormatting sqref="D147:D148">
    <cfRule type="duplicateValues" dxfId="1839" priority="42"/>
  </conditionalFormatting>
  <conditionalFormatting sqref="D147:D148">
    <cfRule type="duplicateValues" dxfId="1838" priority="39"/>
    <cfRule type="duplicateValues" dxfId="1837" priority="41"/>
  </conditionalFormatting>
  <conditionalFormatting sqref="D147:D148">
    <cfRule type="duplicateValues" dxfId="1836" priority="40"/>
  </conditionalFormatting>
  <conditionalFormatting sqref="D273:D274">
    <cfRule type="duplicateValues" dxfId="1835" priority="30"/>
  </conditionalFormatting>
  <conditionalFormatting sqref="D273:D274">
    <cfRule type="duplicateValues" dxfId="1834" priority="29"/>
  </conditionalFormatting>
  <conditionalFormatting sqref="D273:D274">
    <cfRule type="duplicateValues" dxfId="1833" priority="28"/>
  </conditionalFormatting>
  <conditionalFormatting sqref="D273:D274">
    <cfRule type="duplicateValues" dxfId="1832" priority="27"/>
  </conditionalFormatting>
  <conditionalFormatting sqref="D273:D274">
    <cfRule type="duplicateValues" dxfId="1831" priority="26"/>
  </conditionalFormatting>
  <conditionalFormatting sqref="D273:D274">
    <cfRule type="duplicateValues" dxfId="1830" priority="23"/>
    <cfRule type="duplicateValues" dxfId="1829" priority="25"/>
  </conditionalFormatting>
  <conditionalFormatting sqref="D273:D274">
    <cfRule type="duplicateValues" dxfId="1828" priority="24"/>
  </conditionalFormatting>
  <conditionalFormatting sqref="D296:D297">
    <cfRule type="duplicateValues" dxfId="1827" priority="22"/>
  </conditionalFormatting>
  <conditionalFormatting sqref="D296:D297">
    <cfRule type="duplicateValues" dxfId="1826" priority="21"/>
  </conditionalFormatting>
  <conditionalFormatting sqref="D296:D297">
    <cfRule type="duplicateValues" dxfId="1825" priority="20"/>
  </conditionalFormatting>
  <conditionalFormatting sqref="D296:D297">
    <cfRule type="duplicateValues" dxfId="1824" priority="19"/>
  </conditionalFormatting>
  <conditionalFormatting sqref="D296:D297">
    <cfRule type="duplicateValues" dxfId="1823" priority="18"/>
  </conditionalFormatting>
  <conditionalFormatting sqref="D296:D297">
    <cfRule type="duplicateValues" dxfId="1822" priority="9"/>
    <cfRule type="duplicateValues" dxfId="1821" priority="17"/>
  </conditionalFormatting>
  <conditionalFormatting sqref="D297">
    <cfRule type="duplicateValues" dxfId="1820" priority="16"/>
  </conditionalFormatting>
  <conditionalFormatting sqref="D297">
    <cfRule type="duplicateValues" dxfId="1819" priority="15"/>
  </conditionalFormatting>
  <conditionalFormatting sqref="D297">
    <cfRule type="duplicateValues" dxfId="1818" priority="14"/>
  </conditionalFormatting>
  <conditionalFormatting sqref="D297">
    <cfRule type="duplicateValues" dxfId="1817" priority="13"/>
  </conditionalFormatting>
  <conditionalFormatting sqref="D297">
    <cfRule type="duplicateValues" dxfId="1816" priority="12"/>
  </conditionalFormatting>
  <conditionalFormatting sqref="D297">
    <cfRule type="duplicateValues" dxfId="1815" priority="11"/>
  </conditionalFormatting>
  <conditionalFormatting sqref="D296:D297">
    <cfRule type="duplicateValues" dxfId="1814" priority="10"/>
  </conditionalFormatting>
  <conditionalFormatting sqref="D151">
    <cfRule type="duplicateValues" dxfId="1813" priority="3288"/>
  </conditionalFormatting>
  <conditionalFormatting sqref="D151">
    <cfRule type="duplicateValues" dxfId="1812" priority="3293"/>
    <cfRule type="duplicateValues" dxfId="1811" priority="3294"/>
  </conditionalFormatting>
  <conditionalFormatting sqref="D165">
    <cfRule type="duplicateValues" dxfId="1810" priority="3311"/>
  </conditionalFormatting>
  <conditionalFormatting sqref="D165">
    <cfRule type="duplicateValues" dxfId="1809" priority="3312"/>
    <cfRule type="duplicateValues" dxfId="1808" priority="3313"/>
  </conditionalFormatting>
  <dataValidations disablePrompts="1" count="2">
    <dataValidation type="whole" allowBlank="1" showInputMessage="1" showErrorMessage="1" errorTitle="Non-Numeric or abnormal value" error="Enter Numbers only between 0 and 99999" sqref="E201:F202 E337:F337 E9:F13 G371:AB371">
      <formula1>0</formula1>
      <formula2>99999</formula2>
    </dataValidation>
    <dataValidation allowBlank="1" showInputMessage="1" showErrorMessage="1" errorTitle="Non-Numeric or abnormal value" error="Enter Numbers only between 0 and 99999" sqref="E203:F236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37"/>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45.28515625" style="661" customWidth="1" collapsed="1"/>
    <col min="2" max="2" width="123.5703125" style="293" customWidth="1" collapsed="1"/>
    <col min="3" max="3" width="18.42578125" style="61" bestFit="1" customWidth="1" collapsed="1"/>
    <col min="4"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8.140625" style="18" customWidth="1" collapsed="1"/>
    <col min="37" max="37" width="9.7109375" style="61" hidden="1" customWidth="1" collapsed="1"/>
    <col min="38" max="38" width="39.85546875" style="235" customWidth="1" collapsed="1"/>
    <col min="39" max="39" width="31.5703125" style="18" hidden="1" customWidth="1" collapsed="1"/>
    <col min="40" max="40" width="36.7109375" style="18" customWidth="1" collapsed="1"/>
    <col min="41" max="41" width="9.140625" style="282" collapsed="1"/>
    <col min="42" max="42" width="37.28515625" style="283" bestFit="1" customWidth="1" collapsed="1"/>
    <col min="43" max="43" width="35.85546875" style="284" bestFit="1" customWidth="1" collapsed="1"/>
    <col min="44" max="44" width="9.140625" style="18"/>
    <col min="45" max="16384" width="9.140625" style="18" collapsed="1"/>
  </cols>
  <sheetData>
    <row r="1" spans="1:43" s="6" customFormat="1" ht="39" hidden="1" customHeight="1" thickBot="1" x14ac:dyDescent="0.3">
      <c r="A1" s="651" t="s">
        <v>380</v>
      </c>
      <c r="B1" s="1095" t="s">
        <v>461</v>
      </c>
      <c r="C1" s="1096"/>
      <c r="D1" s="1163" t="s">
        <v>140</v>
      </c>
      <c r="E1" s="1165"/>
      <c r="F1" s="1093" t="s">
        <v>462</v>
      </c>
      <c r="G1" s="1094"/>
      <c r="H1" s="1163" t="s">
        <v>379</v>
      </c>
      <c r="I1" s="1164"/>
      <c r="J1" s="1165"/>
      <c r="K1" s="1093" t="s">
        <v>463</v>
      </c>
      <c r="L1" s="1170"/>
      <c r="M1" s="1170"/>
      <c r="N1" s="1170"/>
      <c r="O1" s="1170"/>
      <c r="P1" s="1170"/>
      <c r="Q1" s="1094"/>
      <c r="R1" s="1163" t="s">
        <v>386</v>
      </c>
      <c r="S1" s="1165"/>
      <c r="T1" s="1093" t="s">
        <v>464</v>
      </c>
      <c r="U1" s="1170"/>
      <c r="V1" s="1094"/>
      <c r="W1" s="1163" t="s">
        <v>381</v>
      </c>
      <c r="X1" s="1165"/>
      <c r="Y1" s="4" t="s">
        <v>465</v>
      </c>
      <c r="Z1" s="5" t="s">
        <v>382</v>
      </c>
      <c r="AA1" s="1093">
        <v>2020</v>
      </c>
      <c r="AB1" s="1170"/>
      <c r="AC1" s="1170"/>
      <c r="AD1" s="1170"/>
      <c r="AE1" s="1170"/>
      <c r="AF1" s="1170"/>
      <c r="AG1" s="1170"/>
      <c r="AH1" s="1170"/>
      <c r="AI1" s="1170"/>
      <c r="AJ1" s="1094"/>
      <c r="AK1" s="1115" t="s">
        <v>383</v>
      </c>
      <c r="AL1" s="1116"/>
      <c r="AM1" s="1116"/>
      <c r="AN1" s="1116"/>
      <c r="AO1" s="1110"/>
    </row>
    <row r="2" spans="1:43" s="8" customFormat="1" ht="94.5" customHeight="1" thickBot="1" x14ac:dyDescent="0.45">
      <c r="A2" s="1098"/>
      <c r="B2" s="1099"/>
      <c r="C2" s="1099"/>
      <c r="D2" s="1099"/>
      <c r="E2" s="1099"/>
      <c r="F2" s="1099"/>
      <c r="G2" s="1099"/>
      <c r="H2" s="1099"/>
      <c r="I2" s="1099"/>
      <c r="J2" s="1099"/>
      <c r="K2" s="1099"/>
      <c r="L2" s="1099"/>
      <c r="M2" s="1099"/>
      <c r="N2" s="1099"/>
      <c r="O2" s="1099"/>
      <c r="P2" s="1099"/>
      <c r="Q2" s="1099"/>
      <c r="R2" s="1099"/>
      <c r="S2" s="1099"/>
      <c r="T2" s="1099"/>
      <c r="U2" s="1099"/>
      <c r="V2" s="1099"/>
      <c r="W2" s="1099"/>
      <c r="X2" s="1099"/>
      <c r="Y2" s="1099"/>
      <c r="Z2" s="1099"/>
      <c r="AA2" s="1099"/>
      <c r="AB2" s="1099"/>
      <c r="AC2" s="1099"/>
      <c r="AD2" s="1099"/>
      <c r="AE2" s="1099"/>
      <c r="AF2" s="1099"/>
      <c r="AG2" s="1099"/>
      <c r="AH2" s="1099"/>
      <c r="AI2" s="1099"/>
      <c r="AJ2" s="1099"/>
      <c r="AK2" s="1099"/>
      <c r="AL2" s="1099"/>
      <c r="AM2" s="1099"/>
      <c r="AN2" s="1100"/>
      <c r="AO2" s="1110"/>
      <c r="AP2" s="1108" t="s">
        <v>1012</v>
      </c>
      <c r="AQ2" s="1109"/>
    </row>
    <row r="3" spans="1:43" s="300" customFormat="1" ht="57.4" customHeight="1" thickBot="1" x14ac:dyDescent="0.3">
      <c r="A3" s="1101" t="str">
        <f>CONCATENATE(R1,":  ",T1,"                            ",H1,":   ",K1,"                            ",A1,":   ",B1,"                            ",D1,":   ",F1,"                            Reporting Year:   ",AA1,"              Reporting Month:   ",Y1)</f>
        <v>County:  Laikipia                            Sub County:   Laikipia East                            Health Facility:   Likii Dispensary                            MFL Code:   15035                            Reporting Year:   2020              Reporting Month:   02</v>
      </c>
      <c r="B3" s="1102"/>
      <c r="C3" s="1102"/>
      <c r="D3" s="1102"/>
      <c r="E3" s="1102"/>
      <c r="F3" s="1102"/>
      <c r="G3" s="1102"/>
      <c r="H3" s="1102"/>
      <c r="I3" s="1102"/>
      <c r="J3" s="1102"/>
      <c r="K3" s="1102"/>
      <c r="L3" s="1102"/>
      <c r="M3" s="1102"/>
      <c r="N3" s="1102"/>
      <c r="O3" s="1102"/>
      <c r="P3" s="1102"/>
      <c r="Q3" s="1102"/>
      <c r="R3" s="1102"/>
      <c r="S3" s="1102"/>
      <c r="T3" s="1102"/>
      <c r="U3" s="1102"/>
      <c r="V3" s="1102"/>
      <c r="W3" s="1102"/>
      <c r="X3" s="1102"/>
      <c r="Y3" s="1102"/>
      <c r="Z3" s="1102"/>
      <c r="AA3" s="1102"/>
      <c r="AB3" s="1102"/>
      <c r="AC3" s="1102"/>
      <c r="AD3" s="1102"/>
      <c r="AE3" s="1102"/>
      <c r="AF3" s="1102"/>
      <c r="AG3" s="1102"/>
      <c r="AH3" s="1102"/>
      <c r="AI3" s="1102"/>
      <c r="AJ3" s="1102"/>
      <c r="AK3" s="1102"/>
      <c r="AL3" s="1102"/>
      <c r="AM3" s="1102"/>
      <c r="AN3" s="1103"/>
      <c r="AO3" s="1110"/>
      <c r="AP3" s="301" t="str">
        <f>HYPERLINK("#HIV_TEST","1.1 Hiv Testing")</f>
        <v>1.1 Hiv Testing</v>
      </c>
      <c r="AQ3" s="301" t="str">
        <f>HYPERLINK("#GEND_GBV","5.0 GEND_GBV")</f>
        <v>5.0 GEND_GBV</v>
      </c>
    </row>
    <row r="4" spans="1:43" s="10" customFormat="1" ht="39.75" customHeight="1" thickBot="1" x14ac:dyDescent="0.3">
      <c r="A4" s="1173" t="s">
        <v>1310</v>
      </c>
      <c r="B4" s="1174"/>
      <c r="C4" s="1174"/>
      <c r="D4" s="1169" t="s">
        <v>994</v>
      </c>
      <c r="E4" s="1169"/>
      <c r="F4" s="1169"/>
      <c r="G4" s="1169"/>
      <c r="H4" s="1169"/>
      <c r="I4" s="1169"/>
      <c r="J4" s="1169"/>
      <c r="K4" s="1169"/>
      <c r="L4" s="1169"/>
      <c r="M4" s="1169"/>
      <c r="N4" s="1169"/>
      <c r="O4" s="1169"/>
      <c r="P4" s="1169"/>
      <c r="Q4" s="1169"/>
      <c r="R4" s="1169"/>
      <c r="S4" s="1169"/>
      <c r="T4" s="1169"/>
      <c r="U4" s="1169"/>
      <c r="V4" s="1169"/>
      <c r="W4" s="1152" t="s">
        <v>996</v>
      </c>
      <c r="X4" s="1153"/>
      <c r="Y4" s="1153"/>
      <c r="Z4" s="1153"/>
      <c r="AA4" s="1153"/>
      <c r="AB4" s="1153"/>
      <c r="AC4" s="1153"/>
      <c r="AD4" s="1153"/>
      <c r="AE4" s="1153"/>
      <c r="AF4" s="1153"/>
      <c r="AG4" s="1153"/>
      <c r="AH4" s="1153"/>
      <c r="AI4" s="1153"/>
      <c r="AJ4" s="1153"/>
      <c r="AK4" s="1153"/>
      <c r="AL4" s="1153"/>
      <c r="AM4" s="1153"/>
      <c r="AN4" s="1154"/>
      <c r="AO4" s="1110"/>
      <c r="AP4" s="301" t="str">
        <f>HYPERLINK("#HTS_SELF","1.2 HTS SELF")</f>
        <v>1.2 HTS SELF</v>
      </c>
      <c r="AQ4" s="301" t="str">
        <f>HYPERLINK("#PMTCT_TST","6.1 PMTCT TEST")</f>
        <v>6.1 PMTCT TEST</v>
      </c>
    </row>
    <row r="5" spans="1:43" s="14" customFormat="1" ht="26.25" hidden="1" customHeight="1" thickBot="1" x14ac:dyDescent="0.45">
      <c r="A5" s="1166" t="s">
        <v>37</v>
      </c>
      <c r="B5" s="1167" t="s">
        <v>344</v>
      </c>
      <c r="C5" s="1168" t="s">
        <v>325</v>
      </c>
      <c r="D5" s="1140" t="s">
        <v>0</v>
      </c>
      <c r="E5" s="1140"/>
      <c r="F5" s="1140" t="s">
        <v>1</v>
      </c>
      <c r="G5" s="1140"/>
      <c r="H5" s="1140" t="s">
        <v>2</v>
      </c>
      <c r="I5" s="1140"/>
      <c r="J5" s="1140" t="s">
        <v>3</v>
      </c>
      <c r="K5" s="1140"/>
      <c r="L5" s="1140" t="s">
        <v>4</v>
      </c>
      <c r="M5" s="1140"/>
      <c r="N5" s="1140" t="s">
        <v>5</v>
      </c>
      <c r="O5" s="1140"/>
      <c r="P5" s="1140" t="s">
        <v>6</v>
      </c>
      <c r="Q5" s="1140"/>
      <c r="R5" s="1140" t="s">
        <v>7</v>
      </c>
      <c r="S5" s="1140"/>
      <c r="T5" s="1140" t="s">
        <v>8</v>
      </c>
      <c r="U5" s="1140"/>
      <c r="V5" s="1140" t="s">
        <v>23</v>
      </c>
      <c r="W5" s="1140"/>
      <c r="X5" s="1140" t="s">
        <v>24</v>
      </c>
      <c r="Y5" s="1140"/>
      <c r="Z5" s="1140" t="s">
        <v>9</v>
      </c>
      <c r="AA5" s="1140"/>
      <c r="AB5" s="307"/>
      <c r="AC5" s="307"/>
      <c r="AD5" s="307"/>
      <c r="AE5" s="307"/>
      <c r="AF5" s="307"/>
      <c r="AG5" s="307"/>
      <c r="AH5" s="497"/>
      <c r="AI5" s="497"/>
      <c r="AJ5" s="1171" t="s">
        <v>19</v>
      </c>
      <c r="AK5" s="1106" t="s">
        <v>378</v>
      </c>
      <c r="AL5" s="11" t="s">
        <v>378</v>
      </c>
      <c r="AM5" s="1135" t="s">
        <v>385</v>
      </c>
      <c r="AN5" s="12" t="s">
        <v>945</v>
      </c>
      <c r="AO5" s="1110"/>
      <c r="AP5" s="302"/>
      <c r="AQ5"/>
    </row>
    <row r="6" spans="1:43" s="14" customFormat="1" ht="27" hidden="1" customHeight="1" thickBot="1" x14ac:dyDescent="0.45">
      <c r="A6" s="1060"/>
      <c r="B6" s="1056"/>
      <c r="C6" s="1120"/>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172"/>
      <c r="AK6" s="1107"/>
      <c r="AL6" s="16" t="str">
        <f>IF(LEN(A486)-LEN(SUBSTITUTE(A486,"*",""))&gt;0," Total Errors are "&amp;(LEN(A486)-LEN(SUBSTITUTE(A486,"*",""))),"")</f>
        <v/>
      </c>
      <c r="AM6" s="1136"/>
      <c r="AN6" s="17" t="str">
        <f>IF(LEN(A508)-LEN(SUBSTITUTE(A508,"*",""))&gt;0," Total Warnings are "&amp;(LEN(A508)-LEN(SUBSTITUTE(A508,"*",""))),"")</f>
        <v/>
      </c>
      <c r="AO6" s="1110"/>
      <c r="AP6" s="302"/>
      <c r="AQ6"/>
    </row>
    <row r="7" spans="1:43" ht="25.9" hidden="1" customHeight="1" thickBot="1" x14ac:dyDescent="0.45">
      <c r="A7" s="1011" t="s">
        <v>468</v>
      </c>
      <c r="B7" s="1012"/>
      <c r="C7" s="1012"/>
      <c r="D7" s="1012"/>
      <c r="E7" s="1012"/>
      <c r="F7" s="1012"/>
      <c r="G7" s="1012"/>
      <c r="H7" s="1012"/>
      <c r="I7" s="1012"/>
      <c r="J7" s="1012"/>
      <c r="K7" s="1012"/>
      <c r="L7" s="1012"/>
      <c r="M7" s="1012"/>
      <c r="N7" s="1012"/>
      <c r="O7" s="1012"/>
      <c r="P7" s="1012"/>
      <c r="Q7" s="1012"/>
      <c r="R7" s="1012"/>
      <c r="S7" s="1012"/>
      <c r="T7" s="1012"/>
      <c r="U7" s="1012"/>
      <c r="V7" s="1012"/>
      <c r="W7" s="1012"/>
      <c r="X7" s="1012"/>
      <c r="Y7" s="1012"/>
      <c r="Z7" s="1012"/>
      <c r="AA7" s="1012"/>
      <c r="AB7" s="1012"/>
      <c r="AC7" s="1012"/>
      <c r="AD7" s="1012"/>
      <c r="AE7" s="1012"/>
      <c r="AF7" s="1012"/>
      <c r="AG7" s="1012"/>
      <c r="AH7" s="1012"/>
      <c r="AI7" s="1012"/>
      <c r="AJ7" s="1012"/>
      <c r="AK7" s="1012"/>
      <c r="AL7" s="1015"/>
      <c r="AM7" s="1012"/>
      <c r="AN7" s="1016"/>
      <c r="AO7" s="1110"/>
      <c r="AP7" s="302"/>
      <c r="AQ7"/>
    </row>
    <row r="8" spans="1:43" ht="31.15" hidden="1" customHeight="1" thickBot="1" x14ac:dyDescent="0.45">
      <c r="A8" s="1137" t="s">
        <v>841</v>
      </c>
      <c r="B8" s="1" t="s">
        <v>640</v>
      </c>
      <c r="C8" s="571" t="s">
        <v>982</v>
      </c>
      <c r="D8" s="19"/>
      <c r="E8" s="19"/>
      <c r="F8" s="19"/>
      <c r="G8" s="20"/>
      <c r="H8" s="21"/>
      <c r="I8" s="22"/>
      <c r="J8" s="22"/>
      <c r="K8" s="22"/>
      <c r="L8" s="22"/>
      <c r="M8" s="22"/>
      <c r="N8" s="22"/>
      <c r="O8" s="22"/>
      <c r="P8" s="22"/>
      <c r="Q8" s="22"/>
      <c r="R8" s="22"/>
      <c r="S8" s="23"/>
      <c r="T8" s="24"/>
      <c r="U8" s="25"/>
      <c r="V8" s="25"/>
      <c r="W8" s="25"/>
      <c r="X8" s="25"/>
      <c r="Y8" s="26"/>
      <c r="Z8" s="27"/>
      <c r="AA8" s="28"/>
      <c r="AB8" s="312"/>
      <c r="AC8" s="312"/>
      <c r="AD8" s="312"/>
      <c r="AE8" s="312"/>
      <c r="AF8" s="312"/>
      <c r="AG8" s="312"/>
      <c r="AH8" s="312"/>
      <c r="AI8" s="312"/>
      <c r="AJ8" s="29">
        <f t="shared" ref="AJ8:AJ10" si="0">SUM(D8:AA8)</f>
        <v>0</v>
      </c>
      <c r="AK8" s="30" t="str">
        <f>CONCATENATE(IF(AJ9&gt;AJ8," * No Screened in OPD "&amp;$AJ$20&amp;" is more than Number Seen at OPD "&amp;CHAR(10),""))</f>
        <v/>
      </c>
      <c r="AL8" s="1117" t="str">
        <f>CONCATENATE(AK8,AK9,AK10,AK11,AK12,AK13,AK15,AK16,AK17,AK18,AK14)</f>
        <v/>
      </c>
      <c r="AM8" s="31"/>
      <c r="AN8" s="1104" t="str">
        <f>CONCATENATE(AM8,AM9,AM10,AM11,AM12,AM13,AM14,AM15,AM16,AM17,AM18)</f>
        <v/>
      </c>
      <c r="AO8" s="1110"/>
      <c r="AP8" s="302"/>
      <c r="AQ8"/>
    </row>
    <row r="9" spans="1:43" ht="25.9" hidden="1" customHeight="1" thickBot="1" x14ac:dyDescent="0.45">
      <c r="A9" s="1138"/>
      <c r="B9" s="32" t="s">
        <v>641</v>
      </c>
      <c r="C9" s="571" t="s">
        <v>983</v>
      </c>
      <c r="D9" s="19"/>
      <c r="E9" s="19"/>
      <c r="F9" s="19"/>
      <c r="G9" s="20"/>
      <c r="H9" s="33"/>
      <c r="I9" s="28"/>
      <c r="J9" s="28"/>
      <c r="K9" s="28"/>
      <c r="L9" s="28"/>
      <c r="M9" s="28"/>
      <c r="N9" s="28"/>
      <c r="O9" s="28"/>
      <c r="P9" s="28"/>
      <c r="Q9" s="28"/>
      <c r="R9" s="28"/>
      <c r="S9" s="34"/>
      <c r="T9" s="35"/>
      <c r="U9" s="19"/>
      <c r="V9" s="19"/>
      <c r="W9" s="19"/>
      <c r="X9" s="19"/>
      <c r="Y9" s="36"/>
      <c r="Z9" s="27"/>
      <c r="AA9" s="28"/>
      <c r="AB9" s="312"/>
      <c r="AC9" s="312"/>
      <c r="AD9" s="312"/>
      <c r="AE9" s="312"/>
      <c r="AF9" s="312"/>
      <c r="AG9" s="312"/>
      <c r="AH9" s="312"/>
      <c r="AI9" s="312"/>
      <c r="AJ9" s="29">
        <f t="shared" si="0"/>
        <v>0</v>
      </c>
      <c r="AK9" s="30" t="str">
        <f>CONCATENATE(IF(AJ10&gt;AJ9," * No Eligible for HTS Testing "&amp;$AJ$20&amp;" is more than No Screened for HTS Eligibility "&amp;CHAR(10),""))</f>
        <v/>
      </c>
      <c r="AL9" s="1118"/>
      <c r="AM9" s="31"/>
      <c r="AN9" s="1105"/>
      <c r="AO9" s="1110"/>
      <c r="AP9" s="302"/>
      <c r="AQ9"/>
    </row>
    <row r="10" spans="1:43" ht="25.9" hidden="1" customHeight="1" thickBot="1" x14ac:dyDescent="0.45">
      <c r="A10" s="1139"/>
      <c r="B10" s="3" t="s">
        <v>469</v>
      </c>
      <c r="C10" s="571" t="s">
        <v>984</v>
      </c>
      <c r="D10" s="19"/>
      <c r="E10" s="19"/>
      <c r="F10" s="19"/>
      <c r="G10" s="20"/>
      <c r="H10" s="37"/>
      <c r="I10" s="38"/>
      <c r="J10" s="38"/>
      <c r="K10" s="38"/>
      <c r="L10" s="38"/>
      <c r="M10" s="38"/>
      <c r="N10" s="38"/>
      <c r="O10" s="38"/>
      <c r="P10" s="38"/>
      <c r="Q10" s="38"/>
      <c r="R10" s="38"/>
      <c r="S10" s="39"/>
      <c r="T10" s="40"/>
      <c r="U10" s="41"/>
      <c r="V10" s="41"/>
      <c r="W10" s="41"/>
      <c r="X10" s="41"/>
      <c r="Y10" s="42"/>
      <c r="Z10" s="43"/>
      <c r="AA10" s="44"/>
      <c r="AB10" s="312"/>
      <c r="AC10" s="312"/>
      <c r="AD10" s="312"/>
      <c r="AE10" s="312"/>
      <c r="AF10" s="312"/>
      <c r="AG10" s="312"/>
      <c r="AH10" s="312"/>
      <c r="AI10" s="312"/>
      <c r="AJ10" s="29">
        <f t="shared" si="0"/>
        <v>0</v>
      </c>
      <c r="AK10" s="45"/>
      <c r="AL10" s="1118"/>
      <c r="AM10" s="31"/>
      <c r="AN10" s="1105"/>
      <c r="AO10" s="1110"/>
      <c r="AP10" s="302"/>
      <c r="AQ10"/>
    </row>
    <row r="11" spans="1:43" ht="25.9" hidden="1" customHeight="1" thickBot="1" x14ac:dyDescent="0.45">
      <c r="A11" s="1155" t="s">
        <v>842</v>
      </c>
      <c r="B11" s="1" t="s">
        <v>851</v>
      </c>
      <c r="C11" s="571" t="s">
        <v>985</v>
      </c>
      <c r="D11" s="46"/>
      <c r="E11" s="19"/>
      <c r="F11" s="19"/>
      <c r="G11" s="19"/>
      <c r="H11" s="19"/>
      <c r="I11" s="19"/>
      <c r="J11" s="19"/>
      <c r="K11" s="19"/>
      <c r="L11" s="19"/>
      <c r="M11" s="19"/>
      <c r="N11" s="19"/>
      <c r="O11" s="19"/>
      <c r="P11" s="19"/>
      <c r="Q11" s="19"/>
      <c r="R11" s="19"/>
      <c r="S11" s="19"/>
      <c r="T11" s="19"/>
      <c r="U11" s="19"/>
      <c r="V11" s="19"/>
      <c r="W11" s="19"/>
      <c r="X11" s="19"/>
      <c r="Y11" s="19"/>
      <c r="Z11" s="19"/>
      <c r="AA11" s="47"/>
      <c r="AB11" s="313"/>
      <c r="AC11" s="313"/>
      <c r="AD11" s="313"/>
      <c r="AE11" s="313"/>
      <c r="AF11" s="313"/>
      <c r="AG11" s="313"/>
      <c r="AH11" s="313"/>
      <c r="AI11" s="313"/>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118"/>
      <c r="AM11" s="31"/>
      <c r="AN11" s="1105"/>
      <c r="AO11" s="1110"/>
      <c r="AP11" s="302"/>
      <c r="AQ11"/>
    </row>
    <row r="12" spans="1:43" ht="25.9" hidden="1" customHeight="1" thickBot="1" x14ac:dyDescent="0.45">
      <c r="A12" s="1138"/>
      <c r="B12" s="32" t="s">
        <v>641</v>
      </c>
      <c r="C12" s="572" t="s">
        <v>845</v>
      </c>
      <c r="D12" s="49"/>
      <c r="E12" s="50"/>
      <c r="F12" s="50"/>
      <c r="G12" s="50"/>
      <c r="H12" s="50"/>
      <c r="I12" s="50"/>
      <c r="J12" s="50"/>
      <c r="K12" s="50"/>
      <c r="L12" s="50"/>
      <c r="M12" s="50"/>
      <c r="N12" s="50"/>
      <c r="O12" s="50"/>
      <c r="P12" s="50"/>
      <c r="Q12" s="50"/>
      <c r="R12" s="50"/>
      <c r="S12" s="50"/>
      <c r="T12" s="50"/>
      <c r="U12" s="50"/>
      <c r="V12" s="50"/>
      <c r="W12" s="50"/>
      <c r="X12" s="50"/>
      <c r="Y12" s="50"/>
      <c r="Z12" s="50"/>
      <c r="AA12" s="51"/>
      <c r="AB12" s="313"/>
      <c r="AC12" s="313"/>
      <c r="AD12" s="313"/>
      <c r="AE12" s="313"/>
      <c r="AF12" s="313"/>
      <c r="AG12" s="313"/>
      <c r="AH12" s="313"/>
      <c r="AI12" s="313"/>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118"/>
      <c r="AM12" s="31"/>
      <c r="AN12" s="1105"/>
      <c r="AO12" s="1110"/>
      <c r="AP12" s="302"/>
      <c r="AQ12"/>
    </row>
    <row r="13" spans="1:43" ht="25.9" hidden="1" customHeight="1" thickBot="1" x14ac:dyDescent="0.45">
      <c r="A13" s="1139"/>
      <c r="B13" s="3" t="s">
        <v>469</v>
      </c>
      <c r="C13" s="573" t="s">
        <v>846</v>
      </c>
      <c r="D13" s="53"/>
      <c r="E13" s="54"/>
      <c r="F13" s="54"/>
      <c r="G13" s="54"/>
      <c r="H13" s="54"/>
      <c r="I13" s="54"/>
      <c r="J13" s="54"/>
      <c r="K13" s="54"/>
      <c r="L13" s="54"/>
      <c r="M13" s="54"/>
      <c r="N13" s="54"/>
      <c r="O13" s="54"/>
      <c r="P13" s="54"/>
      <c r="Q13" s="54"/>
      <c r="R13" s="54"/>
      <c r="S13" s="54"/>
      <c r="T13" s="54"/>
      <c r="U13" s="54"/>
      <c r="V13" s="54"/>
      <c r="W13" s="54"/>
      <c r="X13" s="54"/>
      <c r="Y13" s="54"/>
      <c r="Z13" s="54"/>
      <c r="AA13" s="55"/>
      <c r="AB13" s="314"/>
      <c r="AC13" s="314"/>
      <c r="AD13" s="314"/>
      <c r="AE13" s="314"/>
      <c r="AF13" s="314"/>
      <c r="AG13" s="314"/>
      <c r="AH13" s="314"/>
      <c r="AI13" s="314"/>
      <c r="AJ13" s="56">
        <f t="shared" si="1"/>
        <v>0</v>
      </c>
      <c r="AK13" s="45"/>
      <c r="AL13" s="1118"/>
      <c r="AM13" s="31"/>
      <c r="AN13" s="1105"/>
      <c r="AO13" s="1110"/>
      <c r="AP13" s="302"/>
      <c r="AQ13"/>
    </row>
    <row r="14" spans="1:43" s="61" customFormat="1" ht="51.4" hidden="1" customHeight="1" thickBot="1" x14ac:dyDescent="0.45">
      <c r="A14" s="652" t="s">
        <v>907</v>
      </c>
      <c r="B14" s="57" t="s">
        <v>853</v>
      </c>
      <c r="C14" s="574" t="s">
        <v>847</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15"/>
      <c r="AC14" s="315"/>
      <c r="AD14" s="315"/>
      <c r="AE14" s="315"/>
      <c r="AF14" s="315"/>
      <c r="AG14" s="315"/>
      <c r="AH14" s="315"/>
      <c r="AI14" s="315"/>
      <c r="AJ14" s="59">
        <f t="shared" si="1"/>
        <v>0</v>
      </c>
      <c r="AK14" s="30"/>
      <c r="AL14" s="1118"/>
      <c r="AM14" s="60"/>
      <c r="AN14" s="1105"/>
      <c r="AO14" s="1110"/>
      <c r="AP14" s="302"/>
      <c r="AQ14"/>
    </row>
    <row r="15" spans="1:43" ht="25.9" hidden="1" customHeight="1" thickBot="1" x14ac:dyDescent="0.45">
      <c r="A15" s="1137" t="s">
        <v>843</v>
      </c>
      <c r="B15" s="1" t="s">
        <v>852</v>
      </c>
      <c r="C15" s="574" t="s">
        <v>848</v>
      </c>
      <c r="D15" s="62"/>
      <c r="E15" s="63"/>
      <c r="F15" s="63"/>
      <c r="G15" s="63"/>
      <c r="H15" s="63"/>
      <c r="I15" s="63"/>
      <c r="J15" s="63"/>
      <c r="K15" s="63"/>
      <c r="L15" s="63"/>
      <c r="M15" s="63"/>
      <c r="N15" s="63"/>
      <c r="O15" s="63"/>
      <c r="P15" s="63"/>
      <c r="Q15" s="63"/>
      <c r="R15" s="63"/>
      <c r="S15" s="63"/>
      <c r="T15" s="63"/>
      <c r="U15" s="63"/>
      <c r="V15" s="63"/>
      <c r="W15" s="63"/>
      <c r="X15" s="63"/>
      <c r="Y15" s="63"/>
      <c r="Z15" s="63"/>
      <c r="AA15" s="64"/>
      <c r="AB15" s="316"/>
      <c r="AC15" s="316"/>
      <c r="AD15" s="316"/>
      <c r="AE15" s="316"/>
      <c r="AF15" s="316"/>
      <c r="AG15" s="316"/>
      <c r="AH15" s="316"/>
      <c r="AI15" s="316"/>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118"/>
      <c r="AM15" s="31"/>
      <c r="AN15" s="1105"/>
      <c r="AO15" s="1110"/>
      <c r="AP15" s="302"/>
      <c r="AQ15"/>
    </row>
    <row r="16" spans="1:43" ht="25.9" hidden="1" customHeight="1" thickBot="1" x14ac:dyDescent="0.45">
      <c r="A16" s="1138"/>
      <c r="B16" s="2" t="s">
        <v>641</v>
      </c>
      <c r="C16" s="572" t="s">
        <v>849</v>
      </c>
      <c r="D16" s="49"/>
      <c r="E16" s="50"/>
      <c r="F16" s="50"/>
      <c r="G16" s="50"/>
      <c r="H16" s="50"/>
      <c r="I16" s="50"/>
      <c r="J16" s="50"/>
      <c r="K16" s="50"/>
      <c r="L16" s="50"/>
      <c r="M16" s="50"/>
      <c r="N16" s="50"/>
      <c r="O16" s="50"/>
      <c r="P16" s="50"/>
      <c r="Q16" s="50"/>
      <c r="R16" s="50"/>
      <c r="S16" s="50"/>
      <c r="T16" s="50"/>
      <c r="U16" s="50"/>
      <c r="V16" s="50"/>
      <c r="W16" s="50"/>
      <c r="X16" s="50"/>
      <c r="Y16" s="50"/>
      <c r="Z16" s="50"/>
      <c r="AA16" s="51"/>
      <c r="AB16" s="313"/>
      <c r="AC16" s="313"/>
      <c r="AD16" s="313"/>
      <c r="AE16" s="313"/>
      <c r="AF16" s="313"/>
      <c r="AG16" s="313"/>
      <c r="AH16" s="313"/>
      <c r="AI16" s="313"/>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118"/>
      <c r="AM16" s="31"/>
      <c r="AN16" s="1105"/>
      <c r="AO16" s="1110"/>
      <c r="AP16" s="302"/>
      <c r="AQ16"/>
    </row>
    <row r="17" spans="1:43" ht="25.9" hidden="1" customHeight="1" thickBot="1" x14ac:dyDescent="0.45">
      <c r="A17" s="1139"/>
      <c r="B17" s="3" t="s">
        <v>469</v>
      </c>
      <c r="C17" s="573" t="s">
        <v>850</v>
      </c>
      <c r="D17" s="53"/>
      <c r="E17" s="54"/>
      <c r="F17" s="54"/>
      <c r="G17" s="54"/>
      <c r="H17" s="54"/>
      <c r="I17" s="54"/>
      <c r="J17" s="54"/>
      <c r="K17" s="54"/>
      <c r="L17" s="54"/>
      <c r="M17" s="54"/>
      <c r="N17" s="54"/>
      <c r="O17" s="54"/>
      <c r="P17" s="54"/>
      <c r="Q17" s="54"/>
      <c r="R17" s="54"/>
      <c r="S17" s="54"/>
      <c r="T17" s="54"/>
      <c r="U17" s="54"/>
      <c r="V17" s="54"/>
      <c r="W17" s="54"/>
      <c r="X17" s="54"/>
      <c r="Y17" s="54"/>
      <c r="Z17" s="54"/>
      <c r="AA17" s="55"/>
      <c r="AB17" s="314"/>
      <c r="AC17" s="314"/>
      <c r="AD17" s="314"/>
      <c r="AE17" s="314"/>
      <c r="AF17" s="314"/>
      <c r="AG17" s="314"/>
      <c r="AH17" s="314"/>
      <c r="AI17" s="314"/>
      <c r="AJ17" s="67">
        <f t="shared" si="1"/>
        <v>0</v>
      </c>
      <c r="AK17" s="45"/>
      <c r="AL17" s="1118"/>
      <c r="AM17" s="31"/>
      <c r="AN17" s="1105"/>
      <c r="AO17" s="1110"/>
      <c r="AP17" s="302"/>
      <c r="AQ17"/>
    </row>
    <row r="18" spans="1:43" ht="25.9" hidden="1" customHeight="1" thickBot="1" x14ac:dyDescent="0.45">
      <c r="A18" s="653"/>
      <c r="B18" s="303" t="s">
        <v>997</v>
      </c>
      <c r="C18" s="571" t="s">
        <v>986</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304"/>
      <c r="AL18" s="1118"/>
      <c r="AM18" s="123"/>
      <c r="AN18" s="1105"/>
      <c r="AO18" s="1110"/>
      <c r="AP18" s="302"/>
      <c r="AQ18"/>
    </row>
    <row r="19" spans="1:43" ht="36.75" customHeight="1" thickBot="1" x14ac:dyDescent="0.4">
      <c r="A19" s="1017" t="s">
        <v>12</v>
      </c>
      <c r="B19" s="1015"/>
      <c r="C19" s="1015"/>
      <c r="D19" s="1015"/>
      <c r="E19" s="1015"/>
      <c r="F19" s="1015"/>
      <c r="G19" s="1015"/>
      <c r="H19" s="1015"/>
      <c r="I19" s="1015"/>
      <c r="J19" s="1015"/>
      <c r="K19" s="1015"/>
      <c r="L19" s="1015"/>
      <c r="M19" s="1015"/>
      <c r="N19" s="1015"/>
      <c r="O19" s="1015"/>
      <c r="P19" s="1015"/>
      <c r="Q19" s="1015"/>
      <c r="R19" s="1015"/>
      <c r="S19" s="1015"/>
      <c r="T19" s="1015"/>
      <c r="U19" s="1015"/>
      <c r="V19" s="1015"/>
      <c r="W19" s="1015"/>
      <c r="X19" s="1015"/>
      <c r="Y19" s="1015"/>
      <c r="Z19" s="1015"/>
      <c r="AA19" s="1015"/>
      <c r="AB19" s="1015"/>
      <c r="AC19" s="1015"/>
      <c r="AD19" s="1015"/>
      <c r="AE19" s="1015"/>
      <c r="AF19" s="1015"/>
      <c r="AG19" s="1015"/>
      <c r="AH19" s="1015"/>
      <c r="AI19" s="1015"/>
      <c r="AJ19" s="1015"/>
      <c r="AK19" s="1015"/>
      <c r="AL19" s="1015"/>
      <c r="AM19" s="1015"/>
      <c r="AN19" s="1097"/>
      <c r="AO19" s="1110"/>
      <c r="AP19" s="301" t="str">
        <f>HYPERLINK("#PREP","2.0 Prep New &amp; CURR")</f>
        <v>2.0 Prep New &amp; CURR</v>
      </c>
      <c r="AQ19" s="301" t="str">
        <f>HYPERLINK("#HAART","6.2 PMTCT HAART")</f>
        <v>6.2 PMTCT HAART</v>
      </c>
    </row>
    <row r="20" spans="1:43" s="14" customFormat="1" ht="33" customHeight="1" thickBot="1" x14ac:dyDescent="0.4">
      <c r="A20" s="1059" t="s">
        <v>37</v>
      </c>
      <c r="B20" s="1055" t="s">
        <v>344</v>
      </c>
      <c r="C20" s="1057" t="s">
        <v>325</v>
      </c>
      <c r="D20" s="1061" t="s">
        <v>0</v>
      </c>
      <c r="E20" s="1061"/>
      <c r="F20" s="1061" t="s">
        <v>1</v>
      </c>
      <c r="G20" s="1061"/>
      <c r="H20" s="1061" t="s">
        <v>2</v>
      </c>
      <c r="I20" s="1061"/>
      <c r="J20" s="1061" t="s">
        <v>3</v>
      </c>
      <c r="K20" s="1061"/>
      <c r="L20" s="1061" t="s">
        <v>4</v>
      </c>
      <c r="M20" s="1061"/>
      <c r="N20" s="1061" t="s">
        <v>5</v>
      </c>
      <c r="O20" s="1061"/>
      <c r="P20" s="1061" t="s">
        <v>6</v>
      </c>
      <c r="Q20" s="1061"/>
      <c r="R20" s="1061" t="s">
        <v>7</v>
      </c>
      <c r="S20" s="1061"/>
      <c r="T20" s="1061" t="s">
        <v>8</v>
      </c>
      <c r="U20" s="1061"/>
      <c r="V20" s="1061" t="s">
        <v>23</v>
      </c>
      <c r="W20" s="1061"/>
      <c r="X20" s="1061" t="s">
        <v>24</v>
      </c>
      <c r="Y20" s="1061"/>
      <c r="Z20" s="1061" t="s">
        <v>9</v>
      </c>
      <c r="AA20" s="1061"/>
      <c r="AB20" s="1038" t="s">
        <v>1017</v>
      </c>
      <c r="AC20" s="1079"/>
      <c r="AD20" s="1038" t="s">
        <v>1018</v>
      </c>
      <c r="AE20" s="1079"/>
      <c r="AF20" s="1038" t="s">
        <v>1188</v>
      </c>
      <c r="AG20" s="1079"/>
      <c r="AH20" s="1038" t="s">
        <v>1189</v>
      </c>
      <c r="AI20" s="1079"/>
      <c r="AJ20" s="1143" t="s">
        <v>19</v>
      </c>
      <c r="AK20" s="1106" t="s">
        <v>378</v>
      </c>
      <c r="AL20" s="1082" t="s">
        <v>384</v>
      </c>
      <c r="AM20" s="1074" t="s">
        <v>385</v>
      </c>
      <c r="AN20" s="1132" t="s">
        <v>385</v>
      </c>
      <c r="AO20" s="1110"/>
      <c r="AP20" s="301" t="str">
        <f>HYPERLINK("#IPT","3.0 IPT")</f>
        <v>3.0 IPT</v>
      </c>
      <c r="AQ20" s="301" t="str">
        <f>HYPERLINK("#ART","7.0 HIV &amp; TB SCREEN")</f>
        <v>7.0 HIV &amp; TB SCREEN</v>
      </c>
    </row>
    <row r="21" spans="1:43" s="14" customFormat="1" ht="33" customHeight="1" thickBot="1" x14ac:dyDescent="0.4">
      <c r="A21" s="1060"/>
      <c r="B21" s="1056"/>
      <c r="C21" s="1120"/>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94" t="s">
        <v>10</v>
      </c>
      <c r="AC21" s="294" t="s">
        <v>11</v>
      </c>
      <c r="AD21" s="294" t="s">
        <v>10</v>
      </c>
      <c r="AE21" s="294" t="s">
        <v>11</v>
      </c>
      <c r="AF21" s="294" t="s">
        <v>10</v>
      </c>
      <c r="AG21" s="294" t="s">
        <v>11</v>
      </c>
      <c r="AH21" s="294" t="s">
        <v>10</v>
      </c>
      <c r="AI21" s="294" t="s">
        <v>11</v>
      </c>
      <c r="AJ21" s="1144"/>
      <c r="AK21" s="1107"/>
      <c r="AL21" s="1036"/>
      <c r="AM21" s="1141"/>
      <c r="AN21" s="1133"/>
      <c r="AO21" s="1110"/>
      <c r="AP21" s="301" t="str">
        <f>HYPERLINK("#CXCA","4.0 CXCA")</f>
        <v>4.0 CXCA</v>
      </c>
      <c r="AQ21" s="301" t="str">
        <f>HYPERLINK("#TB","9.0 HIV TB Clinic")</f>
        <v>9.0 HIV TB Clinic</v>
      </c>
    </row>
    <row r="22" spans="1:43" ht="26.25" x14ac:dyDescent="0.4">
      <c r="A22" s="930" t="s">
        <v>121</v>
      </c>
      <c r="B22" s="69" t="s">
        <v>1013</v>
      </c>
      <c r="C22" s="575" t="s">
        <v>141</v>
      </c>
      <c r="D22" s="134"/>
      <c r="E22" s="99"/>
      <c r="F22" s="94"/>
      <c r="G22" s="94"/>
      <c r="H22" s="94"/>
      <c r="I22" s="377"/>
      <c r="J22" s="94"/>
      <c r="K22" s="94"/>
      <c r="L22" s="94"/>
      <c r="M22" s="94"/>
      <c r="N22" s="94"/>
      <c r="O22" s="94"/>
      <c r="P22" s="94"/>
      <c r="Q22" s="94"/>
      <c r="R22" s="94"/>
      <c r="S22" s="94"/>
      <c r="T22" s="94"/>
      <c r="U22" s="94"/>
      <c r="V22" s="94"/>
      <c r="W22" s="94"/>
      <c r="X22" s="94"/>
      <c r="Y22" s="94"/>
      <c r="Z22" s="502">
        <f t="shared" ref="Z22" si="6">SUM(AB22,AD22,AF22,AH22)</f>
        <v>0</v>
      </c>
      <c r="AA22" s="502">
        <f t="shared" ref="AA22" si="7">SUM(AC22,AE22,AG22,AI22)</f>
        <v>0</v>
      </c>
      <c r="AB22" s="94"/>
      <c r="AC22" s="321"/>
      <c r="AD22" s="94"/>
      <c r="AE22" s="321"/>
      <c r="AF22" s="94"/>
      <c r="AG22" s="321"/>
      <c r="AH22" s="94"/>
      <c r="AI22" s="321"/>
      <c r="AJ22" s="188">
        <f t="shared" ref="AJ22:AJ27" si="8">SUM(D22:AA22)</f>
        <v>0</v>
      </c>
      <c r="AK22" s="1142"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039" t="str">
        <f>CONCATENATE(AK22,AK24,AK25,AK27,AK29,AK30,AK31,AK33,AK35,AK37,AK39,AK41,AK43,AK45,AK47,AK49,AK54,AK32,AK52,AK51,AK53,AK59,AK61,AK26,AK55,AK56,AK57)</f>
        <v/>
      </c>
      <c r="AM22" s="73"/>
      <c r="AN22" s="1129" t="str">
        <f>CONCATENATE(AM22,AM23,AM24,AM25,AM27,AM28,AM29,AM30,AM31,AM33,AM34,AM35,AM36,AM37,AM38,AM39,AM40,AM41,AM42,AM43,AM44,AM45,AM46,AM47,AM48,AM49,AM50,AM54,AM55)</f>
        <v/>
      </c>
      <c r="AO22" s="13">
        <v>21</v>
      </c>
      <c r="AP22" s="74"/>
      <c r="AQ22" s="75"/>
    </row>
    <row r="23" spans="1:43" ht="26.25" x14ac:dyDescent="0.4">
      <c r="A23" s="931"/>
      <c r="B23" s="76" t="s">
        <v>1014</v>
      </c>
      <c r="C23" s="576" t="s">
        <v>143</v>
      </c>
      <c r="D23" s="135"/>
      <c r="E23" s="78"/>
      <c r="F23" s="79"/>
      <c r="G23" s="79"/>
      <c r="H23" s="79"/>
      <c r="I23" s="79"/>
      <c r="J23" s="79"/>
      <c r="K23" s="79"/>
      <c r="L23" s="79"/>
      <c r="M23" s="79"/>
      <c r="N23" s="79"/>
      <c r="O23" s="79"/>
      <c r="P23" s="79"/>
      <c r="Q23" s="79"/>
      <c r="R23" s="79"/>
      <c r="S23" s="79"/>
      <c r="T23" s="79"/>
      <c r="U23" s="79"/>
      <c r="V23" s="79"/>
      <c r="W23" s="79"/>
      <c r="X23" s="79"/>
      <c r="Y23" s="79"/>
      <c r="Z23" s="502">
        <f t="shared" ref="Z23:Z25" si="9">SUM(AB23,AD23,AF23,AH23)</f>
        <v>0</v>
      </c>
      <c r="AA23" s="502">
        <f t="shared" ref="AA23:AA25" si="10">SUM(AC23,AE23,AG23,AI23)</f>
        <v>0</v>
      </c>
      <c r="AB23" s="79"/>
      <c r="AC23" s="318"/>
      <c r="AD23" s="79"/>
      <c r="AE23" s="318"/>
      <c r="AF23" s="79"/>
      <c r="AG23" s="318"/>
      <c r="AH23" s="79"/>
      <c r="AI23" s="318"/>
      <c r="AJ23" s="173">
        <f t="shared" si="8"/>
        <v>0</v>
      </c>
      <c r="AK23" s="1111"/>
      <c r="AL23" s="1040"/>
      <c r="AM23" s="31"/>
      <c r="AN23" s="1130"/>
      <c r="AO23" s="13">
        <v>22</v>
      </c>
      <c r="AP23" s="74"/>
      <c r="AQ23" s="75"/>
    </row>
    <row r="24" spans="1:43" s="61" customFormat="1" ht="26.25" x14ac:dyDescent="0.4">
      <c r="A24" s="931"/>
      <c r="B24" s="76" t="s">
        <v>144</v>
      </c>
      <c r="C24" s="576" t="s">
        <v>345</v>
      </c>
      <c r="D24" s="135"/>
      <c r="E24" s="78"/>
      <c r="F24" s="79"/>
      <c r="G24" s="79"/>
      <c r="H24" s="79"/>
      <c r="I24" s="79"/>
      <c r="J24" s="79"/>
      <c r="K24" s="79"/>
      <c r="L24" s="79"/>
      <c r="M24" s="79"/>
      <c r="N24" s="79"/>
      <c r="O24" s="79"/>
      <c r="P24" s="79"/>
      <c r="Q24" s="79"/>
      <c r="R24" s="79"/>
      <c r="S24" s="79"/>
      <c r="T24" s="79"/>
      <c r="U24" s="79"/>
      <c r="V24" s="79"/>
      <c r="W24" s="79"/>
      <c r="X24" s="79"/>
      <c r="Y24" s="79"/>
      <c r="Z24" s="502">
        <f t="shared" si="9"/>
        <v>0</v>
      </c>
      <c r="AA24" s="502">
        <f t="shared" si="10"/>
        <v>0</v>
      </c>
      <c r="AB24" s="79"/>
      <c r="AC24" s="318"/>
      <c r="AD24" s="79"/>
      <c r="AE24" s="318"/>
      <c r="AF24" s="79"/>
      <c r="AG24" s="318"/>
      <c r="AH24" s="79"/>
      <c r="AI24" s="318"/>
      <c r="AJ24" s="173">
        <f t="shared" si="8"/>
        <v>0</v>
      </c>
      <c r="AK24" s="45" t="str">
        <f>IF(AJ24&gt;0,IF(AJ23&lt;1,"Contacts were Elicited [ F01-03 ] yet no Patients Accepted Index Testing [F01-02]",""),"")</f>
        <v/>
      </c>
      <c r="AL24" s="1040"/>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130"/>
      <c r="AO24" s="13">
        <v>23</v>
      </c>
      <c r="AP24" s="80"/>
      <c r="AQ24" s="75"/>
    </row>
    <row r="25" spans="1:43" s="83" customFormat="1" ht="26.25" x14ac:dyDescent="0.4">
      <c r="A25" s="931"/>
      <c r="B25" s="76" t="s">
        <v>145</v>
      </c>
      <c r="C25" s="576" t="s">
        <v>146</v>
      </c>
      <c r="D25" s="135"/>
      <c r="E25" s="78"/>
      <c r="F25" s="79"/>
      <c r="G25" s="79"/>
      <c r="H25" s="79"/>
      <c r="I25" s="79"/>
      <c r="J25" s="79"/>
      <c r="K25" s="79"/>
      <c r="L25" s="79"/>
      <c r="M25" s="79"/>
      <c r="N25" s="79"/>
      <c r="O25" s="79"/>
      <c r="P25" s="79"/>
      <c r="Q25" s="79"/>
      <c r="R25" s="79"/>
      <c r="S25" s="79"/>
      <c r="T25" s="79"/>
      <c r="U25" s="79"/>
      <c r="V25" s="79"/>
      <c r="W25" s="79"/>
      <c r="X25" s="79"/>
      <c r="Y25" s="79"/>
      <c r="Z25" s="502">
        <f t="shared" si="9"/>
        <v>0</v>
      </c>
      <c r="AA25" s="502">
        <f t="shared" si="10"/>
        <v>0</v>
      </c>
      <c r="AB25" s="79"/>
      <c r="AC25" s="318"/>
      <c r="AD25" s="79"/>
      <c r="AE25" s="318"/>
      <c r="AF25" s="79"/>
      <c r="AG25" s="318"/>
      <c r="AH25" s="79"/>
      <c r="AI25" s="318"/>
      <c r="AJ25" s="173">
        <f t="shared" si="8"/>
        <v>0</v>
      </c>
      <c r="AK25" s="45"/>
      <c r="AL25" s="1040"/>
      <c r="AM25" s="31"/>
      <c r="AN25" s="1130"/>
      <c r="AO25" s="13">
        <v>24</v>
      </c>
      <c r="AP25" s="81"/>
      <c r="AQ25" s="82"/>
    </row>
    <row r="26" spans="1:43" s="83" customFormat="1" ht="26.25" x14ac:dyDescent="0.4">
      <c r="A26" s="931"/>
      <c r="B26" s="76" t="s">
        <v>1056</v>
      </c>
      <c r="C26" s="576" t="s">
        <v>1055</v>
      </c>
      <c r="D26" s="135"/>
      <c r="E26" s="78"/>
      <c r="F26" s="79"/>
      <c r="G26" s="79"/>
      <c r="H26" s="79"/>
      <c r="I26" s="79"/>
      <c r="J26" s="79"/>
      <c r="K26" s="79"/>
      <c r="L26" s="78"/>
      <c r="M26" s="78"/>
      <c r="N26" s="78"/>
      <c r="O26" s="78"/>
      <c r="P26" s="78"/>
      <c r="Q26" s="78"/>
      <c r="R26" s="78"/>
      <c r="S26" s="78"/>
      <c r="T26" s="78"/>
      <c r="U26" s="78"/>
      <c r="V26" s="78"/>
      <c r="W26" s="78"/>
      <c r="X26" s="78"/>
      <c r="Y26" s="78"/>
      <c r="Z26" s="78"/>
      <c r="AA26" s="354"/>
      <c r="AB26" s="78"/>
      <c r="AC26" s="354"/>
      <c r="AD26" s="78"/>
      <c r="AE26" s="354"/>
      <c r="AF26" s="78"/>
      <c r="AG26" s="354"/>
      <c r="AH26" s="78"/>
      <c r="AI26" s="354"/>
      <c r="AJ26" s="173">
        <f t="shared" si="8"/>
        <v>0</v>
      </c>
      <c r="AK26" s="306"/>
      <c r="AL26" s="1040"/>
      <c r="AM26" s="31"/>
      <c r="AN26" s="1130"/>
      <c r="AO26" s="13"/>
      <c r="AP26" s="81"/>
      <c r="AQ26" s="82"/>
    </row>
    <row r="27" spans="1:43" s="83" customFormat="1" ht="26.25" x14ac:dyDescent="0.4">
      <c r="A27" s="931"/>
      <c r="B27" s="76" t="s">
        <v>158</v>
      </c>
      <c r="C27" s="576" t="s">
        <v>147</v>
      </c>
      <c r="D27" s="135"/>
      <c r="E27" s="78"/>
      <c r="F27" s="79"/>
      <c r="G27" s="79"/>
      <c r="H27" s="79"/>
      <c r="I27" s="79"/>
      <c r="J27" s="79"/>
      <c r="K27" s="79"/>
      <c r="L27" s="79"/>
      <c r="M27" s="79"/>
      <c r="N27" s="79"/>
      <c r="O27" s="79"/>
      <c r="P27" s="79"/>
      <c r="Q27" s="79"/>
      <c r="R27" s="79"/>
      <c r="S27" s="79"/>
      <c r="T27" s="79"/>
      <c r="U27" s="79"/>
      <c r="V27" s="79"/>
      <c r="W27" s="79"/>
      <c r="X27" s="79"/>
      <c r="Y27" s="79"/>
      <c r="Z27" s="502">
        <f t="shared" ref="Z27:Z30" si="11">SUM(AB27,AD27,AF27,AH27)</f>
        <v>0</v>
      </c>
      <c r="AA27" s="502">
        <f t="shared" ref="AA27:AA30" si="12">SUM(AC27,AE27,AG27,AI27)</f>
        <v>0</v>
      </c>
      <c r="AB27" s="79"/>
      <c r="AC27" s="79"/>
      <c r="AD27" s="79"/>
      <c r="AE27" s="79"/>
      <c r="AF27" s="79"/>
      <c r="AG27" s="79"/>
      <c r="AH27" s="79"/>
      <c r="AI27" s="79"/>
      <c r="AJ27" s="173">
        <f t="shared" si="8"/>
        <v>0</v>
      </c>
      <c r="AK27" s="111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040"/>
      <c r="AM27" s="31" t="str">
        <f>CONCATENATE(IF(AND(IFERROR((AJ28*100)/AJ27,0)&gt;10,AJ28&gt;5)," * This facility has a high positivity rate for Index Testing. Kindly confirm if this is the true reflection"&amp;CHAR(10),""),"")</f>
        <v/>
      </c>
      <c r="AN27" s="1130"/>
      <c r="AO27" s="13">
        <v>25</v>
      </c>
      <c r="AP27" s="81"/>
      <c r="AQ27" s="82"/>
    </row>
    <row r="28" spans="1:43" s="83" customFormat="1" ht="26.25" x14ac:dyDescent="0.4">
      <c r="A28" s="931"/>
      <c r="B28" s="84" t="s">
        <v>150</v>
      </c>
      <c r="C28" s="576" t="s">
        <v>149</v>
      </c>
      <c r="D28" s="135"/>
      <c r="E28" s="78"/>
      <c r="F28" s="85"/>
      <c r="G28" s="85"/>
      <c r="H28" s="85"/>
      <c r="I28" s="85"/>
      <c r="J28" s="85"/>
      <c r="K28" s="85"/>
      <c r="L28" s="85"/>
      <c r="M28" s="85"/>
      <c r="N28" s="85"/>
      <c r="O28" s="85"/>
      <c r="P28" s="85"/>
      <c r="Q28" s="85"/>
      <c r="R28" s="85"/>
      <c r="S28" s="85"/>
      <c r="T28" s="85"/>
      <c r="U28" s="85"/>
      <c r="V28" s="85"/>
      <c r="W28" s="85"/>
      <c r="X28" s="85"/>
      <c r="Y28" s="85"/>
      <c r="Z28" s="502">
        <f t="shared" si="11"/>
        <v>0</v>
      </c>
      <c r="AA28" s="502">
        <f t="shared" si="12"/>
        <v>0</v>
      </c>
      <c r="AB28" s="85"/>
      <c r="AC28" s="319"/>
      <c r="AD28" s="85"/>
      <c r="AE28" s="319"/>
      <c r="AF28" s="85"/>
      <c r="AG28" s="319"/>
      <c r="AH28" s="85"/>
      <c r="AI28" s="319"/>
      <c r="AJ28" s="379">
        <f>SUM(D28:AA28)</f>
        <v>0</v>
      </c>
      <c r="AK28" s="1111"/>
      <c r="AL28" s="1040"/>
      <c r="AM28" s="31"/>
      <c r="AN28" s="1130"/>
      <c r="AO28" s="13">
        <v>26</v>
      </c>
      <c r="AP28" s="81"/>
      <c r="AQ28" s="82"/>
    </row>
    <row r="29" spans="1:43" s="83" customFormat="1" ht="26.25" x14ac:dyDescent="0.4">
      <c r="A29" s="931"/>
      <c r="B29" s="76" t="s">
        <v>151</v>
      </c>
      <c r="C29" s="576" t="s">
        <v>152</v>
      </c>
      <c r="D29" s="135"/>
      <c r="E29" s="78"/>
      <c r="F29" s="79"/>
      <c r="G29" s="79"/>
      <c r="H29" s="79"/>
      <c r="I29" s="79"/>
      <c r="J29" s="79"/>
      <c r="K29" s="79"/>
      <c r="L29" s="79"/>
      <c r="M29" s="79"/>
      <c r="N29" s="79"/>
      <c r="O29" s="79"/>
      <c r="P29" s="79"/>
      <c r="Q29" s="79"/>
      <c r="R29" s="79"/>
      <c r="S29" s="79"/>
      <c r="T29" s="79"/>
      <c r="U29" s="79"/>
      <c r="V29" s="79"/>
      <c r="W29" s="79"/>
      <c r="X29" s="79"/>
      <c r="Y29" s="79"/>
      <c r="Z29" s="502">
        <f t="shared" si="11"/>
        <v>0</v>
      </c>
      <c r="AA29" s="502">
        <f t="shared" si="12"/>
        <v>0</v>
      </c>
      <c r="AB29" s="79"/>
      <c r="AC29" s="318"/>
      <c r="AD29" s="79"/>
      <c r="AE29" s="318"/>
      <c r="AF29" s="79"/>
      <c r="AG29" s="318"/>
      <c r="AH29" s="79"/>
      <c r="AI29" s="318"/>
      <c r="AJ29" s="173">
        <f t="shared" ref="AJ29:AJ55" si="13">SUM(D29:AA29)</f>
        <v>0</v>
      </c>
      <c r="AK29" s="45"/>
      <c r="AL29" s="1040"/>
      <c r="AM29" s="31"/>
      <c r="AN29" s="1130"/>
      <c r="AO29" s="13">
        <v>27</v>
      </c>
      <c r="AP29" s="81"/>
      <c r="AQ29" s="82"/>
    </row>
    <row r="30" spans="1:43" s="83" customFormat="1" ht="26.25" x14ac:dyDescent="0.4">
      <c r="A30" s="931"/>
      <c r="B30" s="76" t="s">
        <v>642</v>
      </c>
      <c r="C30" s="576" t="s">
        <v>153</v>
      </c>
      <c r="D30" s="378"/>
      <c r="E30" s="86"/>
      <c r="F30" s="79"/>
      <c r="G30" s="79"/>
      <c r="H30" s="79"/>
      <c r="I30" s="79"/>
      <c r="J30" s="79"/>
      <c r="K30" s="79"/>
      <c r="L30" s="79"/>
      <c r="M30" s="79"/>
      <c r="N30" s="79"/>
      <c r="O30" s="79"/>
      <c r="P30" s="79"/>
      <c r="Q30" s="79"/>
      <c r="R30" s="79"/>
      <c r="S30" s="79"/>
      <c r="T30" s="79"/>
      <c r="U30" s="79"/>
      <c r="V30" s="79"/>
      <c r="W30" s="79"/>
      <c r="X30" s="79"/>
      <c r="Y30" s="79"/>
      <c r="Z30" s="502">
        <f t="shared" si="11"/>
        <v>0</v>
      </c>
      <c r="AA30" s="502">
        <f t="shared" si="12"/>
        <v>0</v>
      </c>
      <c r="AB30" s="79"/>
      <c r="AC30" s="79"/>
      <c r="AD30" s="79"/>
      <c r="AE30" s="79"/>
      <c r="AF30" s="79"/>
      <c r="AG30" s="79"/>
      <c r="AH30" s="79"/>
      <c r="AI30" s="79"/>
      <c r="AJ30" s="173">
        <f t="shared" si="13"/>
        <v>0</v>
      </c>
      <c r="AK30" s="45"/>
      <c r="AL30" s="1040"/>
      <c r="AM30" s="31"/>
      <c r="AN30" s="1130"/>
      <c r="AO30" s="13">
        <v>28</v>
      </c>
      <c r="AP30" s="81"/>
      <c r="AQ30" s="82"/>
    </row>
    <row r="31" spans="1:43" s="83" customFormat="1" ht="27" thickBot="1" x14ac:dyDescent="0.45">
      <c r="A31" s="931"/>
      <c r="B31" s="76" t="s">
        <v>1236</v>
      </c>
      <c r="C31" s="629" t="s">
        <v>1237</v>
      </c>
      <c r="D31" s="378"/>
      <c r="E31" s="86"/>
      <c r="F31" s="79"/>
      <c r="G31" s="79"/>
      <c r="H31" s="79"/>
      <c r="I31" s="79"/>
      <c r="J31" s="79"/>
      <c r="K31" s="79"/>
      <c r="L31" s="79"/>
      <c r="M31" s="79"/>
      <c r="N31" s="79"/>
      <c r="O31" s="79"/>
      <c r="P31" s="79"/>
      <c r="Q31" s="79"/>
      <c r="R31" s="79"/>
      <c r="S31" s="79"/>
      <c r="T31" s="79"/>
      <c r="U31" s="79"/>
      <c r="V31" s="79"/>
      <c r="W31" s="79"/>
      <c r="X31" s="79"/>
      <c r="Y31" s="79"/>
      <c r="Z31" s="502">
        <f t="shared" ref="Z31:Z32" si="14">SUM(AB31,AD31,AF31,AH31)</f>
        <v>0</v>
      </c>
      <c r="AA31" s="502">
        <f t="shared" ref="AA31:AA32" si="15">SUM(AC31,AE31,AG31,AI31)</f>
        <v>0</v>
      </c>
      <c r="AB31" s="79"/>
      <c r="AC31" s="79"/>
      <c r="AD31" s="79"/>
      <c r="AE31" s="79"/>
      <c r="AF31" s="79"/>
      <c r="AG31" s="79"/>
      <c r="AH31" s="79"/>
      <c r="AI31" s="79"/>
      <c r="AJ31" s="192">
        <f t="shared" si="13"/>
        <v>0</v>
      </c>
      <c r="AK31" s="45"/>
      <c r="AL31" s="1040"/>
      <c r="AM31" s="31"/>
      <c r="AN31" s="1130"/>
      <c r="AO31" s="13">
        <v>29</v>
      </c>
      <c r="AP31" s="81"/>
      <c r="AQ31" s="82"/>
    </row>
    <row r="32" spans="1:43" s="83" customFormat="1" ht="27" thickBot="1" x14ac:dyDescent="0.45">
      <c r="A32" s="932"/>
      <c r="B32" s="87" t="s">
        <v>154</v>
      </c>
      <c r="C32" s="601" t="s">
        <v>155</v>
      </c>
      <c r="D32" s="376"/>
      <c r="E32" s="88"/>
      <c r="F32" s="89"/>
      <c r="G32" s="89"/>
      <c r="H32" s="89"/>
      <c r="I32" s="89"/>
      <c r="J32" s="89"/>
      <c r="K32" s="89"/>
      <c r="L32" s="89"/>
      <c r="M32" s="89"/>
      <c r="N32" s="89"/>
      <c r="O32" s="89"/>
      <c r="P32" s="89"/>
      <c r="Q32" s="89"/>
      <c r="R32" s="89"/>
      <c r="S32" s="89"/>
      <c r="T32" s="89"/>
      <c r="U32" s="89"/>
      <c r="V32" s="89"/>
      <c r="W32" s="89"/>
      <c r="X32" s="89"/>
      <c r="Y32" s="89"/>
      <c r="Z32" s="502">
        <f t="shared" si="14"/>
        <v>0</v>
      </c>
      <c r="AA32" s="502">
        <f t="shared" si="15"/>
        <v>0</v>
      </c>
      <c r="AB32" s="89"/>
      <c r="AC32" s="89"/>
      <c r="AD32" s="89"/>
      <c r="AE32" s="89"/>
      <c r="AF32" s="89"/>
      <c r="AG32" s="89"/>
      <c r="AH32" s="89"/>
      <c r="AI32" s="89"/>
      <c r="AJ32" s="192">
        <f t="shared" ref="AJ32" si="16">SUM(D32:AA32)</f>
        <v>0</v>
      </c>
      <c r="AK32" s="600"/>
      <c r="AL32" s="1040"/>
      <c r="AM32" s="31"/>
      <c r="AN32" s="1130"/>
      <c r="AO32" s="13">
        <v>29</v>
      </c>
      <c r="AP32" s="81"/>
      <c r="AQ32" s="82"/>
    </row>
    <row r="33" spans="1:43" s="83" customFormat="1" ht="26.25" x14ac:dyDescent="0.4">
      <c r="A33" s="994" t="s">
        <v>13</v>
      </c>
      <c r="B33" s="298" t="s">
        <v>158</v>
      </c>
      <c r="C33" s="575" t="s">
        <v>157</v>
      </c>
      <c r="D33" s="296"/>
      <c r="E33" s="93"/>
      <c r="F33" s="94"/>
      <c r="G33" s="94"/>
      <c r="H33" s="94"/>
      <c r="I33" s="94"/>
      <c r="J33" s="94"/>
      <c r="K33" s="94"/>
      <c r="L33" s="94"/>
      <c r="M33" s="94"/>
      <c r="N33" s="94"/>
      <c r="O33" s="94"/>
      <c r="P33" s="94"/>
      <c r="Q33" s="94"/>
      <c r="R33" s="94"/>
      <c r="S33" s="94"/>
      <c r="T33" s="94"/>
      <c r="U33" s="94"/>
      <c r="V33" s="94"/>
      <c r="W33" s="94"/>
      <c r="X33" s="94"/>
      <c r="Y33" s="94"/>
      <c r="Z33" s="502">
        <f t="shared" ref="Z33:Z34" si="17">SUM(AB33,AD33,AF33,AH33)</f>
        <v>0</v>
      </c>
      <c r="AA33" s="502">
        <f t="shared" ref="AA33:AA34" si="18">SUM(AC33,AE33,AG33,AI33)</f>
        <v>0</v>
      </c>
      <c r="AB33" s="94"/>
      <c r="AC33" s="321"/>
      <c r="AD33" s="94"/>
      <c r="AE33" s="321"/>
      <c r="AF33" s="94"/>
      <c r="AG33" s="321"/>
      <c r="AH33" s="94"/>
      <c r="AI33" s="321"/>
      <c r="AJ33" s="188">
        <f t="shared" si="13"/>
        <v>0</v>
      </c>
      <c r="AK33" s="1111"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040"/>
      <c r="AM33" s="31" t="str">
        <f>CONCATENATE(IF(AND(IFERROR((AJ34*100)/AJ33,0)&gt;10,AJ34&gt;5)," * This facility has a high positivity rate for Index Testing. Kindly confirm if this is the true reflection"&amp;CHAR(10),""),"")</f>
        <v/>
      </c>
      <c r="AN33" s="1130"/>
      <c r="AO33" s="13">
        <v>30</v>
      </c>
      <c r="AP33" s="81"/>
      <c r="AQ33" s="82"/>
    </row>
    <row r="34" spans="1:43" s="83" customFormat="1" ht="27" thickBot="1" x14ac:dyDescent="0.45">
      <c r="A34" s="1124"/>
      <c r="B34" s="299" t="s">
        <v>150</v>
      </c>
      <c r="C34" s="577" t="s">
        <v>159</v>
      </c>
      <c r="D34" s="297"/>
      <c r="E34" s="96"/>
      <c r="F34" s="97"/>
      <c r="G34" s="97"/>
      <c r="H34" s="97"/>
      <c r="I34" s="97"/>
      <c r="J34" s="97"/>
      <c r="K34" s="97"/>
      <c r="L34" s="97"/>
      <c r="M34" s="97"/>
      <c r="N34" s="97"/>
      <c r="O34" s="97"/>
      <c r="P34" s="97"/>
      <c r="Q34" s="97"/>
      <c r="R34" s="97"/>
      <c r="S34" s="97"/>
      <c r="T34" s="97"/>
      <c r="U34" s="97"/>
      <c r="V34" s="97"/>
      <c r="W34" s="97"/>
      <c r="X34" s="97"/>
      <c r="Y34" s="97"/>
      <c r="Z34" s="502">
        <f t="shared" si="17"/>
        <v>0</v>
      </c>
      <c r="AA34" s="502">
        <f t="shared" si="18"/>
        <v>0</v>
      </c>
      <c r="AB34" s="97"/>
      <c r="AC34" s="322"/>
      <c r="AD34" s="97"/>
      <c r="AE34" s="322"/>
      <c r="AF34" s="97"/>
      <c r="AG34" s="322"/>
      <c r="AH34" s="97"/>
      <c r="AI34" s="322"/>
      <c r="AJ34" s="373">
        <f t="shared" si="13"/>
        <v>0</v>
      </c>
      <c r="AK34" s="1111"/>
      <c r="AL34" s="1040"/>
      <c r="AM34" s="31"/>
      <c r="AN34" s="1130"/>
      <c r="AO34" s="13">
        <v>31</v>
      </c>
      <c r="AP34" s="81"/>
      <c r="AQ34" s="82"/>
    </row>
    <row r="35" spans="1:43" s="83" customFormat="1" ht="26.25" x14ac:dyDescent="0.4">
      <c r="A35" s="994" t="s">
        <v>14</v>
      </c>
      <c r="B35" s="91" t="s">
        <v>158</v>
      </c>
      <c r="C35" s="575" t="s">
        <v>160</v>
      </c>
      <c r="D35" s="70"/>
      <c r="E35" s="71"/>
      <c r="F35" s="72"/>
      <c r="G35" s="72"/>
      <c r="H35" s="72"/>
      <c r="I35" s="72"/>
      <c r="J35" s="72"/>
      <c r="K35" s="72"/>
      <c r="L35" s="72"/>
      <c r="M35" s="72"/>
      <c r="N35" s="72"/>
      <c r="O35" s="72"/>
      <c r="P35" s="72"/>
      <c r="Q35" s="72"/>
      <c r="R35" s="72"/>
      <c r="S35" s="72"/>
      <c r="T35" s="72"/>
      <c r="U35" s="72"/>
      <c r="V35" s="72"/>
      <c r="W35" s="72"/>
      <c r="X35" s="72"/>
      <c r="Y35" s="72"/>
      <c r="Z35" s="502">
        <f t="shared" ref="Z35:Z36" si="19">SUM(AB35,AD35,AF35,AH35)</f>
        <v>0</v>
      </c>
      <c r="AA35" s="502">
        <f t="shared" ref="AA35:AA36" si="20">SUM(AC35,AE35,AG35,AI35)</f>
        <v>0</v>
      </c>
      <c r="AB35" s="72"/>
      <c r="AC35" s="317"/>
      <c r="AD35" s="72"/>
      <c r="AE35" s="317"/>
      <c r="AF35" s="72"/>
      <c r="AG35" s="317"/>
      <c r="AH35" s="72"/>
      <c r="AI35" s="317"/>
      <c r="AJ35" s="52">
        <f t="shared" si="13"/>
        <v>0</v>
      </c>
      <c r="AK35" s="1111"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040"/>
      <c r="AM35" s="31" t="str">
        <f>CONCATENATE(IF(AND(IFERROR((AJ36*100)/AJ35,0)&gt;10,AJ36&gt;5)," * This facility has a high positivity rate for Index Testing. Kindly confirm if this is the true reflection"&amp;CHAR(10),""),"")</f>
        <v/>
      </c>
      <c r="AN35" s="1130"/>
      <c r="AO35" s="13">
        <v>32</v>
      </c>
      <c r="AP35" s="81"/>
      <c r="AQ35" s="82"/>
    </row>
    <row r="36" spans="1:43" s="83" customFormat="1" ht="27" thickBot="1" x14ac:dyDescent="0.45">
      <c r="A36" s="1124"/>
      <c r="B36" s="95" t="s">
        <v>150</v>
      </c>
      <c r="C36" s="577" t="s">
        <v>161</v>
      </c>
      <c r="D36" s="100"/>
      <c r="E36" s="101"/>
      <c r="F36" s="97"/>
      <c r="G36" s="97"/>
      <c r="H36" s="97"/>
      <c r="I36" s="97"/>
      <c r="J36" s="97"/>
      <c r="K36" s="97"/>
      <c r="L36" s="97"/>
      <c r="M36" s="97"/>
      <c r="N36" s="97"/>
      <c r="O36" s="97"/>
      <c r="P36" s="97"/>
      <c r="Q36" s="97"/>
      <c r="R36" s="97"/>
      <c r="S36" s="97"/>
      <c r="T36" s="97"/>
      <c r="U36" s="97"/>
      <c r="V36" s="97"/>
      <c r="W36" s="97"/>
      <c r="X36" s="97"/>
      <c r="Y36" s="97"/>
      <c r="Z36" s="502">
        <f t="shared" si="19"/>
        <v>0</v>
      </c>
      <c r="AA36" s="502">
        <f t="shared" si="20"/>
        <v>0</v>
      </c>
      <c r="AB36" s="97"/>
      <c r="AC36" s="322"/>
      <c r="AD36" s="97"/>
      <c r="AE36" s="322"/>
      <c r="AF36" s="97"/>
      <c r="AG36" s="322"/>
      <c r="AH36" s="97"/>
      <c r="AI36" s="322"/>
      <c r="AJ36" s="373">
        <f t="shared" si="13"/>
        <v>0</v>
      </c>
      <c r="AK36" s="1111"/>
      <c r="AL36" s="1040"/>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130"/>
      <c r="AO36" s="13">
        <v>33</v>
      </c>
      <c r="AP36" s="81"/>
      <c r="AQ36" s="82"/>
    </row>
    <row r="37" spans="1:43" ht="26.25" x14ac:dyDescent="0.4">
      <c r="A37" s="994" t="s">
        <v>15</v>
      </c>
      <c r="B37" s="91" t="s">
        <v>158</v>
      </c>
      <c r="C37" s="575" t="s">
        <v>162</v>
      </c>
      <c r="D37" s="98"/>
      <c r="E37" s="99"/>
      <c r="F37" s="94"/>
      <c r="G37" s="94"/>
      <c r="H37" s="99"/>
      <c r="I37" s="99"/>
      <c r="J37" s="99"/>
      <c r="K37" s="99"/>
      <c r="L37" s="99"/>
      <c r="M37" s="99"/>
      <c r="N37" s="99"/>
      <c r="O37" s="99"/>
      <c r="P37" s="99"/>
      <c r="Q37" s="99"/>
      <c r="R37" s="99"/>
      <c r="S37" s="99"/>
      <c r="T37" s="99"/>
      <c r="U37" s="99"/>
      <c r="V37" s="99"/>
      <c r="W37" s="99"/>
      <c r="X37" s="99"/>
      <c r="Y37" s="99"/>
      <c r="Z37" s="99"/>
      <c r="AA37" s="323"/>
      <c r="AB37" s="99"/>
      <c r="AC37" s="323"/>
      <c r="AD37" s="99"/>
      <c r="AE37" s="323"/>
      <c r="AF37" s="99"/>
      <c r="AG37" s="323"/>
      <c r="AH37" s="99"/>
      <c r="AI37" s="323"/>
      <c r="AJ37" s="188">
        <f t="shared" si="13"/>
        <v>0</v>
      </c>
      <c r="AK37" s="1111"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040"/>
      <c r="AM37" s="31" t="str">
        <f>CONCATENATE(IF(AND(IFERROR((AJ38*100)/AJ37,0)&gt;10,AJ38&gt;5)," * This facility has a high positivity rate for Index Testing. Kindly confirm if this is the true reflection"&amp;CHAR(10),""),"")</f>
        <v/>
      </c>
      <c r="AN37" s="1130"/>
      <c r="AO37" s="13">
        <v>34</v>
      </c>
      <c r="AP37" s="74"/>
      <c r="AQ37" s="75"/>
    </row>
    <row r="38" spans="1:43" ht="27" thickBot="1" x14ac:dyDescent="0.45">
      <c r="A38" s="1124"/>
      <c r="B38" s="95" t="s">
        <v>150</v>
      </c>
      <c r="C38" s="577" t="s">
        <v>163</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24"/>
      <c r="AB38" s="102"/>
      <c r="AC38" s="324"/>
      <c r="AD38" s="102"/>
      <c r="AE38" s="324"/>
      <c r="AF38" s="102"/>
      <c r="AG38" s="324"/>
      <c r="AH38" s="102"/>
      <c r="AI38" s="324"/>
      <c r="AJ38" s="373">
        <f t="shared" si="13"/>
        <v>0</v>
      </c>
      <c r="AK38" s="1111"/>
      <c r="AL38" s="1040"/>
      <c r="AM38" s="31"/>
      <c r="AN38" s="1130"/>
      <c r="AO38" s="13">
        <v>35</v>
      </c>
      <c r="AP38" s="74"/>
      <c r="AQ38" s="75"/>
    </row>
    <row r="39" spans="1:43" ht="26.25" x14ac:dyDescent="0.4">
      <c r="A39" s="994" t="s">
        <v>440</v>
      </c>
      <c r="B39" s="91" t="s">
        <v>158</v>
      </c>
      <c r="C39" s="575" t="s">
        <v>164</v>
      </c>
      <c r="D39" s="98"/>
      <c r="E39" s="99"/>
      <c r="F39" s="94"/>
      <c r="G39" s="94"/>
      <c r="H39" s="99"/>
      <c r="I39" s="99"/>
      <c r="J39" s="99"/>
      <c r="K39" s="99"/>
      <c r="L39" s="99"/>
      <c r="M39" s="99"/>
      <c r="N39" s="99"/>
      <c r="O39" s="99"/>
      <c r="P39" s="99"/>
      <c r="Q39" s="99"/>
      <c r="R39" s="99"/>
      <c r="S39" s="99"/>
      <c r="T39" s="99"/>
      <c r="U39" s="99"/>
      <c r="V39" s="99"/>
      <c r="W39" s="99"/>
      <c r="X39" s="99"/>
      <c r="Y39" s="99"/>
      <c r="Z39" s="99"/>
      <c r="AA39" s="323"/>
      <c r="AB39" s="99"/>
      <c r="AC39" s="323"/>
      <c r="AD39" s="99"/>
      <c r="AE39" s="323"/>
      <c r="AF39" s="99"/>
      <c r="AG39" s="323"/>
      <c r="AH39" s="99"/>
      <c r="AI39" s="323"/>
      <c r="AJ39" s="188">
        <f t="shared" si="13"/>
        <v>0</v>
      </c>
      <c r="AK39" s="1111"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040"/>
      <c r="AM39" s="31" t="str">
        <f>CONCATENATE(IF(AND(IFERROR((AJ40*100)/AJ39,0)&gt;10,AJ40&gt;5)," * This facility has a high positivity rate for Index Testing. Kindly confirm if this is the true reflection"&amp;CHAR(10),""),"")</f>
        <v/>
      </c>
      <c r="AN39" s="1130"/>
      <c r="AO39" s="13">
        <v>36</v>
      </c>
      <c r="AP39" s="74"/>
      <c r="AQ39" s="75"/>
    </row>
    <row r="40" spans="1:43" ht="27" thickBot="1" x14ac:dyDescent="0.45">
      <c r="A40" s="1124"/>
      <c r="B40" s="95" t="s">
        <v>150</v>
      </c>
      <c r="C40" s="577" t="s">
        <v>165</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24"/>
      <c r="AB40" s="102"/>
      <c r="AC40" s="324"/>
      <c r="AD40" s="102"/>
      <c r="AE40" s="324"/>
      <c r="AF40" s="102"/>
      <c r="AG40" s="324"/>
      <c r="AH40" s="102"/>
      <c r="AI40" s="324"/>
      <c r="AJ40" s="373">
        <f t="shared" si="13"/>
        <v>0</v>
      </c>
      <c r="AK40" s="1111"/>
      <c r="AL40" s="1040"/>
      <c r="AM40" s="31"/>
      <c r="AN40" s="1130"/>
      <c r="AO40" s="13">
        <v>37</v>
      </c>
      <c r="AP40" s="74"/>
      <c r="AQ40" s="75"/>
    </row>
    <row r="41" spans="1:43" ht="26.25" x14ac:dyDescent="0.4">
      <c r="A41" s="994" t="s">
        <v>16</v>
      </c>
      <c r="B41" s="91" t="s">
        <v>158</v>
      </c>
      <c r="C41" s="575" t="s">
        <v>166</v>
      </c>
      <c r="D41" s="296"/>
      <c r="E41" s="93"/>
      <c r="F41" s="94"/>
      <c r="G41" s="94"/>
      <c r="H41" s="94"/>
      <c r="I41" s="94"/>
      <c r="J41" s="94"/>
      <c r="K41" s="94"/>
      <c r="L41" s="94"/>
      <c r="M41" s="94"/>
      <c r="N41" s="94"/>
      <c r="O41" s="94"/>
      <c r="P41" s="94"/>
      <c r="Q41" s="94"/>
      <c r="R41" s="94"/>
      <c r="S41" s="94"/>
      <c r="T41" s="94"/>
      <c r="U41" s="94"/>
      <c r="V41" s="94"/>
      <c r="W41" s="94"/>
      <c r="X41" s="94"/>
      <c r="Y41" s="94"/>
      <c r="Z41" s="502">
        <f t="shared" ref="Z41:Z43" si="21">SUM(AB41,AD41,AF41,AH41)</f>
        <v>0</v>
      </c>
      <c r="AA41" s="502">
        <f t="shared" ref="AA41:AA43" si="22">SUM(AC41,AE41,AG41,AI41)</f>
        <v>0</v>
      </c>
      <c r="AB41" s="94"/>
      <c r="AC41" s="321"/>
      <c r="AD41" s="94"/>
      <c r="AE41" s="321"/>
      <c r="AF41" s="94"/>
      <c r="AG41" s="321"/>
      <c r="AH41" s="94"/>
      <c r="AI41" s="321"/>
      <c r="AJ41" s="188">
        <f t="shared" si="13"/>
        <v>0</v>
      </c>
      <c r="AK41" s="1111"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040"/>
      <c r="AM41" s="31" t="str">
        <f>CONCATENATE(IF(AND(IFERROR((AJ42*100)/AJ41,0)&gt;10,AJ42&gt;5)," * This facility has a high positivity rate for Index Testing. Kindly confirm if this is the true reflection"&amp;CHAR(10),""),"")</f>
        <v/>
      </c>
      <c r="AN41" s="1130"/>
      <c r="AO41" s="13">
        <v>38</v>
      </c>
      <c r="AP41" s="74"/>
      <c r="AQ41" s="75"/>
    </row>
    <row r="42" spans="1:43" ht="27" thickBot="1" x14ac:dyDescent="0.45">
      <c r="A42" s="1124"/>
      <c r="B42" s="95" t="s">
        <v>150</v>
      </c>
      <c r="C42" s="577" t="s">
        <v>167</v>
      </c>
      <c r="D42" s="376"/>
      <c r="E42" s="88"/>
      <c r="F42" s="97"/>
      <c r="G42" s="97"/>
      <c r="H42" s="97"/>
      <c r="I42" s="97"/>
      <c r="J42" s="97"/>
      <c r="K42" s="97"/>
      <c r="L42" s="97"/>
      <c r="M42" s="97"/>
      <c r="N42" s="97"/>
      <c r="O42" s="97"/>
      <c r="P42" s="97"/>
      <c r="Q42" s="97"/>
      <c r="R42" s="97"/>
      <c r="S42" s="97"/>
      <c r="T42" s="97"/>
      <c r="U42" s="97"/>
      <c r="V42" s="97"/>
      <c r="W42" s="97"/>
      <c r="X42" s="97"/>
      <c r="Y42" s="97"/>
      <c r="Z42" s="502">
        <f t="shared" si="21"/>
        <v>0</v>
      </c>
      <c r="AA42" s="502">
        <f t="shared" si="22"/>
        <v>0</v>
      </c>
      <c r="AB42" s="97"/>
      <c r="AC42" s="322"/>
      <c r="AD42" s="97"/>
      <c r="AE42" s="322"/>
      <c r="AF42" s="97"/>
      <c r="AG42" s="322"/>
      <c r="AH42" s="97"/>
      <c r="AI42" s="322"/>
      <c r="AJ42" s="373">
        <f t="shared" si="13"/>
        <v>0</v>
      </c>
      <c r="AK42" s="1111"/>
      <c r="AL42" s="1040"/>
      <c r="AM42" s="31"/>
      <c r="AN42" s="1130"/>
      <c r="AO42" s="13">
        <v>39</v>
      </c>
      <c r="AP42" s="74"/>
      <c r="AQ42" s="75"/>
    </row>
    <row r="43" spans="1:43" ht="42.75" customHeight="1" x14ac:dyDescent="0.4">
      <c r="A43" s="994" t="s">
        <v>998</v>
      </c>
      <c r="B43" s="91" t="s">
        <v>158</v>
      </c>
      <c r="C43" s="575" t="s">
        <v>346</v>
      </c>
      <c r="D43" s="296"/>
      <c r="E43" s="93"/>
      <c r="F43" s="104">
        <f>F405</f>
        <v>0</v>
      </c>
      <c r="G43" s="104">
        <f t="shared" ref="G43:Y43" si="23">G405</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502">
        <f t="shared" si="21"/>
        <v>0</v>
      </c>
      <c r="AA43" s="502">
        <f t="shared" si="22"/>
        <v>0</v>
      </c>
      <c r="AB43" s="104">
        <f t="shared" ref="AB43:AI43" si="24">AB405</f>
        <v>0</v>
      </c>
      <c r="AC43" s="325">
        <f t="shared" si="24"/>
        <v>0</v>
      </c>
      <c r="AD43" s="104">
        <f t="shared" si="24"/>
        <v>0</v>
      </c>
      <c r="AE43" s="325">
        <f t="shared" si="24"/>
        <v>0</v>
      </c>
      <c r="AF43" s="104">
        <f t="shared" si="24"/>
        <v>0</v>
      </c>
      <c r="AG43" s="325">
        <f t="shared" si="24"/>
        <v>0</v>
      </c>
      <c r="AH43" s="104">
        <f t="shared" si="24"/>
        <v>0</v>
      </c>
      <c r="AI43" s="325">
        <f t="shared" si="24"/>
        <v>0</v>
      </c>
      <c r="AJ43" s="188">
        <f t="shared" si="13"/>
        <v>0</v>
      </c>
      <c r="AK43" s="1111"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040"/>
      <c r="AM43" s="31" t="str">
        <f>CONCATENATE(IF(AND(IFERROR((AJ44*100)/AJ43,0)&gt;10,AJ44&gt;5)," * This facility has a high positivity rate for Index Testing. Kindly confirm if this is the true reflection"&amp;CHAR(10),""),"")</f>
        <v/>
      </c>
      <c r="AN43" s="1130"/>
      <c r="AO43" s="13">
        <v>40</v>
      </c>
      <c r="AP43" s="74"/>
      <c r="AQ43" s="75"/>
    </row>
    <row r="44" spans="1:43" ht="41.25" customHeight="1" thickBot="1" x14ac:dyDescent="0.45">
      <c r="A44" s="1124"/>
      <c r="B44" s="95" t="s">
        <v>150</v>
      </c>
      <c r="C44" s="577" t="s">
        <v>168</v>
      </c>
      <c r="D44" s="376"/>
      <c r="E44" s="88"/>
      <c r="F44" s="105">
        <f>F407</f>
        <v>0</v>
      </c>
      <c r="G44" s="105">
        <f t="shared" ref="G44:Y44" si="25">G407</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502">
        <f t="shared" ref="Z44:Z48" si="26">SUM(AB44,AD44,AF44,AH44)</f>
        <v>0</v>
      </c>
      <c r="AA44" s="502">
        <f t="shared" ref="AA44:AA48" si="27">SUM(AC44,AE44,AG44,AI44)</f>
        <v>0</v>
      </c>
      <c r="AB44" s="105">
        <f t="shared" ref="AB44:AI44" si="28">AB407</f>
        <v>0</v>
      </c>
      <c r="AC44" s="326">
        <f t="shared" si="28"/>
        <v>0</v>
      </c>
      <c r="AD44" s="105">
        <f t="shared" si="28"/>
        <v>0</v>
      </c>
      <c r="AE44" s="326">
        <f t="shared" si="28"/>
        <v>0</v>
      </c>
      <c r="AF44" s="105">
        <f t="shared" si="28"/>
        <v>0</v>
      </c>
      <c r="AG44" s="326">
        <f t="shared" si="28"/>
        <v>0</v>
      </c>
      <c r="AH44" s="105">
        <f t="shared" si="28"/>
        <v>0</v>
      </c>
      <c r="AI44" s="326">
        <f t="shared" si="28"/>
        <v>0</v>
      </c>
      <c r="AJ44" s="373">
        <f t="shared" si="13"/>
        <v>0</v>
      </c>
      <c r="AK44" s="1111"/>
      <c r="AL44" s="1040"/>
      <c r="AM44" s="31"/>
      <c r="AN44" s="1130"/>
      <c r="AO44" s="13">
        <v>41</v>
      </c>
      <c r="AP44" s="74"/>
      <c r="AQ44" s="75"/>
    </row>
    <row r="45" spans="1:43" ht="26.25" x14ac:dyDescent="0.4">
      <c r="A45" s="994" t="s">
        <v>22</v>
      </c>
      <c r="B45" s="91" t="s">
        <v>158</v>
      </c>
      <c r="C45" s="575" t="s">
        <v>169</v>
      </c>
      <c r="D45" s="134"/>
      <c r="E45" s="99"/>
      <c r="F45" s="94"/>
      <c r="G45" s="94"/>
      <c r="H45" s="94"/>
      <c r="I45" s="94"/>
      <c r="J45" s="94"/>
      <c r="K45" s="94"/>
      <c r="L45" s="94"/>
      <c r="M45" s="94"/>
      <c r="N45" s="94"/>
      <c r="O45" s="94"/>
      <c r="P45" s="94"/>
      <c r="Q45" s="94"/>
      <c r="R45" s="94"/>
      <c r="S45" s="94"/>
      <c r="T45" s="94"/>
      <c r="U45" s="94"/>
      <c r="V45" s="94"/>
      <c r="W45" s="94"/>
      <c r="X45" s="94"/>
      <c r="Y45" s="94"/>
      <c r="Z45" s="502">
        <f t="shared" si="26"/>
        <v>0</v>
      </c>
      <c r="AA45" s="502">
        <f t="shared" si="27"/>
        <v>0</v>
      </c>
      <c r="AB45" s="94"/>
      <c r="AC45" s="321"/>
      <c r="AD45" s="94"/>
      <c r="AE45" s="321"/>
      <c r="AF45" s="94"/>
      <c r="AG45" s="321"/>
      <c r="AH45" s="94"/>
      <c r="AI45" s="321"/>
      <c r="AJ45" s="188">
        <f t="shared" si="13"/>
        <v>0</v>
      </c>
      <c r="AK45" s="1111"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040"/>
      <c r="AM45" s="31" t="str">
        <f>CONCATENATE(IF(AND(IFERROR((AJ46*100)/AJ45,0)&gt;10,AJ46&gt;5)," * This facility has a high positivity rate for Index Testing. Kindly confirm if this is the true reflection"&amp;CHAR(10),""),"")</f>
        <v/>
      </c>
      <c r="AN45" s="1130"/>
      <c r="AO45" s="13">
        <v>42</v>
      </c>
      <c r="AP45" s="74"/>
      <c r="AQ45" s="75"/>
    </row>
    <row r="46" spans="1:43" ht="27" thickBot="1" x14ac:dyDescent="0.45">
      <c r="A46" s="1124"/>
      <c r="B46" s="95" t="s">
        <v>150</v>
      </c>
      <c r="C46" s="577" t="s">
        <v>170</v>
      </c>
      <c r="D46" s="119"/>
      <c r="E46" s="102"/>
      <c r="F46" s="97"/>
      <c r="G46" s="97"/>
      <c r="H46" s="97"/>
      <c r="I46" s="97"/>
      <c r="J46" s="97"/>
      <c r="K46" s="97"/>
      <c r="L46" s="97"/>
      <c r="M46" s="97"/>
      <c r="N46" s="97"/>
      <c r="O46" s="97"/>
      <c r="P46" s="97"/>
      <c r="Q46" s="97"/>
      <c r="R46" s="97"/>
      <c r="S46" s="97"/>
      <c r="T46" s="97"/>
      <c r="U46" s="97"/>
      <c r="V46" s="97"/>
      <c r="W46" s="97"/>
      <c r="X46" s="97"/>
      <c r="Y46" s="97"/>
      <c r="Z46" s="502">
        <f t="shared" si="26"/>
        <v>0</v>
      </c>
      <c r="AA46" s="502">
        <f t="shared" si="27"/>
        <v>0</v>
      </c>
      <c r="AB46" s="97"/>
      <c r="AC46" s="322"/>
      <c r="AD46" s="97"/>
      <c r="AE46" s="322"/>
      <c r="AF46" s="97"/>
      <c r="AG46" s="322"/>
      <c r="AH46" s="97"/>
      <c r="AI46" s="322"/>
      <c r="AJ46" s="373">
        <f t="shared" si="13"/>
        <v>0</v>
      </c>
      <c r="AK46" s="1111"/>
      <c r="AL46" s="1040"/>
      <c r="AM46" s="31"/>
      <c r="AN46" s="1130"/>
      <c r="AO46" s="13">
        <v>43</v>
      </c>
      <c r="AP46" s="74"/>
      <c r="AQ46" s="75"/>
    </row>
    <row r="47" spans="1:43" ht="29.25" customHeight="1" x14ac:dyDescent="0.4">
      <c r="A47" s="994" t="s">
        <v>18</v>
      </c>
      <c r="B47" s="91" t="s">
        <v>158</v>
      </c>
      <c r="C47" s="575" t="s">
        <v>171</v>
      </c>
      <c r="D47" s="296"/>
      <c r="E47" s="93"/>
      <c r="F47" s="99"/>
      <c r="G47" s="99"/>
      <c r="H47" s="99"/>
      <c r="I47" s="99"/>
      <c r="J47" s="99"/>
      <c r="K47" s="99"/>
      <c r="L47" s="94"/>
      <c r="M47" s="94"/>
      <c r="N47" s="94"/>
      <c r="O47" s="94"/>
      <c r="P47" s="94"/>
      <c r="Q47" s="94"/>
      <c r="R47" s="94"/>
      <c r="S47" s="94"/>
      <c r="T47" s="94"/>
      <c r="U47" s="94"/>
      <c r="V47" s="94"/>
      <c r="W47" s="94"/>
      <c r="X47" s="94"/>
      <c r="Y47" s="94"/>
      <c r="Z47" s="502">
        <f t="shared" si="26"/>
        <v>0</v>
      </c>
      <c r="AA47" s="502">
        <f t="shared" si="27"/>
        <v>0</v>
      </c>
      <c r="AB47" s="94"/>
      <c r="AC47" s="321"/>
      <c r="AD47" s="94"/>
      <c r="AE47" s="321"/>
      <c r="AF47" s="94"/>
      <c r="AG47" s="321"/>
      <c r="AH47" s="94"/>
      <c r="AI47" s="321"/>
      <c r="AJ47" s="188">
        <f t="shared" si="13"/>
        <v>0</v>
      </c>
      <c r="AK47" s="1111"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040"/>
      <c r="AM47" s="31" t="str">
        <f>CONCATENATE(IF(AND(IFERROR((AJ48*100)/AJ47,0)&gt;10,AJ48&gt;5)," * This facility has a high positivity rate for Index Testing. Kindly confirm if this is the true reflection"&amp;CHAR(10),""),"")</f>
        <v/>
      </c>
      <c r="AN47" s="1130"/>
      <c r="AO47" s="13">
        <v>44</v>
      </c>
      <c r="AP47" s="74"/>
      <c r="AQ47" s="75"/>
    </row>
    <row r="48" spans="1:43" ht="27" thickBot="1" x14ac:dyDescent="0.45">
      <c r="A48" s="1124"/>
      <c r="B48" s="95" t="s">
        <v>150</v>
      </c>
      <c r="C48" s="577" t="s">
        <v>172</v>
      </c>
      <c r="D48" s="376"/>
      <c r="E48" s="88"/>
      <c r="F48" s="102"/>
      <c r="G48" s="102"/>
      <c r="H48" s="102"/>
      <c r="I48" s="102"/>
      <c r="J48" s="102"/>
      <c r="K48" s="102"/>
      <c r="L48" s="106"/>
      <c r="M48" s="106"/>
      <c r="N48" s="106"/>
      <c r="O48" s="106"/>
      <c r="P48" s="106"/>
      <c r="Q48" s="106"/>
      <c r="R48" s="106"/>
      <c r="S48" s="106"/>
      <c r="T48" s="106"/>
      <c r="U48" s="106"/>
      <c r="V48" s="106"/>
      <c r="W48" s="106"/>
      <c r="X48" s="106"/>
      <c r="Y48" s="106"/>
      <c r="Z48" s="502">
        <f t="shared" si="26"/>
        <v>0</v>
      </c>
      <c r="AA48" s="502">
        <f t="shared" si="27"/>
        <v>0</v>
      </c>
      <c r="AB48" s="106"/>
      <c r="AC48" s="327"/>
      <c r="AD48" s="106"/>
      <c r="AE48" s="327"/>
      <c r="AF48" s="106"/>
      <c r="AG48" s="327"/>
      <c r="AH48" s="106"/>
      <c r="AI48" s="327"/>
      <c r="AJ48" s="373">
        <f t="shared" si="13"/>
        <v>0</v>
      </c>
      <c r="AK48" s="1111"/>
      <c r="AL48" s="1040"/>
      <c r="AM48" s="31"/>
      <c r="AN48" s="1130"/>
      <c r="AO48" s="13">
        <v>45</v>
      </c>
      <c r="AP48" s="74"/>
      <c r="AQ48" s="75"/>
    </row>
    <row r="49" spans="1:43" ht="27" hidden="1" customHeight="1" thickBot="1" x14ac:dyDescent="0.45">
      <c r="A49" s="994" t="s">
        <v>113</v>
      </c>
      <c r="B49" s="91" t="s">
        <v>158</v>
      </c>
      <c r="C49" s="575" t="s">
        <v>347</v>
      </c>
      <c r="D49" s="92"/>
      <c r="E49" s="93"/>
      <c r="F49" s="99"/>
      <c r="G49" s="99"/>
      <c r="H49" s="99"/>
      <c r="I49" s="99"/>
      <c r="J49" s="99"/>
      <c r="K49" s="99"/>
      <c r="L49" s="94"/>
      <c r="M49" s="99"/>
      <c r="N49" s="94"/>
      <c r="O49" s="99"/>
      <c r="P49" s="94"/>
      <c r="Q49" s="99"/>
      <c r="R49" s="94"/>
      <c r="S49" s="99"/>
      <c r="T49" s="94"/>
      <c r="U49" s="99"/>
      <c r="V49" s="94"/>
      <c r="W49" s="99"/>
      <c r="X49" s="94"/>
      <c r="Y49" s="99"/>
      <c r="Z49" s="94"/>
      <c r="AA49" s="323"/>
      <c r="AB49" s="94"/>
      <c r="AC49" s="323"/>
      <c r="AD49" s="94"/>
      <c r="AE49" s="323"/>
      <c r="AF49" s="94"/>
      <c r="AG49" s="323"/>
      <c r="AH49" s="94"/>
      <c r="AI49" s="323"/>
      <c r="AJ49" s="188">
        <f t="shared" si="13"/>
        <v>0</v>
      </c>
      <c r="AK49" s="1111"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040"/>
      <c r="AM49" s="31" t="str">
        <f>CONCATENATE(IF(AND(IFERROR((AJ50*100)/AJ49,0)&gt;10,AJ50&gt;5)," * This facility has a high positivity rate for Index Testing. Kindly confirm if this is the true reflection"&amp;CHAR(10),""),"")</f>
        <v/>
      </c>
      <c r="AN49" s="1130"/>
      <c r="AO49" s="13">
        <v>46</v>
      </c>
      <c r="AP49" s="74"/>
      <c r="AQ49" s="75"/>
    </row>
    <row r="50" spans="1:43" ht="27" hidden="1" customHeight="1" thickBot="1" x14ac:dyDescent="0.45">
      <c r="A50" s="1124"/>
      <c r="B50" s="631" t="s">
        <v>150</v>
      </c>
      <c r="C50" s="602" t="s">
        <v>173</v>
      </c>
      <c r="D50" s="635"/>
      <c r="E50" s="636"/>
      <c r="F50" s="120"/>
      <c r="G50" s="120"/>
      <c r="H50" s="120"/>
      <c r="I50" s="120"/>
      <c r="J50" s="120"/>
      <c r="K50" s="120"/>
      <c r="L50" s="637"/>
      <c r="M50" s="120"/>
      <c r="N50" s="637"/>
      <c r="O50" s="120"/>
      <c r="P50" s="637"/>
      <c r="Q50" s="120"/>
      <c r="R50" s="637"/>
      <c r="S50" s="120"/>
      <c r="T50" s="637"/>
      <c r="U50" s="120"/>
      <c r="V50" s="637"/>
      <c r="W50" s="120"/>
      <c r="X50" s="637"/>
      <c r="Y50" s="120"/>
      <c r="Z50" s="637"/>
      <c r="AA50" s="334"/>
      <c r="AB50" s="637"/>
      <c r="AC50" s="334"/>
      <c r="AD50" s="637"/>
      <c r="AE50" s="334"/>
      <c r="AF50" s="637"/>
      <c r="AG50" s="334"/>
      <c r="AH50" s="637"/>
      <c r="AI50" s="334"/>
      <c r="AJ50" s="192">
        <f t="shared" si="13"/>
        <v>0</v>
      </c>
      <c r="AK50" s="1111"/>
      <c r="AL50" s="1040"/>
      <c r="AM50" s="31"/>
      <c r="AN50" s="1130"/>
      <c r="AO50" s="13">
        <v>47</v>
      </c>
      <c r="AP50" s="74"/>
      <c r="AQ50" s="75"/>
    </row>
    <row r="51" spans="1:43" ht="27" thickBot="1" x14ac:dyDescent="0.45">
      <c r="A51" s="996" t="s">
        <v>1052</v>
      </c>
      <c r="B51" s="858" t="s">
        <v>144</v>
      </c>
      <c r="C51" s="633" t="s">
        <v>1238</v>
      </c>
      <c r="D51" s="642"/>
      <c r="E51" s="643"/>
      <c r="F51" s="640"/>
      <c r="G51" s="638"/>
      <c r="H51" s="638"/>
      <c r="I51" s="638"/>
      <c r="J51" s="638"/>
      <c r="K51" s="638"/>
      <c r="L51" s="638"/>
      <c r="M51" s="638"/>
      <c r="N51" s="638"/>
      <c r="O51" s="638"/>
      <c r="P51" s="638"/>
      <c r="Q51" s="638"/>
      <c r="R51" s="638"/>
      <c r="S51" s="638"/>
      <c r="T51" s="638"/>
      <c r="U51" s="638"/>
      <c r="V51" s="638"/>
      <c r="W51" s="638"/>
      <c r="X51" s="638"/>
      <c r="Y51" s="638"/>
      <c r="Z51" s="502">
        <f t="shared" ref="Z51:Z53" si="29">SUM(AB51,AD51,AF51,AH51)</f>
        <v>0</v>
      </c>
      <c r="AA51" s="502">
        <f t="shared" ref="AA51:AA53" si="30">SUM(AC51,AE51,AG51,AI51)</f>
        <v>0</v>
      </c>
      <c r="AB51" s="638"/>
      <c r="AC51" s="638"/>
      <c r="AD51" s="638"/>
      <c r="AE51" s="638"/>
      <c r="AF51" s="638"/>
      <c r="AG51" s="638"/>
      <c r="AH51" s="638"/>
      <c r="AI51" s="638"/>
      <c r="AJ51" s="188">
        <f t="shared" si="13"/>
        <v>0</v>
      </c>
      <c r="AK51" s="600"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040"/>
      <c r="AM51" s="31"/>
      <c r="AN51" s="1130"/>
      <c r="AO51" s="13"/>
      <c r="AP51" s="74"/>
      <c r="AQ51" s="75"/>
    </row>
    <row r="52" spans="1:43" ht="26.25" customHeight="1" x14ac:dyDescent="0.4">
      <c r="A52" s="1156"/>
      <c r="B52" s="632" t="s">
        <v>158</v>
      </c>
      <c r="C52" s="634" t="s">
        <v>1053</v>
      </c>
      <c r="D52" s="644"/>
      <c r="E52" s="486"/>
      <c r="F52" s="641"/>
      <c r="G52" s="641"/>
      <c r="H52" s="641"/>
      <c r="I52" s="641"/>
      <c r="J52" s="641"/>
      <c r="K52" s="641"/>
      <c r="L52" s="641"/>
      <c r="M52" s="641"/>
      <c r="N52" s="641"/>
      <c r="O52" s="641"/>
      <c r="P52" s="641"/>
      <c r="Q52" s="641"/>
      <c r="R52" s="641"/>
      <c r="S52" s="641"/>
      <c r="T52" s="641"/>
      <c r="U52" s="641"/>
      <c r="V52" s="641"/>
      <c r="W52" s="641"/>
      <c r="X52" s="641"/>
      <c r="Y52" s="641"/>
      <c r="Z52" s="502">
        <f t="shared" si="29"/>
        <v>0</v>
      </c>
      <c r="AA52" s="502">
        <f t="shared" si="30"/>
        <v>0</v>
      </c>
      <c r="AB52" s="641"/>
      <c r="AC52" s="641"/>
      <c r="AD52" s="641"/>
      <c r="AE52" s="641"/>
      <c r="AF52" s="641"/>
      <c r="AG52" s="641"/>
      <c r="AH52" s="641"/>
      <c r="AI52" s="641"/>
      <c r="AJ52" s="188">
        <f t="shared" si="13"/>
        <v>0</v>
      </c>
      <c r="AK52" s="30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040"/>
      <c r="AM52" s="31"/>
      <c r="AN52" s="1130"/>
      <c r="AO52" s="13"/>
      <c r="AP52" s="74"/>
      <c r="AQ52" s="75"/>
    </row>
    <row r="53" spans="1:43" ht="27" thickBot="1" x14ac:dyDescent="0.45">
      <c r="A53" s="1156"/>
      <c r="B53" s="681" t="s">
        <v>150</v>
      </c>
      <c r="C53" s="650" t="s">
        <v>1054</v>
      </c>
      <c r="D53" s="682"/>
      <c r="E53" s="683"/>
      <c r="F53" s="684"/>
      <c r="G53" s="685"/>
      <c r="H53" s="685"/>
      <c r="I53" s="685"/>
      <c r="J53" s="685"/>
      <c r="K53" s="685"/>
      <c r="L53" s="685"/>
      <c r="M53" s="685"/>
      <c r="N53" s="685"/>
      <c r="O53" s="685"/>
      <c r="P53" s="685"/>
      <c r="Q53" s="685"/>
      <c r="R53" s="685"/>
      <c r="S53" s="685"/>
      <c r="T53" s="685"/>
      <c r="U53" s="685"/>
      <c r="V53" s="685"/>
      <c r="W53" s="685"/>
      <c r="X53" s="685"/>
      <c r="Y53" s="685"/>
      <c r="Z53" s="502">
        <f t="shared" si="29"/>
        <v>0</v>
      </c>
      <c r="AA53" s="502">
        <f t="shared" si="30"/>
        <v>0</v>
      </c>
      <c r="AB53" s="685"/>
      <c r="AC53" s="685"/>
      <c r="AD53" s="685"/>
      <c r="AE53" s="685"/>
      <c r="AF53" s="685"/>
      <c r="AG53" s="685"/>
      <c r="AH53" s="685"/>
      <c r="AI53" s="685"/>
      <c r="AJ53" s="373">
        <f t="shared" si="13"/>
        <v>0</v>
      </c>
      <c r="AK53" s="306"/>
      <c r="AL53" s="1040"/>
      <c r="AM53" s="31"/>
      <c r="AN53" s="1130"/>
      <c r="AO53" s="13"/>
      <c r="AP53" s="74"/>
      <c r="AQ53" s="75"/>
    </row>
    <row r="54" spans="1:43" s="8" customFormat="1" ht="26.25" x14ac:dyDescent="0.4">
      <c r="A54" s="1125" t="s">
        <v>1245</v>
      </c>
      <c r="B54" s="686" t="s">
        <v>634</v>
      </c>
      <c r="C54" s="862" t="s">
        <v>348</v>
      </c>
      <c r="D54" s="865">
        <f>SUM(D27+D33+D35+D37+D39+D41+D43+D45+D47+D49+D52)</f>
        <v>0</v>
      </c>
      <c r="E54" s="866">
        <f t="shared" ref="E54:X54" si="31">SUM(E27+E33+E35+E37+E39+E41+E43+E45+E47+E49+E52)</f>
        <v>0</v>
      </c>
      <c r="F54" s="866">
        <f t="shared" si="31"/>
        <v>0</v>
      </c>
      <c r="G54" s="866">
        <f t="shared" si="31"/>
        <v>0</v>
      </c>
      <c r="H54" s="866">
        <f t="shared" si="31"/>
        <v>0</v>
      </c>
      <c r="I54" s="866">
        <f t="shared" si="31"/>
        <v>0</v>
      </c>
      <c r="J54" s="866">
        <f t="shared" si="31"/>
        <v>0</v>
      </c>
      <c r="K54" s="866">
        <f t="shared" si="31"/>
        <v>0</v>
      </c>
      <c r="L54" s="866">
        <f t="shared" si="31"/>
        <v>0</v>
      </c>
      <c r="M54" s="866">
        <f t="shared" si="31"/>
        <v>0</v>
      </c>
      <c r="N54" s="866">
        <f t="shared" si="31"/>
        <v>0</v>
      </c>
      <c r="O54" s="866">
        <f t="shared" si="31"/>
        <v>0</v>
      </c>
      <c r="P54" s="866">
        <f t="shared" si="31"/>
        <v>0</v>
      </c>
      <c r="Q54" s="866">
        <f t="shared" si="31"/>
        <v>0</v>
      </c>
      <c r="R54" s="866">
        <f t="shared" si="31"/>
        <v>0</v>
      </c>
      <c r="S54" s="866">
        <f t="shared" si="31"/>
        <v>0</v>
      </c>
      <c r="T54" s="866">
        <f t="shared" si="31"/>
        <v>0</v>
      </c>
      <c r="U54" s="866">
        <f t="shared" si="31"/>
        <v>0</v>
      </c>
      <c r="V54" s="866">
        <f t="shared" si="31"/>
        <v>0</v>
      </c>
      <c r="W54" s="866">
        <f t="shared" si="31"/>
        <v>0</v>
      </c>
      <c r="X54" s="866">
        <f t="shared" si="31"/>
        <v>0</v>
      </c>
      <c r="Y54" s="866">
        <f t="shared" ref="Y54:AH54" si="32">SUM(Y27+Y33+Y35+Y37+Y39+Y41+Y43+Y45+Y47+Y49+Y52)</f>
        <v>0</v>
      </c>
      <c r="Z54" s="866">
        <f t="shared" si="32"/>
        <v>0</v>
      </c>
      <c r="AA54" s="866">
        <f t="shared" si="32"/>
        <v>0</v>
      </c>
      <c r="AB54" s="866">
        <f t="shared" si="32"/>
        <v>0</v>
      </c>
      <c r="AC54" s="866">
        <f t="shared" si="32"/>
        <v>0</v>
      </c>
      <c r="AD54" s="866">
        <f t="shared" si="32"/>
        <v>0</v>
      </c>
      <c r="AE54" s="866">
        <f t="shared" si="32"/>
        <v>0</v>
      </c>
      <c r="AF54" s="866">
        <f t="shared" si="32"/>
        <v>0</v>
      </c>
      <c r="AG54" s="866">
        <f t="shared" si="32"/>
        <v>0</v>
      </c>
      <c r="AH54" s="866">
        <f t="shared" si="32"/>
        <v>0</v>
      </c>
      <c r="AI54" s="867">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040"/>
      <c r="AM54" s="108" t="str">
        <f>CONCATENATE(IF(AJ331&gt;SUM(AJ28,AJ34,AJ36,AJ38,AJ40,AJ42,AJ44,AJ46,AJ48,AJ50,AJ280,AJ284,AJ288,AJ292)," * This site has more started on ART than positives"&amp;CHAR(10),""),"")</f>
        <v/>
      </c>
      <c r="AN54" s="1130"/>
      <c r="AO54" s="13">
        <v>48</v>
      </c>
      <c r="AP54" s="109"/>
      <c r="AQ54" s="110"/>
    </row>
    <row r="55" spans="1:43" s="114" customFormat="1" ht="27" thickBot="1" x14ac:dyDescent="0.45">
      <c r="A55" s="1126"/>
      <c r="B55" s="688" t="s">
        <v>643</v>
      </c>
      <c r="C55" s="863" t="s">
        <v>349</v>
      </c>
      <c r="D55" s="868">
        <f>SUM(D28+D34+D36+D38+D40+D42+D44+D46+D48+D50+D53)</f>
        <v>0</v>
      </c>
      <c r="E55" s="869">
        <f t="shared" ref="E55:X55" si="34">SUM(E28+E34+E36+E38+E40+E42+E44+E46+E48+E50+E53)</f>
        <v>0</v>
      </c>
      <c r="F55" s="869">
        <f t="shared" si="34"/>
        <v>0</v>
      </c>
      <c r="G55" s="869">
        <f t="shared" si="34"/>
        <v>0</v>
      </c>
      <c r="H55" s="869">
        <f t="shared" si="34"/>
        <v>0</v>
      </c>
      <c r="I55" s="869">
        <f t="shared" si="34"/>
        <v>0</v>
      </c>
      <c r="J55" s="869">
        <f t="shared" si="34"/>
        <v>0</v>
      </c>
      <c r="K55" s="869">
        <f t="shared" si="34"/>
        <v>0</v>
      </c>
      <c r="L55" s="869">
        <f t="shared" si="34"/>
        <v>0</v>
      </c>
      <c r="M55" s="869">
        <f t="shared" si="34"/>
        <v>0</v>
      </c>
      <c r="N55" s="869">
        <f t="shared" si="34"/>
        <v>0</v>
      </c>
      <c r="O55" s="869">
        <f t="shared" si="34"/>
        <v>0</v>
      </c>
      <c r="P55" s="869">
        <f t="shared" si="34"/>
        <v>0</v>
      </c>
      <c r="Q55" s="869">
        <f t="shared" si="34"/>
        <v>0</v>
      </c>
      <c r="R55" s="869">
        <f t="shared" si="34"/>
        <v>0</v>
      </c>
      <c r="S55" s="869">
        <f t="shared" si="34"/>
        <v>0</v>
      </c>
      <c r="T55" s="869">
        <f t="shared" si="34"/>
        <v>0</v>
      </c>
      <c r="U55" s="869">
        <f t="shared" si="34"/>
        <v>0</v>
      </c>
      <c r="V55" s="869">
        <f t="shared" si="34"/>
        <v>0</v>
      </c>
      <c r="W55" s="869">
        <f t="shared" si="34"/>
        <v>0</v>
      </c>
      <c r="X55" s="869">
        <f t="shared" si="34"/>
        <v>0</v>
      </c>
      <c r="Y55" s="869">
        <f t="shared" ref="Y55:AH55" si="35">SUM(Y28+Y34+Y36+Y38+Y40+Y42+Y44+Y46+Y48+Y50+Y53)</f>
        <v>0</v>
      </c>
      <c r="Z55" s="869">
        <f t="shared" si="35"/>
        <v>0</v>
      </c>
      <c r="AA55" s="869">
        <f t="shared" si="35"/>
        <v>0</v>
      </c>
      <c r="AB55" s="869">
        <f t="shared" si="35"/>
        <v>0</v>
      </c>
      <c r="AC55" s="869">
        <f t="shared" si="35"/>
        <v>0</v>
      </c>
      <c r="AD55" s="869">
        <f t="shared" si="35"/>
        <v>0</v>
      </c>
      <c r="AE55" s="869">
        <f t="shared" si="35"/>
        <v>0</v>
      </c>
      <c r="AF55" s="869">
        <f t="shared" si="35"/>
        <v>0</v>
      </c>
      <c r="AG55" s="869">
        <f t="shared" si="35"/>
        <v>0</v>
      </c>
      <c r="AH55" s="869">
        <f t="shared" si="35"/>
        <v>0</v>
      </c>
      <c r="AI55" s="870">
        <f t="shared" ref="AI55" si="36">SUM(AI28+AI34+AI36+AI38+AI40+AI42+AI44+AI46+AI48+AI50+AI53)</f>
        <v>0</v>
      </c>
      <c r="AJ55" s="380">
        <f t="shared" si="13"/>
        <v>0</v>
      </c>
      <c r="AK55" s="111"/>
      <c r="AL55" s="1040"/>
      <c r="AM55" s="112" t="str">
        <f>CONCATENATE(IF(AND(AJ331=0,SUM(AJ28,AJ34,AJ36,AJ38,AJ40,AJ42,AJ44,AJ46,AJ48,AJ50,AJ280,AJ284,AJ288,AJ292)&gt;0)," * This site has positives but none was started on ART"&amp;CHAR(10),""),"")</f>
        <v/>
      </c>
      <c r="AN55" s="1131"/>
      <c r="AO55" s="13">
        <v>49</v>
      </c>
      <c r="AP55" s="113"/>
      <c r="AQ55" s="110"/>
    </row>
    <row r="56" spans="1:43" s="8" customFormat="1" ht="26.25" x14ac:dyDescent="0.4">
      <c r="A56" s="1125" t="s">
        <v>1246</v>
      </c>
      <c r="B56" s="859" t="s">
        <v>1247</v>
      </c>
      <c r="C56" s="679" t="s">
        <v>1249</v>
      </c>
      <c r="D56" s="864">
        <f>SUM(D27+D35+D37+D39+D41+D43+D45+D47+D49+D52+D279+D283+D285+D287+D289+D291+D293+D295+D297+D33)</f>
        <v>0</v>
      </c>
      <c r="E56" s="864">
        <f t="shared" ref="E56:AA56" si="37">SUM(E27+E35+E37+E39+E41+E43+E45+E47+E49+E52+E279+E283+E285+E287+E289+E291+E293+E295+E297+E33)</f>
        <v>0</v>
      </c>
      <c r="F56" s="864">
        <f t="shared" si="37"/>
        <v>0</v>
      </c>
      <c r="G56" s="864">
        <f t="shared" si="37"/>
        <v>0</v>
      </c>
      <c r="H56" s="864">
        <f t="shared" si="37"/>
        <v>0</v>
      </c>
      <c r="I56" s="864">
        <f t="shared" si="37"/>
        <v>0</v>
      </c>
      <c r="J56" s="864">
        <f t="shared" si="37"/>
        <v>0</v>
      </c>
      <c r="K56" s="864">
        <f t="shared" si="37"/>
        <v>0</v>
      </c>
      <c r="L56" s="864">
        <f t="shared" si="37"/>
        <v>0</v>
      </c>
      <c r="M56" s="864">
        <f t="shared" si="37"/>
        <v>0</v>
      </c>
      <c r="N56" s="864">
        <f t="shared" si="37"/>
        <v>0</v>
      </c>
      <c r="O56" s="864">
        <f t="shared" si="37"/>
        <v>0</v>
      </c>
      <c r="P56" s="864">
        <f t="shared" si="37"/>
        <v>0</v>
      </c>
      <c r="Q56" s="864">
        <f t="shared" si="37"/>
        <v>0</v>
      </c>
      <c r="R56" s="864">
        <f t="shared" si="37"/>
        <v>0</v>
      </c>
      <c r="S56" s="864">
        <f t="shared" si="37"/>
        <v>0</v>
      </c>
      <c r="T56" s="864">
        <f t="shared" si="37"/>
        <v>0</v>
      </c>
      <c r="U56" s="864">
        <f t="shared" si="37"/>
        <v>0</v>
      </c>
      <c r="V56" s="864">
        <f t="shared" si="37"/>
        <v>0</v>
      </c>
      <c r="W56" s="864">
        <f>SUM(W27+W35+W37+W39+W41+W43+W45+W47+W49+W52+W279+W283+W285+W287+W289+W291+W293+W295+W297+W33)</f>
        <v>0</v>
      </c>
      <c r="X56" s="864">
        <f t="shared" si="37"/>
        <v>0</v>
      </c>
      <c r="Y56" s="864">
        <f>SUM(Y27+Y35+Y37+Y39+Y41+Y43+Y45+Y47+Y49+Y52+Y279+Y283+Y285+Y287+Y289+Y291+Y293+Y295+Y297+Y33)</f>
        <v>0</v>
      </c>
      <c r="Z56" s="864">
        <f t="shared" si="37"/>
        <v>0</v>
      </c>
      <c r="AA56" s="864">
        <f t="shared" si="37"/>
        <v>0</v>
      </c>
      <c r="AB56" s="864">
        <f t="shared" ref="AB56:AH56" si="38">SUM(AB27+AB35+AB37+AB39+AB41+AB43+AB45+AB47+AB49+AB52+AB279+AB283+AB285+AB287+AB289+AB291+AB293+AB295+AB297+AB33)</f>
        <v>0</v>
      </c>
      <c r="AC56" s="864">
        <f t="shared" si="38"/>
        <v>0</v>
      </c>
      <c r="AD56" s="864">
        <f t="shared" si="38"/>
        <v>0</v>
      </c>
      <c r="AE56" s="864">
        <f t="shared" si="38"/>
        <v>0</v>
      </c>
      <c r="AF56" s="864">
        <f t="shared" si="38"/>
        <v>0</v>
      </c>
      <c r="AG56" s="864">
        <f t="shared" si="38"/>
        <v>0</v>
      </c>
      <c r="AH56" s="864">
        <f t="shared" si="38"/>
        <v>0</v>
      </c>
      <c r="AI56" s="864">
        <f>SUM(AI27+AI35+AI37+AI39+AI41+AI43+AI45+AI47+AI49+AI52+AI279+AI283+AI285+AI287+AI289+AI291+AI293+AI295+AI297+AI33)</f>
        <v>0</v>
      </c>
      <c r="AJ56" s="662">
        <f t="shared" ref="AJ56:AJ62" si="39">SUM(D56:AA56)</f>
        <v>0</v>
      </c>
      <c r="AK56" s="843"/>
      <c r="AL56" s="1040"/>
      <c r="AM56" s="108" t="str">
        <f>CONCATENATE(IF(AJ333&gt;SUM(AJ30,AJ36,AJ38,AJ40,AJ42,AJ44,AJ46,AJ48,AJ50,AJ52,AJ282,AJ286,AJ290,AJ294)," * This site has more started on ART than positives"&amp;CHAR(10),""),"")</f>
        <v/>
      </c>
      <c r="AN56" s="366"/>
      <c r="AO56" s="13">
        <v>48</v>
      </c>
      <c r="AP56" s="109"/>
      <c r="AQ56" s="110"/>
    </row>
    <row r="57" spans="1:43" s="114" customFormat="1" ht="27" thickBot="1" x14ac:dyDescent="0.45">
      <c r="A57" s="1126"/>
      <c r="B57" s="860" t="s">
        <v>1248</v>
      </c>
      <c r="C57" s="680" t="s">
        <v>1250</v>
      </c>
      <c r="D57" s="678">
        <f t="shared" ref="D57:AI57" si="40">SUM(D28+D34+D36+D38+D40+D42+D44+D46+D48+D50+D53+D280,D284,D286,D288,D290,D292,D294,D296,D298)</f>
        <v>0</v>
      </c>
      <c r="E57" s="678">
        <f t="shared" si="40"/>
        <v>0</v>
      </c>
      <c r="F57" s="678">
        <f t="shared" si="40"/>
        <v>0</v>
      </c>
      <c r="G57" s="678">
        <f t="shared" si="40"/>
        <v>0</v>
      </c>
      <c r="H57" s="678">
        <f t="shared" si="40"/>
        <v>0</v>
      </c>
      <c r="I57" s="678">
        <f t="shared" si="40"/>
        <v>0</v>
      </c>
      <c r="J57" s="678">
        <f t="shared" si="40"/>
        <v>0</v>
      </c>
      <c r="K57" s="678">
        <f t="shared" si="40"/>
        <v>0</v>
      </c>
      <c r="L57" s="678">
        <f t="shared" si="40"/>
        <v>0</v>
      </c>
      <c r="M57" s="678">
        <f t="shared" si="40"/>
        <v>0</v>
      </c>
      <c r="N57" s="678">
        <f t="shared" si="40"/>
        <v>0</v>
      </c>
      <c r="O57" s="678">
        <f t="shared" si="40"/>
        <v>0</v>
      </c>
      <c r="P57" s="678">
        <f t="shared" si="40"/>
        <v>0</v>
      </c>
      <c r="Q57" s="678">
        <f t="shared" si="40"/>
        <v>0</v>
      </c>
      <c r="R57" s="678">
        <f t="shared" si="40"/>
        <v>0</v>
      </c>
      <c r="S57" s="678">
        <f t="shared" si="40"/>
        <v>0</v>
      </c>
      <c r="T57" s="678">
        <f t="shared" si="40"/>
        <v>0</v>
      </c>
      <c r="U57" s="678">
        <f t="shared" si="40"/>
        <v>0</v>
      </c>
      <c r="V57" s="678">
        <f t="shared" si="40"/>
        <v>0</v>
      </c>
      <c r="W57" s="678">
        <f t="shared" si="40"/>
        <v>0</v>
      </c>
      <c r="X57" s="678">
        <f t="shared" si="40"/>
        <v>0</v>
      </c>
      <c r="Y57" s="678">
        <f t="shared" si="40"/>
        <v>0</v>
      </c>
      <c r="Z57" s="678">
        <f t="shared" si="40"/>
        <v>0</v>
      </c>
      <c r="AA57" s="678">
        <f t="shared" si="40"/>
        <v>0</v>
      </c>
      <c r="AB57" s="678">
        <f t="shared" si="40"/>
        <v>0</v>
      </c>
      <c r="AC57" s="678">
        <f t="shared" si="40"/>
        <v>0</v>
      </c>
      <c r="AD57" s="678">
        <f t="shared" si="40"/>
        <v>0</v>
      </c>
      <c r="AE57" s="678">
        <f t="shared" si="40"/>
        <v>0</v>
      </c>
      <c r="AF57" s="678">
        <f t="shared" si="40"/>
        <v>0</v>
      </c>
      <c r="AG57" s="678">
        <f t="shared" si="40"/>
        <v>0</v>
      </c>
      <c r="AH57" s="678">
        <f t="shared" si="40"/>
        <v>0</v>
      </c>
      <c r="AI57" s="678">
        <f t="shared" si="40"/>
        <v>0</v>
      </c>
      <c r="AJ57" s="663">
        <f t="shared" si="39"/>
        <v>0</v>
      </c>
      <c r="AK57" s="843"/>
      <c r="AL57" s="1046"/>
      <c r="AM57" s="112" t="str">
        <f>CONCATENATE(IF(AND(AJ333=0,SUM(AJ30,AJ36,AJ38,AJ40,AJ42,AJ44,AJ46,AJ48,AJ50,AJ52,AJ282,AJ286,AJ290,AJ294)&gt;0)," * This site has positives but none was started on ART"&amp;CHAR(10),""),"")</f>
        <v/>
      </c>
      <c r="AN57" s="366"/>
      <c r="AO57" s="13">
        <v>49</v>
      </c>
      <c r="AP57" s="113"/>
      <c r="AQ57" s="110"/>
    </row>
    <row r="58" spans="1:43" ht="27" thickBot="1" x14ac:dyDescent="0.45">
      <c r="A58" s="1128" t="s">
        <v>1261</v>
      </c>
      <c r="B58" s="1013"/>
      <c r="C58" s="1013"/>
      <c r="D58" s="1013"/>
      <c r="E58" s="1013"/>
      <c r="F58" s="1013"/>
      <c r="G58" s="1013"/>
      <c r="H58" s="1013"/>
      <c r="I58" s="1013"/>
      <c r="J58" s="1013"/>
      <c r="K58" s="1013"/>
      <c r="L58" s="1013"/>
      <c r="M58" s="1013"/>
      <c r="N58" s="1013"/>
      <c r="O58" s="1013"/>
      <c r="P58" s="1013"/>
      <c r="Q58" s="1013"/>
      <c r="R58" s="1013"/>
      <c r="S58" s="1013"/>
      <c r="T58" s="1013"/>
      <c r="U58" s="1013"/>
      <c r="V58" s="1013"/>
      <c r="W58" s="1013"/>
      <c r="X58" s="1013"/>
      <c r="Y58" s="1013"/>
      <c r="Z58" s="1013"/>
      <c r="AA58" s="1013"/>
      <c r="AB58" s="1013"/>
      <c r="AC58" s="1013"/>
      <c r="AD58" s="1013"/>
      <c r="AE58" s="1013"/>
      <c r="AF58" s="1013"/>
      <c r="AG58" s="1013"/>
      <c r="AH58" s="1013"/>
      <c r="AI58" s="1013"/>
      <c r="AJ58" s="1015"/>
      <c r="AK58" s="1013"/>
      <c r="AL58" s="1015"/>
      <c r="AM58" s="1015"/>
      <c r="AN58" s="1016"/>
      <c r="AO58" s="13">
        <v>50</v>
      </c>
      <c r="AP58" s="74"/>
      <c r="AQ58" s="75"/>
    </row>
    <row r="59" spans="1:43" ht="29.25" customHeight="1" x14ac:dyDescent="0.4">
      <c r="A59" s="994" t="s">
        <v>391</v>
      </c>
      <c r="B59" s="91" t="s">
        <v>158</v>
      </c>
      <c r="C59" s="599" t="s">
        <v>1257</v>
      </c>
      <c r="D59" s="296"/>
      <c r="E59" s="93"/>
      <c r="F59" s="99"/>
      <c r="G59" s="99"/>
      <c r="H59" s="99"/>
      <c r="I59" s="99"/>
      <c r="J59" s="99"/>
      <c r="K59" s="99"/>
      <c r="L59" s="94"/>
      <c r="M59" s="94"/>
      <c r="N59" s="94"/>
      <c r="O59" s="94"/>
      <c r="P59" s="94"/>
      <c r="Q59" s="94"/>
      <c r="R59" s="94"/>
      <c r="S59" s="94"/>
      <c r="T59" s="94"/>
      <c r="U59" s="94"/>
      <c r="V59" s="94"/>
      <c r="W59" s="94"/>
      <c r="X59" s="94"/>
      <c r="Y59" s="94"/>
      <c r="Z59" s="94"/>
      <c r="AA59" s="321"/>
      <c r="AB59" s="386"/>
      <c r="AC59" s="356"/>
      <c r="AD59" s="356"/>
      <c r="AE59" s="356"/>
      <c r="AF59" s="356"/>
      <c r="AG59" s="356"/>
      <c r="AH59" s="356"/>
      <c r="AI59" s="313"/>
      <c r="AJ59" s="662">
        <f t="shared" si="39"/>
        <v>0</v>
      </c>
      <c r="AK59" s="1127"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49"/>
      <c r="AM59" s="31" t="str">
        <f>CONCATENATE(IF(AND(IFERROR((AJ60*100)/AJ59,0)&gt;10,AJ60&gt;5)," * This facility has a high positivity rate for Index Testing. Kindly confirm if this is the true reflection"&amp;CHAR(10),""),"")</f>
        <v/>
      </c>
      <c r="AN59" s="366"/>
      <c r="AO59" s="13">
        <v>44</v>
      </c>
      <c r="AP59" s="74"/>
      <c r="AQ59" s="75"/>
    </row>
    <row r="60" spans="1:43" ht="27" thickBot="1" x14ac:dyDescent="0.45">
      <c r="A60" s="1124"/>
      <c r="B60" s="95" t="s">
        <v>150</v>
      </c>
      <c r="C60" s="630" t="s">
        <v>1258</v>
      </c>
      <c r="D60" s="376"/>
      <c r="E60" s="88"/>
      <c r="F60" s="102"/>
      <c r="G60" s="102"/>
      <c r="H60" s="102"/>
      <c r="I60" s="102"/>
      <c r="J60" s="102"/>
      <c r="K60" s="102"/>
      <c r="L60" s="106"/>
      <c r="M60" s="106"/>
      <c r="N60" s="106"/>
      <c r="O60" s="106"/>
      <c r="P60" s="106"/>
      <c r="Q60" s="106"/>
      <c r="R60" s="106"/>
      <c r="S60" s="106"/>
      <c r="T60" s="106"/>
      <c r="U60" s="106"/>
      <c r="V60" s="106"/>
      <c r="W60" s="106"/>
      <c r="X60" s="106"/>
      <c r="Y60" s="106"/>
      <c r="Z60" s="106"/>
      <c r="AA60" s="327"/>
      <c r="AB60" s="386"/>
      <c r="AC60" s="356"/>
      <c r="AD60" s="356"/>
      <c r="AE60" s="356"/>
      <c r="AF60" s="356"/>
      <c r="AG60" s="356"/>
      <c r="AH60" s="356"/>
      <c r="AI60" s="313"/>
      <c r="AJ60" s="664">
        <f t="shared" si="39"/>
        <v>0</v>
      </c>
      <c r="AK60" s="1127"/>
      <c r="AL60" s="649"/>
      <c r="AM60" s="31"/>
      <c r="AN60" s="366"/>
      <c r="AO60" s="13">
        <v>45</v>
      </c>
      <c r="AP60" s="74"/>
      <c r="AQ60" s="75"/>
    </row>
    <row r="61" spans="1:43" ht="29.25" customHeight="1" x14ac:dyDescent="0.4">
      <c r="A61" s="994" t="s">
        <v>389</v>
      </c>
      <c r="B61" s="91" t="s">
        <v>158</v>
      </c>
      <c r="C61" s="599" t="s">
        <v>1259</v>
      </c>
      <c r="D61" s="296"/>
      <c r="E61" s="93"/>
      <c r="F61" s="99"/>
      <c r="G61" s="99"/>
      <c r="H61" s="99"/>
      <c r="I61" s="99"/>
      <c r="J61" s="99"/>
      <c r="K61" s="99"/>
      <c r="L61" s="94"/>
      <c r="M61" s="94"/>
      <c r="N61" s="94"/>
      <c r="O61" s="94"/>
      <c r="P61" s="94"/>
      <c r="Q61" s="94"/>
      <c r="R61" s="94"/>
      <c r="S61" s="94"/>
      <c r="T61" s="94"/>
      <c r="U61" s="94"/>
      <c r="V61" s="94"/>
      <c r="W61" s="94"/>
      <c r="X61" s="94"/>
      <c r="Y61" s="94"/>
      <c r="Z61" s="94"/>
      <c r="AA61" s="321"/>
      <c r="AB61" s="386"/>
      <c r="AC61" s="356"/>
      <c r="AD61" s="356"/>
      <c r="AE61" s="356"/>
      <c r="AF61" s="356"/>
      <c r="AG61" s="356"/>
      <c r="AH61" s="356"/>
      <c r="AI61" s="313"/>
      <c r="AJ61" s="662">
        <f t="shared" si="39"/>
        <v>0</v>
      </c>
      <c r="AK61" s="1127"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49"/>
      <c r="AM61" s="31" t="str">
        <f>CONCATENATE(IF(AND(IFERROR((AJ62*100)/AJ61,0)&gt;10,AJ62&gt;5)," * This facility has a high positivity rate for Index Testing. Kindly confirm if this is the true reflection"&amp;CHAR(10),""),"")</f>
        <v/>
      </c>
      <c r="AN61" s="366"/>
      <c r="AO61" s="13">
        <v>44</v>
      </c>
      <c r="AP61" s="74"/>
      <c r="AQ61" s="75"/>
    </row>
    <row r="62" spans="1:43" ht="27" thickBot="1" x14ac:dyDescent="0.45">
      <c r="A62" s="1124"/>
      <c r="B62" s="95" t="s">
        <v>150</v>
      </c>
      <c r="C62" s="630" t="s">
        <v>1260</v>
      </c>
      <c r="D62" s="376"/>
      <c r="E62" s="88"/>
      <c r="F62" s="102"/>
      <c r="G62" s="102"/>
      <c r="H62" s="102"/>
      <c r="I62" s="102"/>
      <c r="J62" s="102"/>
      <c r="K62" s="102"/>
      <c r="L62" s="106"/>
      <c r="M62" s="106"/>
      <c r="N62" s="106"/>
      <c r="O62" s="106"/>
      <c r="P62" s="106"/>
      <c r="Q62" s="106"/>
      <c r="R62" s="106"/>
      <c r="S62" s="106"/>
      <c r="T62" s="106"/>
      <c r="U62" s="106"/>
      <c r="V62" s="106"/>
      <c r="W62" s="106"/>
      <c r="X62" s="106"/>
      <c r="Y62" s="106"/>
      <c r="Z62" s="106"/>
      <c r="AA62" s="327"/>
      <c r="AB62" s="386"/>
      <c r="AC62" s="356"/>
      <c r="AD62" s="356"/>
      <c r="AE62" s="356"/>
      <c r="AF62" s="356"/>
      <c r="AG62" s="356"/>
      <c r="AH62" s="356"/>
      <c r="AI62" s="313"/>
      <c r="AJ62" s="664">
        <f t="shared" si="39"/>
        <v>0</v>
      </c>
      <c r="AK62" s="1127"/>
      <c r="AL62" s="649"/>
      <c r="AM62" s="31"/>
      <c r="AN62" s="366"/>
      <c r="AO62" s="13">
        <v>45</v>
      </c>
      <c r="AP62" s="74"/>
      <c r="AQ62" s="75"/>
    </row>
    <row r="63" spans="1:43" ht="27" hidden="1" thickBot="1" x14ac:dyDescent="0.45">
      <c r="A63" s="1017" t="s">
        <v>1019</v>
      </c>
      <c r="B63" s="1015"/>
      <c r="C63" s="1013"/>
      <c r="D63" s="1015"/>
      <c r="E63" s="1015"/>
      <c r="F63" s="1015"/>
      <c r="G63" s="1015"/>
      <c r="H63" s="1015"/>
      <c r="I63" s="1015"/>
      <c r="J63" s="1015"/>
      <c r="K63" s="1015"/>
      <c r="L63" s="1015"/>
      <c r="M63" s="1015"/>
      <c r="N63" s="1015"/>
      <c r="O63" s="1015"/>
      <c r="P63" s="1015"/>
      <c r="Q63" s="1015"/>
      <c r="R63" s="1015"/>
      <c r="S63" s="1015"/>
      <c r="T63" s="1015"/>
      <c r="U63" s="1015"/>
      <c r="V63" s="1015"/>
      <c r="W63" s="1015"/>
      <c r="X63" s="1015"/>
      <c r="Y63" s="1015"/>
      <c r="Z63" s="1015"/>
      <c r="AA63" s="1015"/>
      <c r="AB63" s="1013"/>
      <c r="AC63" s="1013"/>
      <c r="AD63" s="1013"/>
      <c r="AE63" s="1013"/>
      <c r="AF63" s="1013"/>
      <c r="AG63" s="1013"/>
      <c r="AH63" s="1013"/>
      <c r="AI63" s="1013"/>
      <c r="AJ63" s="1015"/>
      <c r="AK63" s="1013"/>
      <c r="AL63" s="1015"/>
      <c r="AM63" s="1015"/>
      <c r="AN63" s="1016"/>
      <c r="AO63" s="13">
        <v>50</v>
      </c>
      <c r="AP63" s="74"/>
      <c r="AQ63" s="75"/>
    </row>
    <row r="64" spans="1:43" ht="26.25" hidden="1" customHeight="1" x14ac:dyDescent="0.4">
      <c r="A64" s="1059" t="s">
        <v>37</v>
      </c>
      <c r="B64" s="1055" t="s">
        <v>344</v>
      </c>
      <c r="C64" s="1057" t="s">
        <v>325</v>
      </c>
      <c r="D64" s="1037"/>
      <c r="E64" s="1037"/>
      <c r="F64" s="1037"/>
      <c r="G64" s="1037"/>
      <c r="H64" s="1037"/>
      <c r="I64" s="1037"/>
      <c r="J64" s="1037"/>
      <c r="K64" s="1037"/>
      <c r="L64" s="1037" t="s">
        <v>4</v>
      </c>
      <c r="M64" s="1037"/>
      <c r="N64" s="1037" t="s">
        <v>5</v>
      </c>
      <c r="O64" s="1037"/>
      <c r="P64" s="1037" t="s">
        <v>6</v>
      </c>
      <c r="Q64" s="1037"/>
      <c r="R64" s="1037" t="s">
        <v>7</v>
      </c>
      <c r="S64" s="1037"/>
      <c r="T64" s="1037" t="s">
        <v>8</v>
      </c>
      <c r="U64" s="1037"/>
      <c r="V64" s="1037" t="s">
        <v>23</v>
      </c>
      <c r="W64" s="1037"/>
      <c r="X64" s="1037" t="s">
        <v>24</v>
      </c>
      <c r="Y64" s="1037"/>
      <c r="Z64" s="1037" t="s">
        <v>9</v>
      </c>
      <c r="AA64" s="1038"/>
      <c r="AB64" s="1042"/>
      <c r="AC64" s="1043"/>
      <c r="AD64" s="1043"/>
      <c r="AE64" s="1043"/>
      <c r="AF64" s="1043"/>
      <c r="AG64" s="1043"/>
      <c r="AH64" s="1043"/>
      <c r="AI64" s="1284"/>
      <c r="AJ64" s="1050" t="s">
        <v>19</v>
      </c>
      <c r="AK64" s="1052" t="s">
        <v>378</v>
      </c>
      <c r="AL64" s="1035" t="s">
        <v>384</v>
      </c>
      <c r="AM64" s="1029" t="s">
        <v>385</v>
      </c>
      <c r="AN64" s="1024" t="s">
        <v>385</v>
      </c>
      <c r="AO64" s="13">
        <v>98</v>
      </c>
      <c r="AP64" s="74"/>
      <c r="AQ64" s="75"/>
    </row>
    <row r="65" spans="1:43" ht="27" hidden="1" customHeight="1" thickBot="1" x14ac:dyDescent="0.45">
      <c r="A65" s="1060"/>
      <c r="B65" s="1056"/>
      <c r="C65" s="1058"/>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68" t="s">
        <v>11</v>
      </c>
      <c r="AB65" s="382"/>
      <c r="AC65" s="369"/>
      <c r="AD65" s="369"/>
      <c r="AE65" s="369"/>
      <c r="AF65" s="369"/>
      <c r="AG65" s="369"/>
      <c r="AH65" s="369"/>
      <c r="AI65" s="383"/>
      <c r="AJ65" s="1051"/>
      <c r="AK65" s="1053"/>
      <c r="AL65" s="1075"/>
      <c r="AM65" s="1029"/>
      <c r="AN65" s="1025"/>
      <c r="AO65" s="13">
        <v>99</v>
      </c>
      <c r="AP65" s="74"/>
      <c r="AQ65" s="75"/>
    </row>
    <row r="66" spans="1:43" s="83" customFormat="1" ht="25.5" hidden="1" customHeight="1" x14ac:dyDescent="0.4">
      <c r="A66" s="942" t="s">
        <v>1032</v>
      </c>
      <c r="B66" s="1" t="s">
        <v>1193</v>
      </c>
      <c r="C66" s="579" t="s">
        <v>1020</v>
      </c>
      <c r="D66" s="134"/>
      <c r="E66" s="99"/>
      <c r="F66" s="99"/>
      <c r="G66" s="99"/>
      <c r="H66" s="99"/>
      <c r="I66" s="99"/>
      <c r="J66" s="99"/>
      <c r="K66" s="374"/>
      <c r="L66" s="236"/>
      <c r="M66" s="236"/>
      <c r="N66" s="236"/>
      <c r="O66" s="236"/>
      <c r="P66" s="236"/>
      <c r="Q66" s="236"/>
      <c r="R66" s="236"/>
      <c r="S66" s="236"/>
      <c r="T66" s="236"/>
      <c r="U66" s="236"/>
      <c r="V66" s="236"/>
      <c r="W66" s="236"/>
      <c r="X66" s="236"/>
      <c r="Y66" s="236"/>
      <c r="Z66" s="236"/>
      <c r="AA66" s="236"/>
      <c r="AB66" s="384"/>
      <c r="AC66" s="385"/>
      <c r="AD66" s="385"/>
      <c r="AE66" s="385"/>
      <c r="AF66" s="385"/>
      <c r="AG66" s="385"/>
      <c r="AH66" s="385"/>
      <c r="AI66" s="316"/>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071" t="str">
        <f>CONCATENATE(AK66,AK67,AK68,AK69,AK70,AK71,AK72,AK73,AK74,AK75,AK76,AK77,AK78,AK79,AK80,AK81,AK82,AK83,AK84,AK85,AK86,AK87,AK88,AK89,AK90,AK91,AK92,AK93,AK94,AK95,AK96,AK97,AK98,AK99,AK100,AK101,AK102,AK103,AK104,AK105)</f>
        <v/>
      </c>
      <c r="AM66" s="31"/>
      <c r="AN66" s="366"/>
      <c r="AO66" s="13">
        <v>30</v>
      </c>
      <c r="AP66" s="81"/>
      <c r="AQ66" s="82"/>
    </row>
    <row r="67" spans="1:43" s="83" customFormat="1" ht="27" hidden="1" thickBot="1" x14ac:dyDescent="0.45">
      <c r="A67" s="943"/>
      <c r="B67" s="367" t="s">
        <v>1194</v>
      </c>
      <c r="C67" s="580" t="s">
        <v>1021</v>
      </c>
      <c r="D67" s="119"/>
      <c r="E67" s="102"/>
      <c r="F67" s="102"/>
      <c r="G67" s="102"/>
      <c r="H67" s="102"/>
      <c r="I67" s="102"/>
      <c r="J67" s="102"/>
      <c r="K67" s="375"/>
      <c r="L67" s="141"/>
      <c r="M67" s="141"/>
      <c r="N67" s="141"/>
      <c r="O67" s="141"/>
      <c r="P67" s="141"/>
      <c r="Q67" s="141"/>
      <c r="R67" s="141"/>
      <c r="S67" s="141"/>
      <c r="T67" s="141"/>
      <c r="U67" s="141"/>
      <c r="V67" s="141"/>
      <c r="W67" s="141"/>
      <c r="X67" s="141"/>
      <c r="Y67" s="141"/>
      <c r="Z67" s="141"/>
      <c r="AA67" s="141"/>
      <c r="AB67" s="386"/>
      <c r="AC67" s="356"/>
      <c r="AD67" s="356"/>
      <c r="AE67" s="356"/>
      <c r="AF67" s="356"/>
      <c r="AG67" s="356"/>
      <c r="AH67" s="356"/>
      <c r="AI67" s="313"/>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072"/>
      <c r="AM67" s="31"/>
      <c r="AN67" s="366"/>
      <c r="AO67" s="13">
        <v>31</v>
      </c>
      <c r="AP67" s="81"/>
      <c r="AQ67" s="82"/>
    </row>
    <row r="68" spans="1:43" s="83" customFormat="1" ht="25.5" hidden="1" customHeight="1" x14ac:dyDescent="0.4">
      <c r="A68" s="943"/>
      <c r="B68" s="1" t="s">
        <v>1195</v>
      </c>
      <c r="C68" s="579" t="s">
        <v>1197</v>
      </c>
      <c r="D68" s="134"/>
      <c r="E68" s="99"/>
      <c r="F68" s="99"/>
      <c r="G68" s="99"/>
      <c r="H68" s="99"/>
      <c r="I68" s="99"/>
      <c r="J68" s="99"/>
      <c r="K68" s="374"/>
      <c r="L68" s="236"/>
      <c r="M68" s="236"/>
      <c r="N68" s="236"/>
      <c r="O68" s="236"/>
      <c r="P68" s="236"/>
      <c r="Q68" s="236"/>
      <c r="R68" s="236"/>
      <c r="S68" s="236"/>
      <c r="T68" s="236"/>
      <c r="U68" s="236"/>
      <c r="V68" s="236"/>
      <c r="W68" s="236"/>
      <c r="X68" s="236"/>
      <c r="Y68" s="236"/>
      <c r="Z68" s="236"/>
      <c r="AA68" s="236"/>
      <c r="AB68" s="384"/>
      <c r="AC68" s="385"/>
      <c r="AD68" s="385"/>
      <c r="AE68" s="385"/>
      <c r="AF68" s="385"/>
      <c r="AG68" s="385"/>
      <c r="AH68" s="385"/>
      <c r="AI68" s="316"/>
      <c r="AJ68" s="188">
        <f t="shared" ref="AJ68:AJ69" si="42">SUM(D68:AA68)</f>
        <v>0</v>
      </c>
      <c r="AK68" s="30"/>
      <c r="AL68" s="1072"/>
      <c r="AM68" s="31"/>
      <c r="AN68" s="366"/>
      <c r="AO68" s="13">
        <v>30</v>
      </c>
      <c r="AP68" s="81"/>
      <c r="AQ68" s="82"/>
    </row>
    <row r="69" spans="1:43" s="83" customFormat="1" ht="27" hidden="1" thickBot="1" x14ac:dyDescent="0.45">
      <c r="A69" s="944"/>
      <c r="B69" s="367" t="s">
        <v>1196</v>
      </c>
      <c r="C69" s="581" t="s">
        <v>1198</v>
      </c>
      <c r="D69" s="505"/>
      <c r="E69" s="120"/>
      <c r="F69" s="120"/>
      <c r="G69" s="120"/>
      <c r="H69" s="120"/>
      <c r="I69" s="120"/>
      <c r="J69" s="120"/>
      <c r="K69" s="405"/>
      <c r="L69" s="249"/>
      <c r="M69" s="249"/>
      <c r="N69" s="249"/>
      <c r="O69" s="249"/>
      <c r="P69" s="249"/>
      <c r="Q69" s="249"/>
      <c r="R69" s="249"/>
      <c r="S69" s="249"/>
      <c r="T69" s="249"/>
      <c r="U69" s="249"/>
      <c r="V69" s="249"/>
      <c r="W69" s="249"/>
      <c r="X69" s="249"/>
      <c r="Y69" s="249"/>
      <c r="Z69" s="249"/>
      <c r="AA69" s="249"/>
      <c r="AB69" s="386"/>
      <c r="AC69" s="356"/>
      <c r="AD69" s="356"/>
      <c r="AE69" s="356"/>
      <c r="AF69" s="356"/>
      <c r="AG69" s="356"/>
      <c r="AH69" s="356"/>
      <c r="AI69" s="313"/>
      <c r="AJ69" s="192">
        <f t="shared" si="42"/>
        <v>0</v>
      </c>
      <c r="AK69" s="30"/>
      <c r="AL69" s="1072"/>
      <c r="AM69" s="31"/>
      <c r="AN69" s="366"/>
      <c r="AO69" s="13">
        <v>31</v>
      </c>
      <c r="AP69" s="81"/>
      <c r="AQ69" s="82"/>
    </row>
    <row r="70" spans="1:43" s="83" customFormat="1" ht="25.5" hidden="1" customHeight="1" x14ac:dyDescent="0.4">
      <c r="A70" s="930" t="s">
        <v>1033</v>
      </c>
      <c r="B70" s="1" t="s">
        <v>1193</v>
      </c>
      <c r="C70" s="579" t="s">
        <v>1022</v>
      </c>
      <c r="D70" s="134"/>
      <c r="E70" s="99"/>
      <c r="F70" s="99"/>
      <c r="G70" s="99"/>
      <c r="H70" s="99"/>
      <c r="I70" s="99"/>
      <c r="J70" s="99"/>
      <c r="K70" s="374"/>
      <c r="L70" s="236"/>
      <c r="M70" s="236"/>
      <c r="N70" s="236"/>
      <c r="O70" s="236"/>
      <c r="P70" s="236"/>
      <c r="Q70" s="236"/>
      <c r="R70" s="236"/>
      <c r="S70" s="236"/>
      <c r="T70" s="236"/>
      <c r="U70" s="236"/>
      <c r="V70" s="236"/>
      <c r="W70" s="236"/>
      <c r="X70" s="236"/>
      <c r="Y70" s="236"/>
      <c r="Z70" s="236"/>
      <c r="AA70" s="236"/>
      <c r="AB70" s="386"/>
      <c r="AC70" s="356"/>
      <c r="AD70" s="356"/>
      <c r="AE70" s="356"/>
      <c r="AF70" s="356"/>
      <c r="AG70" s="356"/>
      <c r="AH70" s="356"/>
      <c r="AI70" s="313"/>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072"/>
      <c r="AM70" s="31"/>
      <c r="AN70" s="366"/>
      <c r="AO70" s="13">
        <v>32</v>
      </c>
      <c r="AP70" s="81"/>
      <c r="AQ70" s="82"/>
    </row>
    <row r="71" spans="1:43" s="83" customFormat="1" ht="27" hidden="1" thickBot="1" x14ac:dyDescent="0.45">
      <c r="A71" s="931"/>
      <c r="B71" s="367" t="s">
        <v>1194</v>
      </c>
      <c r="C71" s="580" t="s">
        <v>1023</v>
      </c>
      <c r="D71" s="135"/>
      <c r="E71" s="78"/>
      <c r="F71" s="78"/>
      <c r="G71" s="78"/>
      <c r="H71" s="78"/>
      <c r="I71" s="78"/>
      <c r="J71" s="78"/>
      <c r="K71" s="381"/>
      <c r="L71" s="141"/>
      <c r="M71" s="141"/>
      <c r="N71" s="141"/>
      <c r="O71" s="141"/>
      <c r="P71" s="141"/>
      <c r="Q71" s="141"/>
      <c r="R71" s="141"/>
      <c r="S71" s="141"/>
      <c r="T71" s="141"/>
      <c r="U71" s="141"/>
      <c r="V71" s="141"/>
      <c r="W71" s="141"/>
      <c r="X71" s="141"/>
      <c r="Y71" s="141"/>
      <c r="Z71" s="141"/>
      <c r="AA71" s="141"/>
      <c r="AB71" s="386"/>
      <c r="AC71" s="356"/>
      <c r="AD71" s="356"/>
      <c r="AE71" s="356"/>
      <c r="AF71" s="356"/>
      <c r="AG71" s="356"/>
      <c r="AH71" s="356"/>
      <c r="AI71" s="313"/>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072"/>
      <c r="AM71" s="31"/>
      <c r="AN71" s="366"/>
      <c r="AO71" s="13">
        <v>33</v>
      </c>
      <c r="AP71" s="81"/>
      <c r="AQ71" s="82"/>
    </row>
    <row r="72" spans="1:43" s="83" customFormat="1" ht="25.5" hidden="1" customHeight="1" x14ac:dyDescent="0.4">
      <c r="A72" s="931"/>
      <c r="B72" s="1" t="s">
        <v>1195</v>
      </c>
      <c r="C72" s="580" t="s">
        <v>1199</v>
      </c>
      <c r="D72" s="135"/>
      <c r="E72" s="78"/>
      <c r="F72" s="78"/>
      <c r="G72" s="78"/>
      <c r="H72" s="78"/>
      <c r="I72" s="78"/>
      <c r="J72" s="78"/>
      <c r="K72" s="381"/>
      <c r="L72" s="236"/>
      <c r="M72" s="236"/>
      <c r="N72" s="236"/>
      <c r="O72" s="236"/>
      <c r="P72" s="236"/>
      <c r="Q72" s="236"/>
      <c r="R72" s="236"/>
      <c r="S72" s="236"/>
      <c r="T72" s="236"/>
      <c r="U72" s="236"/>
      <c r="V72" s="236"/>
      <c r="W72" s="236"/>
      <c r="X72" s="236"/>
      <c r="Y72" s="236"/>
      <c r="Z72" s="236"/>
      <c r="AA72" s="236"/>
      <c r="AB72" s="386"/>
      <c r="AC72" s="356"/>
      <c r="AD72" s="356"/>
      <c r="AE72" s="356"/>
      <c r="AF72" s="356"/>
      <c r="AG72" s="356"/>
      <c r="AH72" s="356"/>
      <c r="AI72" s="313"/>
      <c r="AJ72" s="188">
        <f t="shared" ref="AJ72:AJ73" si="43">SUM(D72:AA72)</f>
        <v>0</v>
      </c>
      <c r="AK72" s="30"/>
      <c r="AL72" s="1072"/>
      <c r="AM72" s="31"/>
      <c r="AN72" s="366"/>
      <c r="AO72" s="13">
        <v>32</v>
      </c>
      <c r="AP72" s="81"/>
      <c r="AQ72" s="82"/>
    </row>
    <row r="73" spans="1:43" s="83" customFormat="1" ht="27" hidden="1" thickBot="1" x14ac:dyDescent="0.45">
      <c r="A73" s="932"/>
      <c r="B73" s="367" t="s">
        <v>1196</v>
      </c>
      <c r="C73" s="582" t="s">
        <v>1200</v>
      </c>
      <c r="D73" s="119"/>
      <c r="E73" s="102"/>
      <c r="F73" s="102"/>
      <c r="G73" s="102"/>
      <c r="H73" s="102"/>
      <c r="I73" s="102"/>
      <c r="J73" s="102"/>
      <c r="K73" s="375"/>
      <c r="L73" s="249"/>
      <c r="M73" s="249"/>
      <c r="N73" s="249"/>
      <c r="O73" s="249"/>
      <c r="P73" s="249"/>
      <c r="Q73" s="249"/>
      <c r="R73" s="249"/>
      <c r="S73" s="249"/>
      <c r="T73" s="249"/>
      <c r="U73" s="249"/>
      <c r="V73" s="249"/>
      <c r="W73" s="249"/>
      <c r="X73" s="249"/>
      <c r="Y73" s="249"/>
      <c r="Z73" s="249"/>
      <c r="AA73" s="249"/>
      <c r="AB73" s="386"/>
      <c r="AC73" s="356"/>
      <c r="AD73" s="356"/>
      <c r="AE73" s="356"/>
      <c r="AF73" s="356"/>
      <c r="AG73" s="356"/>
      <c r="AH73" s="356"/>
      <c r="AI73" s="313"/>
      <c r="AJ73" s="192">
        <f t="shared" si="43"/>
        <v>0</v>
      </c>
      <c r="AK73" s="30"/>
      <c r="AL73" s="1072"/>
      <c r="AM73" s="31"/>
      <c r="AN73" s="366"/>
      <c r="AO73" s="13">
        <v>33</v>
      </c>
      <c r="AP73" s="81"/>
      <c r="AQ73" s="82"/>
    </row>
    <row r="74" spans="1:43" s="83" customFormat="1" ht="25.5" hidden="1" customHeight="1" x14ac:dyDescent="0.4">
      <c r="A74" s="942" t="s">
        <v>1034</v>
      </c>
      <c r="B74" s="1" t="s">
        <v>1193</v>
      </c>
      <c r="C74" s="579" t="s">
        <v>1024</v>
      </c>
      <c r="D74" s="134"/>
      <c r="E74" s="99"/>
      <c r="F74" s="99"/>
      <c r="G74" s="99"/>
      <c r="H74" s="99"/>
      <c r="I74" s="99"/>
      <c r="J74" s="99"/>
      <c r="K74" s="374"/>
      <c r="L74" s="236"/>
      <c r="M74" s="236"/>
      <c r="N74" s="236"/>
      <c r="O74" s="236"/>
      <c r="P74" s="236"/>
      <c r="Q74" s="236"/>
      <c r="R74" s="236"/>
      <c r="S74" s="236"/>
      <c r="T74" s="236"/>
      <c r="U74" s="236"/>
      <c r="V74" s="236"/>
      <c r="W74" s="236"/>
      <c r="X74" s="236"/>
      <c r="Y74" s="236"/>
      <c r="Z74" s="236"/>
      <c r="AA74" s="236"/>
      <c r="AB74" s="386"/>
      <c r="AC74" s="356"/>
      <c r="AD74" s="356"/>
      <c r="AE74" s="356"/>
      <c r="AF74" s="356"/>
      <c r="AG74" s="356"/>
      <c r="AH74" s="356"/>
      <c r="AI74" s="313"/>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072"/>
      <c r="AM74" s="31"/>
      <c r="AN74" s="366"/>
      <c r="AO74" s="13">
        <v>32</v>
      </c>
      <c r="AP74" s="81"/>
      <c r="AQ74" s="82"/>
    </row>
    <row r="75" spans="1:43" s="83" customFormat="1" ht="27" hidden="1" thickBot="1" x14ac:dyDescent="0.45">
      <c r="A75" s="943"/>
      <c r="B75" s="367" t="s">
        <v>1194</v>
      </c>
      <c r="C75" s="580" t="s">
        <v>1025</v>
      </c>
      <c r="D75" s="135"/>
      <c r="E75" s="78"/>
      <c r="F75" s="78"/>
      <c r="G75" s="78"/>
      <c r="H75" s="78"/>
      <c r="I75" s="78"/>
      <c r="J75" s="78"/>
      <c r="K75" s="381"/>
      <c r="L75" s="141"/>
      <c r="M75" s="141"/>
      <c r="N75" s="141"/>
      <c r="O75" s="141"/>
      <c r="P75" s="141"/>
      <c r="Q75" s="141"/>
      <c r="R75" s="141"/>
      <c r="S75" s="141"/>
      <c r="T75" s="141"/>
      <c r="U75" s="141"/>
      <c r="V75" s="141"/>
      <c r="W75" s="141"/>
      <c r="X75" s="141"/>
      <c r="Y75" s="141"/>
      <c r="Z75" s="141"/>
      <c r="AA75" s="141"/>
      <c r="AB75" s="386"/>
      <c r="AC75" s="356"/>
      <c r="AD75" s="356"/>
      <c r="AE75" s="356"/>
      <c r="AF75" s="356"/>
      <c r="AG75" s="356"/>
      <c r="AH75" s="356"/>
      <c r="AI75" s="313"/>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072"/>
      <c r="AM75" s="31"/>
      <c r="AN75" s="366"/>
      <c r="AO75" s="13">
        <v>33</v>
      </c>
      <c r="AP75" s="81"/>
      <c r="AQ75" s="82"/>
    </row>
    <row r="76" spans="1:43" s="83" customFormat="1" ht="25.5" hidden="1" customHeight="1" x14ac:dyDescent="0.4">
      <c r="A76" s="943"/>
      <c r="B76" s="1" t="s">
        <v>1195</v>
      </c>
      <c r="C76" s="580" t="s">
        <v>1239</v>
      </c>
      <c r="D76" s="135"/>
      <c r="E76" s="78"/>
      <c r="F76" s="78"/>
      <c r="G76" s="78"/>
      <c r="H76" s="78"/>
      <c r="I76" s="78"/>
      <c r="J76" s="78"/>
      <c r="K76" s="381"/>
      <c r="L76" s="236"/>
      <c r="M76" s="236"/>
      <c r="N76" s="236"/>
      <c r="O76" s="236"/>
      <c r="P76" s="236"/>
      <c r="Q76" s="236"/>
      <c r="R76" s="236"/>
      <c r="S76" s="236"/>
      <c r="T76" s="236"/>
      <c r="U76" s="236"/>
      <c r="V76" s="236"/>
      <c r="W76" s="236"/>
      <c r="X76" s="236"/>
      <c r="Y76" s="236"/>
      <c r="Z76" s="236"/>
      <c r="AA76" s="236"/>
      <c r="AB76" s="386"/>
      <c r="AC76" s="356"/>
      <c r="AD76" s="356"/>
      <c r="AE76" s="356"/>
      <c r="AF76" s="356"/>
      <c r="AG76" s="356"/>
      <c r="AH76" s="356"/>
      <c r="AI76" s="313"/>
      <c r="AJ76" s="184"/>
      <c r="AK76" s="30"/>
      <c r="AL76" s="1072"/>
      <c r="AM76" s="31"/>
      <c r="AN76" s="366"/>
      <c r="AO76" s="13"/>
      <c r="AP76" s="81"/>
      <c r="AQ76" s="82"/>
    </row>
    <row r="77" spans="1:43" s="83" customFormat="1" ht="27" hidden="1" thickBot="1" x14ac:dyDescent="0.45">
      <c r="A77" s="944"/>
      <c r="B77" s="367" t="s">
        <v>1196</v>
      </c>
      <c r="C77" s="582" t="s">
        <v>1240</v>
      </c>
      <c r="D77" s="119"/>
      <c r="E77" s="102"/>
      <c r="F77" s="102"/>
      <c r="G77" s="102"/>
      <c r="H77" s="102"/>
      <c r="I77" s="102"/>
      <c r="J77" s="102"/>
      <c r="K77" s="375"/>
      <c r="L77" s="249"/>
      <c r="M77" s="249"/>
      <c r="N77" s="249"/>
      <c r="O77" s="249"/>
      <c r="P77" s="249"/>
      <c r="Q77" s="249"/>
      <c r="R77" s="249"/>
      <c r="S77" s="249"/>
      <c r="T77" s="249"/>
      <c r="U77" s="249"/>
      <c r="V77" s="249"/>
      <c r="W77" s="249"/>
      <c r="X77" s="249"/>
      <c r="Y77" s="249"/>
      <c r="Z77" s="249"/>
      <c r="AA77" s="249"/>
      <c r="AB77" s="386"/>
      <c r="AC77" s="356"/>
      <c r="AD77" s="356"/>
      <c r="AE77" s="356"/>
      <c r="AF77" s="356"/>
      <c r="AG77" s="356"/>
      <c r="AH77" s="356"/>
      <c r="AI77" s="313"/>
      <c r="AJ77" s="184"/>
      <c r="AK77" s="30"/>
      <c r="AL77" s="1072"/>
      <c r="AM77" s="31"/>
      <c r="AN77" s="366"/>
      <c r="AO77" s="13"/>
      <c r="AP77" s="81"/>
      <c r="AQ77" s="82"/>
    </row>
    <row r="78" spans="1:43" s="83" customFormat="1" ht="25.5" hidden="1" customHeight="1" x14ac:dyDescent="0.4">
      <c r="A78" s="930" t="s">
        <v>1035</v>
      </c>
      <c r="B78" s="1" t="s">
        <v>1193</v>
      </c>
      <c r="C78" s="579" t="s">
        <v>1026</v>
      </c>
      <c r="D78" s="134"/>
      <c r="E78" s="99"/>
      <c r="F78" s="99"/>
      <c r="G78" s="99"/>
      <c r="H78" s="99"/>
      <c r="I78" s="99"/>
      <c r="J78" s="99"/>
      <c r="K78" s="374"/>
      <c r="L78" s="98"/>
      <c r="M78" s="236"/>
      <c r="N78" s="99"/>
      <c r="O78" s="236"/>
      <c r="P78" s="99"/>
      <c r="Q78" s="236"/>
      <c r="R78" s="99"/>
      <c r="S78" s="236"/>
      <c r="T78" s="99"/>
      <c r="U78" s="236"/>
      <c r="V78" s="99"/>
      <c r="W78" s="236"/>
      <c r="X78" s="99"/>
      <c r="Y78" s="236"/>
      <c r="Z78" s="99"/>
      <c r="AA78" s="508"/>
      <c r="AB78" s="386"/>
      <c r="AC78" s="356"/>
      <c r="AD78" s="356"/>
      <c r="AE78" s="356"/>
      <c r="AF78" s="356"/>
      <c r="AG78" s="356"/>
      <c r="AH78" s="356"/>
      <c r="AI78" s="313"/>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072"/>
      <c r="AM78" s="31"/>
      <c r="AN78" s="366"/>
      <c r="AO78" s="13">
        <v>32</v>
      </c>
      <c r="AP78" s="81"/>
      <c r="AQ78" s="82"/>
    </row>
    <row r="79" spans="1:43" s="83" customFormat="1" ht="27" hidden="1" thickBot="1" x14ac:dyDescent="0.45">
      <c r="A79" s="931"/>
      <c r="B79" s="367" t="s">
        <v>1194</v>
      </c>
      <c r="C79" s="580" t="s">
        <v>1027</v>
      </c>
      <c r="D79" s="135"/>
      <c r="E79" s="78"/>
      <c r="F79" s="78"/>
      <c r="G79" s="78"/>
      <c r="H79" s="78"/>
      <c r="I79" s="78"/>
      <c r="J79" s="78"/>
      <c r="K79" s="381"/>
      <c r="L79" s="77"/>
      <c r="M79" s="141"/>
      <c r="N79" s="78"/>
      <c r="O79" s="141"/>
      <c r="P79" s="78"/>
      <c r="Q79" s="141"/>
      <c r="R79" s="78"/>
      <c r="S79" s="141"/>
      <c r="T79" s="78"/>
      <c r="U79" s="141"/>
      <c r="V79" s="78"/>
      <c r="W79" s="141"/>
      <c r="X79" s="78"/>
      <c r="Y79" s="141"/>
      <c r="Z79" s="78"/>
      <c r="AA79" s="509"/>
      <c r="AB79" s="386"/>
      <c r="AC79" s="356"/>
      <c r="AD79" s="356"/>
      <c r="AE79" s="356"/>
      <c r="AF79" s="356"/>
      <c r="AG79" s="356"/>
      <c r="AH79" s="356"/>
      <c r="AI79" s="313"/>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072"/>
      <c r="AM79" s="31"/>
      <c r="AN79" s="366"/>
      <c r="AO79" s="13">
        <v>33</v>
      </c>
      <c r="AP79" s="81"/>
      <c r="AQ79" s="82"/>
    </row>
    <row r="80" spans="1:43" s="83" customFormat="1" ht="26.25" hidden="1" x14ac:dyDescent="0.4">
      <c r="A80" s="931"/>
      <c r="B80" s="1" t="s">
        <v>1195</v>
      </c>
      <c r="C80" s="580" t="s">
        <v>1201</v>
      </c>
      <c r="D80" s="135"/>
      <c r="E80" s="78"/>
      <c r="F80" s="78"/>
      <c r="G80" s="78"/>
      <c r="H80" s="78"/>
      <c r="I80" s="78"/>
      <c r="J80" s="78"/>
      <c r="K80" s="381"/>
      <c r="L80" s="77"/>
      <c r="M80" s="236"/>
      <c r="N80" s="78"/>
      <c r="O80" s="236"/>
      <c r="P80" s="78"/>
      <c r="Q80" s="236"/>
      <c r="R80" s="78"/>
      <c r="S80" s="236"/>
      <c r="T80" s="78"/>
      <c r="U80" s="236"/>
      <c r="V80" s="78"/>
      <c r="W80" s="236"/>
      <c r="X80" s="78"/>
      <c r="Y80" s="236"/>
      <c r="Z80" s="78"/>
      <c r="AA80" s="508"/>
      <c r="AB80" s="386"/>
      <c r="AC80" s="356"/>
      <c r="AD80" s="356"/>
      <c r="AE80" s="356"/>
      <c r="AF80" s="356"/>
      <c r="AG80" s="356"/>
      <c r="AH80" s="356"/>
      <c r="AI80" s="313"/>
      <c r="AJ80" s="184"/>
      <c r="AK80" s="30"/>
      <c r="AL80" s="1072"/>
      <c r="AM80" s="31"/>
      <c r="AN80" s="366"/>
      <c r="AO80" s="13"/>
      <c r="AP80" s="81"/>
      <c r="AQ80" s="82"/>
    </row>
    <row r="81" spans="1:43" s="83" customFormat="1" ht="27" hidden="1" thickBot="1" x14ac:dyDescent="0.45">
      <c r="A81" s="932"/>
      <c r="B81" s="367" t="s">
        <v>1196</v>
      </c>
      <c r="C81" s="582" t="s">
        <v>1202</v>
      </c>
      <c r="D81" s="119"/>
      <c r="E81" s="102"/>
      <c r="F81" s="102"/>
      <c r="G81" s="102"/>
      <c r="H81" s="102"/>
      <c r="I81" s="102"/>
      <c r="J81" s="102"/>
      <c r="K81" s="375"/>
      <c r="L81" s="103"/>
      <c r="M81" s="141"/>
      <c r="N81" s="102"/>
      <c r="O81" s="141"/>
      <c r="P81" s="102"/>
      <c r="Q81" s="141"/>
      <c r="R81" s="102"/>
      <c r="S81" s="141"/>
      <c r="T81" s="102"/>
      <c r="U81" s="141"/>
      <c r="V81" s="102"/>
      <c r="W81" s="141"/>
      <c r="X81" s="102"/>
      <c r="Y81" s="141"/>
      <c r="Z81" s="102"/>
      <c r="AA81" s="509"/>
      <c r="AB81" s="386"/>
      <c r="AC81" s="356"/>
      <c r="AD81" s="356"/>
      <c r="AE81" s="356"/>
      <c r="AF81" s="356"/>
      <c r="AG81" s="356"/>
      <c r="AH81" s="356"/>
      <c r="AI81" s="313"/>
      <c r="AJ81" s="184"/>
      <c r="AK81" s="30"/>
      <c r="AL81" s="1072"/>
      <c r="AM81" s="31"/>
      <c r="AN81" s="366"/>
      <c r="AO81" s="13"/>
      <c r="AP81" s="81"/>
      <c r="AQ81" s="82"/>
    </row>
    <row r="82" spans="1:43" s="83" customFormat="1" ht="25.5" hidden="1" customHeight="1" x14ac:dyDescent="0.4">
      <c r="A82" s="930" t="s">
        <v>1043</v>
      </c>
      <c r="B82" s="1" t="s">
        <v>1193</v>
      </c>
      <c r="C82" s="583" t="s">
        <v>1028</v>
      </c>
      <c r="D82" s="506"/>
      <c r="E82" s="71"/>
      <c r="F82" s="71"/>
      <c r="G82" s="71"/>
      <c r="H82" s="71"/>
      <c r="I82" s="71"/>
      <c r="J82" s="71"/>
      <c r="K82" s="507"/>
      <c r="L82" s="98"/>
      <c r="M82" s="236"/>
      <c r="N82" s="99"/>
      <c r="O82" s="236"/>
      <c r="P82" s="99"/>
      <c r="Q82" s="236"/>
      <c r="R82" s="99"/>
      <c r="S82" s="236"/>
      <c r="T82" s="99"/>
      <c r="U82" s="236"/>
      <c r="V82" s="99"/>
      <c r="W82" s="236"/>
      <c r="X82" s="99"/>
      <c r="Y82" s="236"/>
      <c r="Z82" s="99"/>
      <c r="AA82" s="508"/>
      <c r="AB82" s="386"/>
      <c r="AC82" s="356"/>
      <c r="AD82" s="356"/>
      <c r="AE82" s="356"/>
      <c r="AF82" s="356"/>
      <c r="AG82" s="356"/>
      <c r="AH82" s="356"/>
      <c r="AI82" s="313"/>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072"/>
      <c r="AM82" s="31"/>
      <c r="AN82" s="366"/>
      <c r="AO82" s="13">
        <v>32</v>
      </c>
      <c r="AP82" s="81"/>
      <c r="AQ82" s="82"/>
    </row>
    <row r="83" spans="1:43" s="83" customFormat="1" ht="27" hidden="1" thickBot="1" x14ac:dyDescent="0.45">
      <c r="A83" s="931"/>
      <c r="B83" s="367" t="s">
        <v>1194</v>
      </c>
      <c r="C83" s="580" t="s">
        <v>1029</v>
      </c>
      <c r="D83" s="135"/>
      <c r="E83" s="78"/>
      <c r="F83" s="78"/>
      <c r="G83" s="78"/>
      <c r="H83" s="78"/>
      <c r="I83" s="78"/>
      <c r="J83" s="78"/>
      <c r="K83" s="381"/>
      <c r="L83" s="77"/>
      <c r="M83" s="141"/>
      <c r="N83" s="78"/>
      <c r="O83" s="141"/>
      <c r="P83" s="78"/>
      <c r="Q83" s="141"/>
      <c r="R83" s="78"/>
      <c r="S83" s="141"/>
      <c r="T83" s="78"/>
      <c r="U83" s="141"/>
      <c r="V83" s="78"/>
      <c r="W83" s="141"/>
      <c r="X83" s="78"/>
      <c r="Y83" s="141"/>
      <c r="Z83" s="78"/>
      <c r="AA83" s="509"/>
      <c r="AB83" s="386"/>
      <c r="AC83" s="356"/>
      <c r="AD83" s="356"/>
      <c r="AE83" s="356"/>
      <c r="AF83" s="356"/>
      <c r="AG83" s="356"/>
      <c r="AH83" s="356"/>
      <c r="AI83" s="313"/>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072"/>
      <c r="AM83" s="31"/>
      <c r="AN83" s="366"/>
      <c r="AO83" s="13">
        <v>33</v>
      </c>
      <c r="AP83" s="81"/>
      <c r="AQ83" s="82"/>
    </row>
    <row r="84" spans="1:43" s="83" customFormat="1" ht="26.25" hidden="1" x14ac:dyDescent="0.4">
      <c r="A84" s="931"/>
      <c r="B84" s="1" t="s">
        <v>1195</v>
      </c>
      <c r="C84" s="580" t="s">
        <v>1203</v>
      </c>
      <c r="D84" s="135"/>
      <c r="E84" s="78"/>
      <c r="F84" s="78"/>
      <c r="G84" s="78"/>
      <c r="H84" s="78"/>
      <c r="I84" s="78"/>
      <c r="J84" s="78"/>
      <c r="K84" s="381"/>
      <c r="L84" s="77"/>
      <c r="M84" s="236"/>
      <c r="N84" s="78"/>
      <c r="O84" s="236"/>
      <c r="P84" s="78"/>
      <c r="Q84" s="236"/>
      <c r="R84" s="78"/>
      <c r="S84" s="236"/>
      <c r="T84" s="78"/>
      <c r="U84" s="236"/>
      <c r="V84" s="78"/>
      <c r="W84" s="236"/>
      <c r="X84" s="78"/>
      <c r="Y84" s="236"/>
      <c r="Z84" s="78"/>
      <c r="AA84" s="508"/>
      <c r="AB84" s="386"/>
      <c r="AC84" s="356"/>
      <c r="AD84" s="356"/>
      <c r="AE84" s="356"/>
      <c r="AF84" s="356"/>
      <c r="AG84" s="356"/>
      <c r="AH84" s="356"/>
      <c r="AI84" s="313"/>
      <c r="AJ84" s="184"/>
      <c r="AK84" s="30"/>
      <c r="AL84" s="1072"/>
      <c r="AM84" s="31"/>
      <c r="AN84" s="366"/>
      <c r="AO84" s="13"/>
      <c r="AP84" s="81"/>
      <c r="AQ84" s="82"/>
    </row>
    <row r="85" spans="1:43" s="83" customFormat="1" ht="27" hidden="1" thickBot="1" x14ac:dyDescent="0.45">
      <c r="A85" s="932"/>
      <c r="B85" s="367" t="s">
        <v>1196</v>
      </c>
      <c r="C85" s="580" t="s">
        <v>1204</v>
      </c>
      <c r="D85" s="505"/>
      <c r="E85" s="120"/>
      <c r="F85" s="120"/>
      <c r="G85" s="120"/>
      <c r="H85" s="120"/>
      <c r="I85" s="120"/>
      <c r="J85" s="120"/>
      <c r="K85" s="405"/>
      <c r="L85" s="103"/>
      <c r="M85" s="141"/>
      <c r="N85" s="102"/>
      <c r="O85" s="141"/>
      <c r="P85" s="102"/>
      <c r="Q85" s="141"/>
      <c r="R85" s="102"/>
      <c r="S85" s="141"/>
      <c r="T85" s="102"/>
      <c r="U85" s="141"/>
      <c r="V85" s="102"/>
      <c r="W85" s="141"/>
      <c r="X85" s="102"/>
      <c r="Y85" s="141"/>
      <c r="Z85" s="102"/>
      <c r="AA85" s="509"/>
      <c r="AB85" s="386"/>
      <c r="AC85" s="356"/>
      <c r="AD85" s="356"/>
      <c r="AE85" s="356"/>
      <c r="AF85" s="356"/>
      <c r="AG85" s="356"/>
      <c r="AH85" s="356"/>
      <c r="AI85" s="313"/>
      <c r="AJ85" s="184"/>
      <c r="AK85" s="30"/>
      <c r="AL85" s="1072"/>
      <c r="AM85" s="31"/>
      <c r="AN85" s="366"/>
      <c r="AO85" s="13"/>
      <c r="AP85" s="81"/>
      <c r="AQ85" s="82"/>
    </row>
    <row r="86" spans="1:43" s="83" customFormat="1" ht="25.5" hidden="1" customHeight="1" x14ac:dyDescent="0.4">
      <c r="A86" s="930" t="s">
        <v>1036</v>
      </c>
      <c r="B86" s="1" t="s">
        <v>1193</v>
      </c>
      <c r="C86" s="580" t="s">
        <v>1030</v>
      </c>
      <c r="D86" s="134"/>
      <c r="E86" s="99"/>
      <c r="F86" s="99"/>
      <c r="G86" s="99"/>
      <c r="H86" s="99"/>
      <c r="I86" s="99"/>
      <c r="J86" s="99"/>
      <c r="K86" s="374"/>
      <c r="L86" s="236"/>
      <c r="M86" s="236"/>
      <c r="N86" s="236"/>
      <c r="O86" s="236"/>
      <c r="P86" s="236"/>
      <c r="Q86" s="236"/>
      <c r="R86" s="236"/>
      <c r="S86" s="236"/>
      <c r="T86" s="236"/>
      <c r="U86" s="236"/>
      <c r="V86" s="236"/>
      <c r="W86" s="236"/>
      <c r="X86" s="236"/>
      <c r="Y86" s="236"/>
      <c r="Z86" s="236"/>
      <c r="AA86" s="236"/>
      <c r="AB86" s="386"/>
      <c r="AC86" s="356"/>
      <c r="AD86" s="356"/>
      <c r="AE86" s="356"/>
      <c r="AF86" s="356"/>
      <c r="AG86" s="356"/>
      <c r="AH86" s="356"/>
      <c r="AI86" s="313"/>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072"/>
      <c r="AM86" s="31"/>
      <c r="AN86" s="366"/>
      <c r="AO86" s="13">
        <v>32</v>
      </c>
      <c r="AP86" s="81"/>
      <c r="AQ86" s="82"/>
    </row>
    <row r="87" spans="1:43" s="83" customFormat="1" ht="27" hidden="1" thickBot="1" x14ac:dyDescent="0.45">
      <c r="A87" s="931"/>
      <c r="B87" s="367" t="s">
        <v>1194</v>
      </c>
      <c r="C87" s="580" t="s">
        <v>1031</v>
      </c>
      <c r="D87" s="135"/>
      <c r="E87" s="78"/>
      <c r="F87" s="78"/>
      <c r="G87" s="78"/>
      <c r="H87" s="78"/>
      <c r="I87" s="78"/>
      <c r="J87" s="78"/>
      <c r="K87" s="381"/>
      <c r="L87" s="141"/>
      <c r="M87" s="141"/>
      <c r="N87" s="141"/>
      <c r="O87" s="141"/>
      <c r="P87" s="141"/>
      <c r="Q87" s="141"/>
      <c r="R87" s="141"/>
      <c r="S87" s="141"/>
      <c r="T87" s="141"/>
      <c r="U87" s="141"/>
      <c r="V87" s="141"/>
      <c r="W87" s="141"/>
      <c r="X87" s="141"/>
      <c r="Y87" s="141"/>
      <c r="Z87" s="141"/>
      <c r="AA87" s="141"/>
      <c r="AB87" s="386"/>
      <c r="AC87" s="356"/>
      <c r="AD87" s="356"/>
      <c r="AE87" s="356"/>
      <c r="AF87" s="356"/>
      <c r="AG87" s="356"/>
      <c r="AH87" s="356"/>
      <c r="AI87" s="313"/>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072"/>
      <c r="AM87" s="31"/>
      <c r="AN87" s="366"/>
      <c r="AO87" s="13">
        <v>33</v>
      </c>
      <c r="AP87" s="81"/>
      <c r="AQ87" s="82"/>
    </row>
    <row r="88" spans="1:43" s="83" customFormat="1" ht="26.25" hidden="1" x14ac:dyDescent="0.4">
      <c r="A88" s="931"/>
      <c r="B88" s="1" t="s">
        <v>1195</v>
      </c>
      <c r="C88" s="580" t="s">
        <v>1205</v>
      </c>
      <c r="D88" s="135"/>
      <c r="E88" s="78"/>
      <c r="F88" s="78"/>
      <c r="G88" s="78"/>
      <c r="H88" s="78"/>
      <c r="I88" s="78"/>
      <c r="J88" s="78"/>
      <c r="K88" s="381"/>
      <c r="L88" s="236"/>
      <c r="M88" s="236"/>
      <c r="N88" s="236"/>
      <c r="O88" s="236"/>
      <c r="P88" s="236"/>
      <c r="Q88" s="236"/>
      <c r="R88" s="236"/>
      <c r="S88" s="236"/>
      <c r="T88" s="236"/>
      <c r="U88" s="236"/>
      <c r="V88" s="236"/>
      <c r="W88" s="236"/>
      <c r="X88" s="236"/>
      <c r="Y88" s="236"/>
      <c r="Z88" s="236"/>
      <c r="AA88" s="236"/>
      <c r="AB88" s="386"/>
      <c r="AC88" s="356"/>
      <c r="AD88" s="356"/>
      <c r="AE88" s="356"/>
      <c r="AF88" s="356"/>
      <c r="AG88" s="356"/>
      <c r="AH88" s="356"/>
      <c r="AI88" s="313"/>
      <c r="AJ88" s="184"/>
      <c r="AK88" s="30"/>
      <c r="AL88" s="1072"/>
      <c r="AM88" s="31"/>
      <c r="AN88" s="366"/>
      <c r="AO88" s="13"/>
      <c r="AP88" s="81"/>
      <c r="AQ88" s="82"/>
    </row>
    <row r="89" spans="1:43" s="83" customFormat="1" ht="27" hidden="1" thickBot="1" x14ac:dyDescent="0.45">
      <c r="A89" s="932"/>
      <c r="B89" s="367" t="s">
        <v>1196</v>
      </c>
      <c r="C89" s="580" t="s">
        <v>1206</v>
      </c>
      <c r="D89" s="119"/>
      <c r="E89" s="102"/>
      <c r="F89" s="102"/>
      <c r="G89" s="102"/>
      <c r="H89" s="102"/>
      <c r="I89" s="102"/>
      <c r="J89" s="102"/>
      <c r="K89" s="375"/>
      <c r="L89" s="249"/>
      <c r="M89" s="249"/>
      <c r="N89" s="249"/>
      <c r="O89" s="249"/>
      <c r="P89" s="249"/>
      <c r="Q89" s="249"/>
      <c r="R89" s="249"/>
      <c r="S89" s="249"/>
      <c r="T89" s="249"/>
      <c r="U89" s="249"/>
      <c r="V89" s="249"/>
      <c r="W89" s="249"/>
      <c r="X89" s="249"/>
      <c r="Y89" s="249"/>
      <c r="Z89" s="249"/>
      <c r="AA89" s="249"/>
      <c r="AB89" s="386"/>
      <c r="AC89" s="356"/>
      <c r="AD89" s="356"/>
      <c r="AE89" s="356"/>
      <c r="AF89" s="356"/>
      <c r="AG89" s="356"/>
      <c r="AH89" s="356"/>
      <c r="AI89" s="313"/>
      <c r="AJ89" s="184"/>
      <c r="AK89" s="30"/>
      <c r="AL89" s="1072"/>
      <c r="AM89" s="31"/>
      <c r="AN89" s="366"/>
      <c r="AO89" s="13"/>
      <c r="AP89" s="81"/>
      <c r="AQ89" s="82"/>
    </row>
    <row r="90" spans="1:43" s="83" customFormat="1" ht="25.5" hidden="1" customHeight="1" x14ac:dyDescent="0.4">
      <c r="A90" s="930" t="s">
        <v>1037</v>
      </c>
      <c r="B90" s="1" t="s">
        <v>1193</v>
      </c>
      <c r="C90" s="580" t="s">
        <v>1044</v>
      </c>
      <c r="D90" s="134"/>
      <c r="E90" s="99"/>
      <c r="F90" s="99"/>
      <c r="G90" s="99"/>
      <c r="H90" s="99"/>
      <c r="I90" s="99"/>
      <c r="J90" s="99"/>
      <c r="K90" s="374"/>
      <c r="L90" s="236"/>
      <c r="M90" s="236"/>
      <c r="N90" s="236"/>
      <c r="O90" s="236"/>
      <c r="P90" s="236"/>
      <c r="Q90" s="236"/>
      <c r="R90" s="236"/>
      <c r="S90" s="236"/>
      <c r="T90" s="236"/>
      <c r="U90" s="236"/>
      <c r="V90" s="236"/>
      <c r="W90" s="236"/>
      <c r="X90" s="236"/>
      <c r="Y90" s="236"/>
      <c r="Z90" s="236"/>
      <c r="AA90" s="236"/>
      <c r="AB90" s="386"/>
      <c r="AC90" s="356"/>
      <c r="AD90" s="356"/>
      <c r="AE90" s="356"/>
      <c r="AF90" s="356"/>
      <c r="AG90" s="356"/>
      <c r="AH90" s="356"/>
      <c r="AI90" s="313"/>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072"/>
      <c r="AM90" s="31"/>
      <c r="AN90" s="366"/>
      <c r="AO90" s="13">
        <v>32</v>
      </c>
      <c r="AP90" s="81"/>
      <c r="AQ90" s="82"/>
    </row>
    <row r="91" spans="1:43" s="83" customFormat="1" ht="27" hidden="1" thickBot="1" x14ac:dyDescent="0.45">
      <c r="A91" s="931"/>
      <c r="B91" s="367" t="s">
        <v>1194</v>
      </c>
      <c r="C91" s="582" t="s">
        <v>1045</v>
      </c>
      <c r="D91" s="135"/>
      <c r="E91" s="78"/>
      <c r="F91" s="78"/>
      <c r="G91" s="78"/>
      <c r="H91" s="78"/>
      <c r="I91" s="78"/>
      <c r="J91" s="78"/>
      <c r="K91" s="381"/>
      <c r="L91" s="141"/>
      <c r="M91" s="141"/>
      <c r="N91" s="141"/>
      <c r="O91" s="141"/>
      <c r="P91" s="141"/>
      <c r="Q91" s="141"/>
      <c r="R91" s="141"/>
      <c r="S91" s="141"/>
      <c r="T91" s="141"/>
      <c r="U91" s="141"/>
      <c r="V91" s="141"/>
      <c r="W91" s="141"/>
      <c r="X91" s="141"/>
      <c r="Y91" s="141"/>
      <c r="Z91" s="141"/>
      <c r="AA91" s="141"/>
      <c r="AB91" s="386"/>
      <c r="AC91" s="356"/>
      <c r="AD91" s="356"/>
      <c r="AE91" s="356"/>
      <c r="AF91" s="356"/>
      <c r="AG91" s="356"/>
      <c r="AH91" s="356"/>
      <c r="AI91" s="313"/>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072"/>
      <c r="AM91" s="31"/>
      <c r="AN91" s="366"/>
      <c r="AO91" s="13">
        <v>33</v>
      </c>
      <c r="AP91" s="81"/>
      <c r="AQ91" s="82"/>
    </row>
    <row r="92" spans="1:43" s="83" customFormat="1" ht="26.25" hidden="1" x14ac:dyDescent="0.4">
      <c r="A92" s="931"/>
      <c r="B92" s="1" t="s">
        <v>1195</v>
      </c>
      <c r="C92" s="580" t="s">
        <v>1207</v>
      </c>
      <c r="D92" s="135"/>
      <c r="E92" s="78"/>
      <c r="F92" s="78"/>
      <c r="G92" s="78"/>
      <c r="H92" s="78"/>
      <c r="I92" s="78"/>
      <c r="J92" s="78"/>
      <c r="K92" s="381"/>
      <c r="L92" s="236"/>
      <c r="M92" s="236"/>
      <c r="N92" s="236"/>
      <c r="O92" s="236"/>
      <c r="P92" s="236"/>
      <c r="Q92" s="236"/>
      <c r="R92" s="236"/>
      <c r="S92" s="236"/>
      <c r="T92" s="236"/>
      <c r="U92" s="236"/>
      <c r="V92" s="236"/>
      <c r="W92" s="236"/>
      <c r="X92" s="236"/>
      <c r="Y92" s="236"/>
      <c r="Z92" s="236"/>
      <c r="AA92" s="236"/>
      <c r="AB92" s="386"/>
      <c r="AC92" s="356"/>
      <c r="AD92" s="356"/>
      <c r="AE92" s="356"/>
      <c r="AF92" s="356"/>
      <c r="AG92" s="356"/>
      <c r="AH92" s="356"/>
      <c r="AI92" s="313"/>
      <c r="AJ92" s="184"/>
      <c r="AK92" s="30"/>
      <c r="AL92" s="1072"/>
      <c r="AM92" s="31"/>
      <c r="AN92" s="366"/>
      <c r="AO92" s="13"/>
      <c r="AP92" s="81"/>
      <c r="AQ92" s="82"/>
    </row>
    <row r="93" spans="1:43" s="83" customFormat="1" ht="27" hidden="1" thickBot="1" x14ac:dyDescent="0.45">
      <c r="A93" s="932"/>
      <c r="B93" s="367" t="s">
        <v>1196</v>
      </c>
      <c r="C93" s="582" t="s">
        <v>1208</v>
      </c>
      <c r="D93" s="119"/>
      <c r="E93" s="102"/>
      <c r="F93" s="102"/>
      <c r="G93" s="102"/>
      <c r="H93" s="102"/>
      <c r="I93" s="102"/>
      <c r="J93" s="102"/>
      <c r="K93" s="375"/>
      <c r="L93" s="249"/>
      <c r="M93" s="249"/>
      <c r="N93" s="249"/>
      <c r="O93" s="249"/>
      <c r="P93" s="249"/>
      <c r="Q93" s="249"/>
      <c r="R93" s="249"/>
      <c r="S93" s="249"/>
      <c r="T93" s="249"/>
      <c r="U93" s="249"/>
      <c r="V93" s="249"/>
      <c r="W93" s="249"/>
      <c r="X93" s="249"/>
      <c r="Y93" s="249"/>
      <c r="Z93" s="249"/>
      <c r="AA93" s="249"/>
      <c r="AB93" s="386"/>
      <c r="AC93" s="356"/>
      <c r="AD93" s="356"/>
      <c r="AE93" s="356"/>
      <c r="AF93" s="356"/>
      <c r="AG93" s="356"/>
      <c r="AH93" s="356"/>
      <c r="AI93" s="313"/>
      <c r="AJ93" s="184"/>
      <c r="AK93" s="30"/>
      <c r="AL93" s="1072"/>
      <c r="AM93" s="31"/>
      <c r="AN93" s="366"/>
      <c r="AO93" s="13"/>
      <c r="AP93" s="81"/>
      <c r="AQ93" s="82"/>
    </row>
    <row r="94" spans="1:43" s="83" customFormat="1" ht="25.5" hidden="1" customHeight="1" x14ac:dyDescent="0.4">
      <c r="A94" s="930" t="s">
        <v>1038</v>
      </c>
      <c r="B94" s="1" t="s">
        <v>1193</v>
      </c>
      <c r="C94" s="580" t="s">
        <v>1046</v>
      </c>
      <c r="D94" s="134"/>
      <c r="E94" s="99"/>
      <c r="F94" s="99"/>
      <c r="G94" s="99"/>
      <c r="H94" s="99"/>
      <c r="I94" s="99"/>
      <c r="J94" s="99"/>
      <c r="K94" s="374"/>
      <c r="L94" s="236"/>
      <c r="M94" s="236"/>
      <c r="N94" s="236"/>
      <c r="O94" s="236"/>
      <c r="P94" s="236"/>
      <c r="Q94" s="236"/>
      <c r="R94" s="236"/>
      <c r="S94" s="236"/>
      <c r="T94" s="236"/>
      <c r="U94" s="236"/>
      <c r="V94" s="236"/>
      <c r="W94" s="236"/>
      <c r="X94" s="236"/>
      <c r="Y94" s="236"/>
      <c r="Z94" s="236"/>
      <c r="AA94" s="236"/>
      <c r="AB94" s="386"/>
      <c r="AC94" s="356"/>
      <c r="AD94" s="356"/>
      <c r="AE94" s="356"/>
      <c r="AF94" s="356"/>
      <c r="AG94" s="356"/>
      <c r="AH94" s="356"/>
      <c r="AI94" s="313"/>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072"/>
      <c r="AM94" s="31"/>
      <c r="AN94" s="366"/>
      <c r="AO94" s="13">
        <v>32</v>
      </c>
      <c r="AP94" s="81"/>
      <c r="AQ94" s="82"/>
    </row>
    <row r="95" spans="1:43" s="83" customFormat="1" ht="27" hidden="1" thickBot="1" x14ac:dyDescent="0.45">
      <c r="A95" s="931"/>
      <c r="B95" s="367" t="s">
        <v>1194</v>
      </c>
      <c r="C95" s="582" t="s">
        <v>1047</v>
      </c>
      <c r="D95" s="135"/>
      <c r="E95" s="78"/>
      <c r="F95" s="78"/>
      <c r="G95" s="78"/>
      <c r="H95" s="78"/>
      <c r="I95" s="78"/>
      <c r="J95" s="78"/>
      <c r="K95" s="381"/>
      <c r="L95" s="141"/>
      <c r="M95" s="141"/>
      <c r="N95" s="141"/>
      <c r="O95" s="141"/>
      <c r="P95" s="141"/>
      <c r="Q95" s="141"/>
      <c r="R95" s="141"/>
      <c r="S95" s="141"/>
      <c r="T95" s="141"/>
      <c r="U95" s="141"/>
      <c r="V95" s="141"/>
      <c r="W95" s="141"/>
      <c r="X95" s="141"/>
      <c r="Y95" s="141"/>
      <c r="Z95" s="141"/>
      <c r="AA95" s="141"/>
      <c r="AB95" s="386"/>
      <c r="AC95" s="356"/>
      <c r="AD95" s="356"/>
      <c r="AE95" s="356"/>
      <c r="AF95" s="356"/>
      <c r="AG95" s="356"/>
      <c r="AH95" s="356"/>
      <c r="AI95" s="313"/>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072"/>
      <c r="AM95" s="31"/>
      <c r="AN95" s="366"/>
      <c r="AO95" s="13">
        <v>33</v>
      </c>
      <c r="AP95" s="81"/>
      <c r="AQ95" s="82"/>
    </row>
    <row r="96" spans="1:43" s="83" customFormat="1" ht="26.25" hidden="1" x14ac:dyDescent="0.4">
      <c r="A96" s="931"/>
      <c r="B96" s="1" t="s">
        <v>1195</v>
      </c>
      <c r="C96" s="580" t="s">
        <v>1209</v>
      </c>
      <c r="D96" s="135"/>
      <c r="E96" s="78"/>
      <c r="F96" s="78"/>
      <c r="G96" s="78"/>
      <c r="H96" s="78"/>
      <c r="I96" s="78"/>
      <c r="J96" s="78"/>
      <c r="K96" s="381"/>
      <c r="L96" s="236"/>
      <c r="M96" s="236"/>
      <c r="N96" s="236"/>
      <c r="O96" s="236"/>
      <c r="P96" s="236"/>
      <c r="Q96" s="236"/>
      <c r="R96" s="236"/>
      <c r="S96" s="236"/>
      <c r="T96" s="236"/>
      <c r="U96" s="236"/>
      <c r="V96" s="236"/>
      <c r="W96" s="236"/>
      <c r="X96" s="236"/>
      <c r="Y96" s="236"/>
      <c r="Z96" s="236"/>
      <c r="AA96" s="236"/>
      <c r="AB96" s="386"/>
      <c r="AC96" s="356"/>
      <c r="AD96" s="356"/>
      <c r="AE96" s="356"/>
      <c r="AF96" s="356"/>
      <c r="AG96" s="356"/>
      <c r="AH96" s="356"/>
      <c r="AI96" s="313"/>
      <c r="AJ96" s="184"/>
      <c r="AK96" s="30"/>
      <c r="AL96" s="1072"/>
      <c r="AM96" s="31"/>
      <c r="AN96" s="366"/>
      <c r="AO96" s="13"/>
      <c r="AP96" s="81"/>
      <c r="AQ96" s="82"/>
    </row>
    <row r="97" spans="1:43" s="83" customFormat="1" ht="27" hidden="1" thickBot="1" x14ac:dyDescent="0.45">
      <c r="A97" s="932"/>
      <c r="B97" s="367" t="s">
        <v>1196</v>
      </c>
      <c r="C97" s="582" t="s">
        <v>1210</v>
      </c>
      <c r="D97" s="119"/>
      <c r="E97" s="102"/>
      <c r="F97" s="102"/>
      <c r="G97" s="102"/>
      <c r="H97" s="102"/>
      <c r="I97" s="102"/>
      <c r="J97" s="102"/>
      <c r="K97" s="375"/>
      <c r="L97" s="249"/>
      <c r="M97" s="249"/>
      <c r="N97" s="249"/>
      <c r="O97" s="249"/>
      <c r="P97" s="249"/>
      <c r="Q97" s="249"/>
      <c r="R97" s="249"/>
      <c r="S97" s="249"/>
      <c r="T97" s="249"/>
      <c r="U97" s="249"/>
      <c r="V97" s="249"/>
      <c r="W97" s="249"/>
      <c r="X97" s="249"/>
      <c r="Y97" s="249"/>
      <c r="Z97" s="249"/>
      <c r="AA97" s="249"/>
      <c r="AB97" s="386"/>
      <c r="AC97" s="356"/>
      <c r="AD97" s="356"/>
      <c r="AE97" s="356"/>
      <c r="AF97" s="356"/>
      <c r="AG97" s="356"/>
      <c r="AH97" s="356"/>
      <c r="AI97" s="313"/>
      <c r="AJ97" s="184"/>
      <c r="AK97" s="30"/>
      <c r="AL97" s="1072"/>
      <c r="AM97" s="31"/>
      <c r="AN97" s="366"/>
      <c r="AO97" s="13"/>
      <c r="AP97" s="81"/>
      <c r="AQ97" s="82"/>
    </row>
    <row r="98" spans="1:43" s="83" customFormat="1" ht="25.5" hidden="1" customHeight="1" x14ac:dyDescent="0.4">
      <c r="A98" s="930" t="s">
        <v>1039</v>
      </c>
      <c r="B98" s="1" t="s">
        <v>1193</v>
      </c>
      <c r="C98" s="580" t="s">
        <v>1048</v>
      </c>
      <c r="D98" s="134"/>
      <c r="E98" s="99"/>
      <c r="F98" s="99"/>
      <c r="G98" s="99"/>
      <c r="H98" s="99"/>
      <c r="I98" s="99"/>
      <c r="J98" s="99"/>
      <c r="K98" s="374"/>
      <c r="L98" s="236"/>
      <c r="M98" s="236"/>
      <c r="N98" s="236"/>
      <c r="O98" s="236"/>
      <c r="P98" s="236"/>
      <c r="Q98" s="236"/>
      <c r="R98" s="236"/>
      <c r="S98" s="236"/>
      <c r="T98" s="236"/>
      <c r="U98" s="236"/>
      <c r="V98" s="236"/>
      <c r="W98" s="236"/>
      <c r="X98" s="236"/>
      <c r="Y98" s="236"/>
      <c r="Z98" s="236"/>
      <c r="AA98" s="236"/>
      <c r="AB98" s="386"/>
      <c r="AC98" s="356"/>
      <c r="AD98" s="356"/>
      <c r="AE98" s="356"/>
      <c r="AF98" s="356"/>
      <c r="AG98" s="356"/>
      <c r="AH98" s="356"/>
      <c r="AI98" s="313"/>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072"/>
      <c r="AM98" s="31"/>
      <c r="AN98" s="366"/>
      <c r="AO98" s="13">
        <v>32</v>
      </c>
      <c r="AP98" s="81"/>
      <c r="AQ98" s="82"/>
    </row>
    <row r="99" spans="1:43" s="83" customFormat="1" ht="27" hidden="1" thickBot="1" x14ac:dyDescent="0.45">
      <c r="A99" s="931"/>
      <c r="B99" s="367" t="s">
        <v>1194</v>
      </c>
      <c r="C99" s="582" t="s">
        <v>1049</v>
      </c>
      <c r="D99" s="135"/>
      <c r="E99" s="78"/>
      <c r="F99" s="78"/>
      <c r="G99" s="78"/>
      <c r="H99" s="78"/>
      <c r="I99" s="78"/>
      <c r="J99" s="78"/>
      <c r="K99" s="381"/>
      <c r="L99" s="141"/>
      <c r="M99" s="141"/>
      <c r="N99" s="141"/>
      <c r="O99" s="141"/>
      <c r="P99" s="141"/>
      <c r="Q99" s="141"/>
      <c r="R99" s="141"/>
      <c r="S99" s="141"/>
      <c r="T99" s="141"/>
      <c r="U99" s="141"/>
      <c r="V99" s="141"/>
      <c r="W99" s="141"/>
      <c r="X99" s="141"/>
      <c r="Y99" s="141"/>
      <c r="Z99" s="141"/>
      <c r="AA99" s="141"/>
      <c r="AB99" s="386"/>
      <c r="AC99" s="356"/>
      <c r="AD99" s="356"/>
      <c r="AE99" s="356"/>
      <c r="AF99" s="356"/>
      <c r="AG99" s="356"/>
      <c r="AH99" s="356"/>
      <c r="AI99" s="313"/>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072"/>
      <c r="AM99" s="31"/>
      <c r="AN99" s="366"/>
      <c r="AO99" s="13">
        <v>33</v>
      </c>
      <c r="AP99" s="81"/>
      <c r="AQ99" s="82"/>
    </row>
    <row r="100" spans="1:43" s="83" customFormat="1" ht="26.25" hidden="1" x14ac:dyDescent="0.4">
      <c r="A100" s="931"/>
      <c r="B100" s="1" t="s">
        <v>1195</v>
      </c>
      <c r="C100" s="580" t="s">
        <v>1211</v>
      </c>
      <c r="D100" s="135"/>
      <c r="E100" s="78"/>
      <c r="F100" s="78"/>
      <c r="G100" s="78"/>
      <c r="H100" s="78"/>
      <c r="I100" s="78"/>
      <c r="J100" s="78"/>
      <c r="K100" s="381"/>
      <c r="L100" s="236"/>
      <c r="M100" s="236"/>
      <c r="N100" s="236"/>
      <c r="O100" s="236"/>
      <c r="P100" s="236"/>
      <c r="Q100" s="236"/>
      <c r="R100" s="236"/>
      <c r="S100" s="236"/>
      <c r="T100" s="236"/>
      <c r="U100" s="236"/>
      <c r="V100" s="236"/>
      <c r="W100" s="236"/>
      <c r="X100" s="236"/>
      <c r="Y100" s="236"/>
      <c r="Z100" s="236"/>
      <c r="AA100" s="236"/>
      <c r="AB100" s="386"/>
      <c r="AC100" s="356"/>
      <c r="AD100" s="356"/>
      <c r="AE100" s="356"/>
      <c r="AF100" s="356"/>
      <c r="AG100" s="356"/>
      <c r="AH100" s="356"/>
      <c r="AI100" s="313"/>
      <c r="AJ100" s="184"/>
      <c r="AK100" s="30"/>
      <c r="AL100" s="1072"/>
      <c r="AM100" s="31"/>
      <c r="AN100" s="366"/>
      <c r="AO100" s="13"/>
      <c r="AP100" s="81"/>
      <c r="AQ100" s="82"/>
    </row>
    <row r="101" spans="1:43" s="83" customFormat="1" ht="27" hidden="1" thickBot="1" x14ac:dyDescent="0.45">
      <c r="A101" s="932"/>
      <c r="B101" s="367" t="s">
        <v>1196</v>
      </c>
      <c r="C101" s="582" t="s">
        <v>1212</v>
      </c>
      <c r="D101" s="119"/>
      <c r="E101" s="102"/>
      <c r="F101" s="102"/>
      <c r="G101" s="102"/>
      <c r="H101" s="102"/>
      <c r="I101" s="102"/>
      <c r="J101" s="102"/>
      <c r="K101" s="375"/>
      <c r="L101" s="249"/>
      <c r="M101" s="249"/>
      <c r="N101" s="249"/>
      <c r="O101" s="249"/>
      <c r="P101" s="249"/>
      <c r="Q101" s="249"/>
      <c r="R101" s="249"/>
      <c r="S101" s="249"/>
      <c r="T101" s="249"/>
      <c r="U101" s="249"/>
      <c r="V101" s="249"/>
      <c r="W101" s="249"/>
      <c r="X101" s="249"/>
      <c r="Y101" s="249"/>
      <c r="Z101" s="249"/>
      <c r="AA101" s="249"/>
      <c r="AB101" s="386"/>
      <c r="AC101" s="356"/>
      <c r="AD101" s="356"/>
      <c r="AE101" s="356"/>
      <c r="AF101" s="356"/>
      <c r="AG101" s="356"/>
      <c r="AH101" s="356"/>
      <c r="AI101" s="313"/>
      <c r="AJ101" s="184"/>
      <c r="AK101" s="30"/>
      <c r="AL101" s="1072"/>
      <c r="AM101" s="31"/>
      <c r="AN101" s="366"/>
      <c r="AO101" s="13"/>
      <c r="AP101" s="81"/>
      <c r="AQ101" s="82"/>
    </row>
    <row r="102" spans="1:43" s="83" customFormat="1" ht="25.15" hidden="1" customHeight="1" x14ac:dyDescent="0.4">
      <c r="A102" s="930" t="s">
        <v>1057</v>
      </c>
      <c r="B102" s="1" t="s">
        <v>1193</v>
      </c>
      <c r="C102" s="580" t="s">
        <v>1050</v>
      </c>
      <c r="D102" s="506"/>
      <c r="E102" s="71"/>
      <c r="F102" s="71"/>
      <c r="G102" s="71"/>
      <c r="H102" s="71"/>
      <c r="I102" s="71"/>
      <c r="J102" s="71"/>
      <c r="K102" s="507"/>
      <c r="L102" s="236"/>
      <c r="M102" s="236"/>
      <c r="N102" s="236"/>
      <c r="O102" s="236"/>
      <c r="P102" s="236"/>
      <c r="Q102" s="236"/>
      <c r="R102" s="236"/>
      <c r="S102" s="236"/>
      <c r="T102" s="236"/>
      <c r="U102" s="236"/>
      <c r="V102" s="236"/>
      <c r="W102" s="236"/>
      <c r="X102" s="236"/>
      <c r="Y102" s="236"/>
      <c r="Z102" s="236"/>
      <c r="AA102" s="236"/>
      <c r="AB102" s="386"/>
      <c r="AC102" s="356"/>
      <c r="AD102" s="356"/>
      <c r="AE102" s="356"/>
      <c r="AF102" s="356"/>
      <c r="AG102" s="356"/>
      <c r="AH102" s="356"/>
      <c r="AI102" s="313"/>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072"/>
      <c r="AM102" s="31"/>
      <c r="AN102" s="366"/>
      <c r="AO102" s="13">
        <v>32</v>
      </c>
      <c r="AP102" s="81"/>
      <c r="AQ102" s="82"/>
    </row>
    <row r="103" spans="1:43" s="83" customFormat="1" ht="28.15" hidden="1" customHeight="1" thickBot="1" x14ac:dyDescent="0.45">
      <c r="A103" s="931"/>
      <c r="B103" s="367" t="s">
        <v>1194</v>
      </c>
      <c r="C103" s="582" t="s">
        <v>1051</v>
      </c>
      <c r="D103" s="119"/>
      <c r="E103" s="102"/>
      <c r="F103" s="102"/>
      <c r="G103" s="102"/>
      <c r="H103" s="102"/>
      <c r="I103" s="102"/>
      <c r="J103" s="102"/>
      <c r="K103" s="375"/>
      <c r="L103" s="141"/>
      <c r="M103" s="141"/>
      <c r="N103" s="141"/>
      <c r="O103" s="141"/>
      <c r="P103" s="141"/>
      <c r="Q103" s="141"/>
      <c r="R103" s="141"/>
      <c r="S103" s="141"/>
      <c r="T103" s="141"/>
      <c r="U103" s="141"/>
      <c r="V103" s="141"/>
      <c r="W103" s="141"/>
      <c r="X103" s="141"/>
      <c r="Y103" s="141"/>
      <c r="Z103" s="141"/>
      <c r="AA103" s="141"/>
      <c r="AB103" s="387"/>
      <c r="AC103" s="388"/>
      <c r="AD103" s="388"/>
      <c r="AE103" s="388"/>
      <c r="AF103" s="388"/>
      <c r="AG103" s="388"/>
      <c r="AH103" s="388"/>
      <c r="AI103" s="314"/>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072"/>
      <c r="AM103" s="31"/>
      <c r="AN103" s="366"/>
      <c r="AO103" s="13">
        <v>33</v>
      </c>
      <c r="AP103" s="81"/>
      <c r="AQ103" s="82"/>
    </row>
    <row r="104" spans="1:43" s="83" customFormat="1" ht="27.4" hidden="1" customHeight="1" x14ac:dyDescent="0.4">
      <c r="A104" s="931"/>
      <c r="B104" s="1" t="s">
        <v>1195</v>
      </c>
      <c r="C104" s="580" t="s">
        <v>1213</v>
      </c>
      <c r="D104" s="505"/>
      <c r="E104" s="120"/>
      <c r="F104" s="120"/>
      <c r="G104" s="120"/>
      <c r="H104" s="120"/>
      <c r="I104" s="120"/>
      <c r="J104" s="120"/>
      <c r="K104" s="405"/>
      <c r="L104" s="236"/>
      <c r="M104" s="236"/>
      <c r="N104" s="236"/>
      <c r="O104" s="236"/>
      <c r="P104" s="236"/>
      <c r="Q104" s="236"/>
      <c r="R104" s="236"/>
      <c r="S104" s="236"/>
      <c r="T104" s="236"/>
      <c r="U104" s="236"/>
      <c r="V104" s="236"/>
      <c r="W104" s="236"/>
      <c r="X104" s="236"/>
      <c r="Y104" s="236"/>
      <c r="Z104" s="236"/>
      <c r="AA104" s="236"/>
      <c r="AB104" s="386"/>
      <c r="AC104" s="356"/>
      <c r="AD104" s="356"/>
      <c r="AE104" s="356"/>
      <c r="AF104" s="356"/>
      <c r="AG104" s="356"/>
      <c r="AH104" s="356"/>
      <c r="AI104" s="313"/>
      <c r="AJ104" s="184"/>
      <c r="AK104" s="30"/>
      <c r="AL104" s="1072"/>
      <c r="AM104" s="31"/>
      <c r="AN104" s="366"/>
      <c r="AO104" s="13"/>
      <c r="AP104" s="81"/>
      <c r="AQ104" s="82"/>
    </row>
    <row r="105" spans="1:43" s="83" customFormat="1" ht="24.4" hidden="1" customHeight="1" thickBot="1" x14ac:dyDescent="0.45">
      <c r="A105" s="932"/>
      <c r="B105" s="367" t="s">
        <v>1196</v>
      </c>
      <c r="C105" s="582" t="s">
        <v>1214</v>
      </c>
      <c r="D105" s="505"/>
      <c r="E105" s="120"/>
      <c r="F105" s="120"/>
      <c r="G105" s="120"/>
      <c r="H105" s="120"/>
      <c r="I105" s="120"/>
      <c r="J105" s="120"/>
      <c r="K105" s="405"/>
      <c r="L105" s="249"/>
      <c r="M105" s="249"/>
      <c r="N105" s="249"/>
      <c r="O105" s="249"/>
      <c r="P105" s="249"/>
      <c r="Q105" s="249"/>
      <c r="R105" s="249"/>
      <c r="S105" s="249"/>
      <c r="T105" s="249"/>
      <c r="U105" s="249"/>
      <c r="V105" s="249"/>
      <c r="W105" s="249"/>
      <c r="X105" s="249"/>
      <c r="Y105" s="249"/>
      <c r="Z105" s="249"/>
      <c r="AA105" s="249"/>
      <c r="AB105" s="386"/>
      <c r="AC105" s="356"/>
      <c r="AD105" s="356"/>
      <c r="AE105" s="356"/>
      <c r="AF105" s="356"/>
      <c r="AG105" s="356"/>
      <c r="AH105" s="356"/>
      <c r="AI105" s="313"/>
      <c r="AJ105" s="184"/>
      <c r="AK105" s="30"/>
      <c r="AL105" s="1072"/>
      <c r="AM105" s="31"/>
      <c r="AN105" s="366"/>
      <c r="AO105" s="13"/>
      <c r="AP105" s="81"/>
      <c r="AQ105" s="82"/>
    </row>
    <row r="106" spans="1:43" s="83" customFormat="1" ht="25.5" hidden="1" customHeight="1" x14ac:dyDescent="0.4">
      <c r="A106" s="994" t="s">
        <v>1040</v>
      </c>
      <c r="B106" s="1" t="s">
        <v>1041</v>
      </c>
      <c r="C106" s="584" t="s">
        <v>1058</v>
      </c>
      <c r="D106" s="135"/>
      <c r="E106" s="78"/>
      <c r="F106" s="78"/>
      <c r="G106" s="78"/>
      <c r="H106" s="78"/>
      <c r="I106" s="78"/>
      <c r="J106" s="78"/>
      <c r="K106" s="381"/>
      <c r="L106" s="236"/>
      <c r="M106" s="94"/>
      <c r="N106" s="94"/>
      <c r="O106" s="94"/>
      <c r="P106" s="94"/>
      <c r="Q106" s="94"/>
      <c r="R106" s="94"/>
      <c r="S106" s="94"/>
      <c r="T106" s="94"/>
      <c r="U106" s="94"/>
      <c r="V106" s="94"/>
      <c r="W106" s="94"/>
      <c r="X106" s="94"/>
      <c r="Y106" s="94"/>
      <c r="Z106" s="94"/>
      <c r="AA106" s="321"/>
      <c r="AB106" s="1285"/>
      <c r="AC106" s="1286"/>
      <c r="AD106" s="1286"/>
      <c r="AE106" s="1286"/>
      <c r="AF106" s="1286"/>
      <c r="AG106" s="1286"/>
      <c r="AH106" s="1286"/>
      <c r="AI106" s="1287"/>
      <c r="AJ106" s="406">
        <f t="shared" si="41"/>
        <v>0</v>
      </c>
      <c r="AK106" s="30"/>
      <c r="AL106" s="1072"/>
      <c r="AM106" s="31"/>
      <c r="AN106" s="366"/>
      <c r="AO106" s="13">
        <v>32</v>
      </c>
      <c r="AP106" s="81"/>
      <c r="AQ106" s="82"/>
    </row>
    <row r="107" spans="1:43" s="83" customFormat="1" ht="25.9" hidden="1" customHeight="1" thickBot="1" x14ac:dyDescent="0.45">
      <c r="A107" s="1124"/>
      <c r="B107" s="367" t="s">
        <v>1042</v>
      </c>
      <c r="C107" s="585" t="s">
        <v>1059</v>
      </c>
      <c r="D107" s="119"/>
      <c r="E107" s="102"/>
      <c r="F107" s="102"/>
      <c r="G107" s="102"/>
      <c r="H107" s="102"/>
      <c r="I107" s="102"/>
      <c r="J107" s="102"/>
      <c r="K107" s="375"/>
      <c r="L107" s="402"/>
      <c r="M107" s="97"/>
      <c r="N107" s="97"/>
      <c r="O107" s="97"/>
      <c r="P107" s="97"/>
      <c r="Q107" s="97"/>
      <c r="R107" s="97"/>
      <c r="S107" s="97"/>
      <c r="T107" s="97"/>
      <c r="U107" s="97"/>
      <c r="V107" s="97"/>
      <c r="W107" s="97"/>
      <c r="X107" s="97"/>
      <c r="Y107" s="97"/>
      <c r="Z107" s="97"/>
      <c r="AA107" s="322"/>
      <c r="AB107" s="370"/>
      <c r="AC107" s="371"/>
      <c r="AD107" s="371"/>
      <c r="AE107" s="371"/>
      <c r="AF107" s="371"/>
      <c r="AG107" s="371"/>
      <c r="AH107" s="371"/>
      <c r="AI107" s="372"/>
      <c r="AJ107" s="407">
        <f t="shared" si="41"/>
        <v>0</v>
      </c>
      <c r="AK107" s="30"/>
      <c r="AL107" s="1073"/>
      <c r="AM107" s="31"/>
      <c r="AN107" s="366"/>
      <c r="AO107" s="13">
        <v>33</v>
      </c>
      <c r="AP107" s="81"/>
      <c r="AQ107" s="82"/>
    </row>
    <row r="108" spans="1:43" ht="27" thickBot="1" x14ac:dyDescent="0.45">
      <c r="A108" s="1017" t="s">
        <v>112</v>
      </c>
      <c r="B108" s="1015"/>
      <c r="C108" s="1013"/>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3"/>
      <c r="AC108" s="1013"/>
      <c r="AD108" s="1013"/>
      <c r="AE108" s="1013"/>
      <c r="AF108" s="1013"/>
      <c r="AG108" s="1013"/>
      <c r="AH108" s="1013"/>
      <c r="AI108" s="1013"/>
      <c r="AJ108" s="1015"/>
      <c r="AK108" s="1015"/>
      <c r="AL108" s="1013"/>
      <c r="AM108" s="1015"/>
      <c r="AN108" s="1016"/>
      <c r="AO108" s="13">
        <v>50</v>
      </c>
      <c r="AP108" s="74"/>
      <c r="AQ108" s="75"/>
    </row>
    <row r="109" spans="1:43" ht="26.25" customHeight="1" x14ac:dyDescent="0.4">
      <c r="A109" s="1059" t="s">
        <v>37</v>
      </c>
      <c r="B109" s="1055" t="s">
        <v>344</v>
      </c>
      <c r="C109" s="1057" t="s">
        <v>325</v>
      </c>
      <c r="D109" s="1069"/>
      <c r="E109" s="1069"/>
      <c r="F109" s="1069"/>
      <c r="G109" s="1069"/>
      <c r="H109" s="1069"/>
      <c r="I109" s="1069"/>
      <c r="J109" s="1061" t="s">
        <v>3</v>
      </c>
      <c r="K109" s="1061"/>
      <c r="L109" s="1061" t="s">
        <v>4</v>
      </c>
      <c r="M109" s="1061"/>
      <c r="N109" s="1061" t="s">
        <v>5</v>
      </c>
      <c r="O109" s="1061"/>
      <c r="P109" s="1061" t="s">
        <v>6</v>
      </c>
      <c r="Q109" s="1061"/>
      <c r="R109" s="1061" t="s">
        <v>7</v>
      </c>
      <c r="S109" s="1061"/>
      <c r="T109" s="1061" t="s">
        <v>8</v>
      </c>
      <c r="U109" s="1061"/>
      <c r="V109" s="1061" t="s">
        <v>23</v>
      </c>
      <c r="W109" s="1061"/>
      <c r="X109" s="1061" t="s">
        <v>24</v>
      </c>
      <c r="Y109" s="1061"/>
      <c r="Z109" s="1061" t="s">
        <v>9</v>
      </c>
      <c r="AA109" s="1061"/>
      <c r="AB109" s="1042"/>
      <c r="AC109" s="1043"/>
      <c r="AD109" s="1043"/>
      <c r="AE109" s="1043"/>
      <c r="AF109" s="1043"/>
      <c r="AG109" s="1043"/>
      <c r="AH109" s="1043"/>
      <c r="AI109" s="1284"/>
      <c r="AJ109" s="1112" t="s">
        <v>19</v>
      </c>
      <c r="AK109" s="1106" t="s">
        <v>378</v>
      </c>
      <c r="AL109" s="1082" t="s">
        <v>384</v>
      </c>
      <c r="AM109" s="1074" t="s">
        <v>385</v>
      </c>
      <c r="AN109" s="1054" t="s">
        <v>385</v>
      </c>
      <c r="AO109" s="13">
        <v>51</v>
      </c>
      <c r="AP109" s="74"/>
      <c r="AQ109" s="75"/>
    </row>
    <row r="110" spans="1:43" ht="27" customHeight="1" thickBot="1" x14ac:dyDescent="0.45">
      <c r="A110" s="1060"/>
      <c r="B110" s="1056"/>
      <c r="C110" s="1120"/>
      <c r="D110" s="1070"/>
      <c r="E110" s="1070"/>
      <c r="F110" s="1070"/>
      <c r="G110" s="1070"/>
      <c r="H110" s="1070"/>
      <c r="I110" s="1070"/>
      <c r="J110" s="294" t="s">
        <v>10</v>
      </c>
      <c r="K110" s="294" t="s">
        <v>11</v>
      </c>
      <c r="L110" s="294" t="s">
        <v>10</v>
      </c>
      <c r="M110" s="294" t="s">
        <v>11</v>
      </c>
      <c r="N110" s="294" t="s">
        <v>10</v>
      </c>
      <c r="O110" s="294" t="s">
        <v>11</v>
      </c>
      <c r="P110" s="294" t="s">
        <v>10</v>
      </c>
      <c r="Q110" s="294" t="s">
        <v>11</v>
      </c>
      <c r="R110" s="294" t="s">
        <v>10</v>
      </c>
      <c r="S110" s="294" t="s">
        <v>11</v>
      </c>
      <c r="T110" s="294" t="s">
        <v>10</v>
      </c>
      <c r="U110" s="294" t="s">
        <v>11</v>
      </c>
      <c r="V110" s="294" t="s">
        <v>10</v>
      </c>
      <c r="W110" s="294" t="s">
        <v>11</v>
      </c>
      <c r="X110" s="294" t="s">
        <v>10</v>
      </c>
      <c r="Y110" s="294" t="s">
        <v>11</v>
      </c>
      <c r="Z110" s="294" t="s">
        <v>10</v>
      </c>
      <c r="AA110" s="294" t="s">
        <v>11</v>
      </c>
      <c r="AB110" s="382"/>
      <c r="AC110" s="369"/>
      <c r="AD110" s="369"/>
      <c r="AE110" s="369"/>
      <c r="AF110" s="369"/>
      <c r="AG110" s="369"/>
      <c r="AH110" s="369"/>
      <c r="AI110" s="383"/>
      <c r="AJ110" s="1113"/>
      <c r="AK110" s="1114"/>
      <c r="AL110" s="1036"/>
      <c r="AM110" s="1029"/>
      <c r="AN110" s="1025"/>
      <c r="AO110" s="13">
        <v>52</v>
      </c>
      <c r="AP110" s="74"/>
      <c r="AQ110" s="75"/>
    </row>
    <row r="111" spans="1:43" ht="26.25" x14ac:dyDescent="0.4">
      <c r="A111" s="994" t="s">
        <v>20</v>
      </c>
      <c r="B111" s="91" t="s">
        <v>999</v>
      </c>
      <c r="C111" s="575" t="s">
        <v>174</v>
      </c>
      <c r="D111" s="134"/>
      <c r="E111" s="99"/>
      <c r="F111" s="99"/>
      <c r="G111" s="99"/>
      <c r="H111" s="99"/>
      <c r="I111" s="374"/>
      <c r="J111" s="236"/>
      <c r="K111" s="94"/>
      <c r="L111" s="94"/>
      <c r="M111" s="94"/>
      <c r="N111" s="94"/>
      <c r="O111" s="94"/>
      <c r="P111" s="94"/>
      <c r="Q111" s="94"/>
      <c r="R111" s="94"/>
      <c r="S111" s="94"/>
      <c r="T111" s="94"/>
      <c r="U111" s="94"/>
      <c r="V111" s="94"/>
      <c r="W111" s="94"/>
      <c r="X111" s="94"/>
      <c r="Y111" s="94"/>
      <c r="Z111" s="94"/>
      <c r="AA111" s="321"/>
      <c r="AB111" s="384"/>
      <c r="AC111" s="385"/>
      <c r="AD111" s="385"/>
      <c r="AE111" s="385"/>
      <c r="AF111" s="385"/>
      <c r="AG111" s="385"/>
      <c r="AH111" s="385"/>
      <c r="AI111" s="316"/>
      <c r="AJ111" s="188">
        <f>SUM(D111:AA111)</f>
        <v>0</v>
      </c>
      <c r="AK111" s="116"/>
      <c r="AL111" s="1039" t="str">
        <f>CONCATENATE(AK111,AK112,AK113,AK114,AK115,AK116,AK118,AK117,AK119)</f>
        <v/>
      </c>
      <c r="AM111" s="31"/>
      <c r="AN111" s="1062" t="str">
        <f>CONCATENATE(AM111,AM112,AM113,AM114,AM115)</f>
        <v/>
      </c>
      <c r="AO111" s="13">
        <v>53</v>
      </c>
      <c r="AP111" s="74"/>
      <c r="AQ111" s="75"/>
    </row>
    <row r="112" spans="1:43" ht="26.25" x14ac:dyDescent="0.4">
      <c r="A112" s="1119"/>
      <c r="B112" s="76" t="s">
        <v>962</v>
      </c>
      <c r="C112" s="576" t="s">
        <v>176</v>
      </c>
      <c r="D112" s="135"/>
      <c r="E112" s="78"/>
      <c r="F112" s="78"/>
      <c r="G112" s="78"/>
      <c r="H112" s="78"/>
      <c r="I112" s="381"/>
      <c r="J112" s="403">
        <f>SUM(J113:J115)</f>
        <v>0</v>
      </c>
      <c r="K112" s="117">
        <f t="shared" ref="K112:AA112" si="44">SUM(K113:K115)</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28">
        <f t="shared" si="44"/>
        <v>0</v>
      </c>
      <c r="AB112" s="386"/>
      <c r="AC112" s="356"/>
      <c r="AD112" s="356"/>
      <c r="AE112" s="356"/>
      <c r="AF112" s="356"/>
      <c r="AG112" s="356"/>
      <c r="AH112" s="356"/>
      <c r="AI112" s="313"/>
      <c r="AJ112" s="173">
        <f t="shared" ref="AJ112:AJ114" si="45">SUM(D112:AA112)</f>
        <v>0</v>
      </c>
      <c r="AK112" s="116"/>
      <c r="AL112" s="1040"/>
      <c r="AM112" s="31"/>
      <c r="AN112" s="1031"/>
      <c r="AO112" s="13">
        <v>54</v>
      </c>
      <c r="AP112" s="74"/>
      <c r="AQ112" s="75"/>
    </row>
    <row r="113" spans="1:43" ht="26.25" x14ac:dyDescent="0.4">
      <c r="A113" s="1119"/>
      <c r="B113" s="76" t="s">
        <v>644</v>
      </c>
      <c r="C113" s="576" t="s">
        <v>177</v>
      </c>
      <c r="D113" s="135"/>
      <c r="E113" s="78"/>
      <c r="F113" s="78"/>
      <c r="G113" s="78"/>
      <c r="H113" s="78"/>
      <c r="I113" s="381"/>
      <c r="J113" s="237"/>
      <c r="K113" s="79"/>
      <c r="L113" s="79"/>
      <c r="M113" s="79"/>
      <c r="N113" s="79"/>
      <c r="O113" s="79"/>
      <c r="P113" s="79"/>
      <c r="Q113" s="79"/>
      <c r="R113" s="79"/>
      <c r="S113" s="79"/>
      <c r="T113" s="79"/>
      <c r="U113" s="79"/>
      <c r="V113" s="79"/>
      <c r="W113" s="79"/>
      <c r="X113" s="79"/>
      <c r="Y113" s="79"/>
      <c r="Z113" s="79"/>
      <c r="AA113" s="318"/>
      <c r="AB113" s="386"/>
      <c r="AC113" s="356"/>
      <c r="AD113" s="356"/>
      <c r="AE113" s="356"/>
      <c r="AF113" s="356"/>
      <c r="AG113" s="356"/>
      <c r="AH113" s="356"/>
      <c r="AI113" s="313"/>
      <c r="AJ113" s="173">
        <f t="shared" si="45"/>
        <v>0</v>
      </c>
      <c r="AK113" s="116"/>
      <c r="AL113" s="1040"/>
      <c r="AM113" s="31"/>
      <c r="AN113" s="1031"/>
      <c r="AO113" s="13">
        <v>55</v>
      </c>
      <c r="AP113" s="74"/>
      <c r="AQ113" s="75"/>
    </row>
    <row r="114" spans="1:43" ht="26.25" x14ac:dyDescent="0.4">
      <c r="A114" s="1119"/>
      <c r="B114" s="76" t="s">
        <v>645</v>
      </c>
      <c r="C114" s="576" t="s">
        <v>178</v>
      </c>
      <c r="D114" s="135"/>
      <c r="E114" s="78"/>
      <c r="F114" s="78"/>
      <c r="G114" s="78"/>
      <c r="H114" s="78"/>
      <c r="I114" s="381"/>
      <c r="J114" s="237"/>
      <c r="K114" s="79"/>
      <c r="L114" s="79"/>
      <c r="M114" s="79"/>
      <c r="N114" s="79"/>
      <c r="O114" s="79"/>
      <c r="P114" s="79"/>
      <c r="Q114" s="79"/>
      <c r="R114" s="79"/>
      <c r="S114" s="79"/>
      <c r="T114" s="79"/>
      <c r="U114" s="79"/>
      <c r="V114" s="79"/>
      <c r="W114" s="79"/>
      <c r="X114" s="79"/>
      <c r="Y114" s="79"/>
      <c r="Z114" s="79"/>
      <c r="AA114" s="318"/>
      <c r="AB114" s="386"/>
      <c r="AC114" s="356"/>
      <c r="AD114" s="356"/>
      <c r="AE114" s="356"/>
      <c r="AF114" s="356"/>
      <c r="AG114" s="356"/>
      <c r="AH114" s="356"/>
      <c r="AI114" s="313"/>
      <c r="AJ114" s="173">
        <f t="shared" si="45"/>
        <v>0</v>
      </c>
      <c r="AK114" s="116"/>
      <c r="AL114" s="1040"/>
      <c r="AM114" s="31"/>
      <c r="AN114" s="1031"/>
      <c r="AO114" s="13">
        <v>56</v>
      </c>
      <c r="AP114" s="74"/>
      <c r="AQ114" s="75"/>
    </row>
    <row r="115" spans="1:43" ht="27" thickBot="1" x14ac:dyDescent="0.45">
      <c r="A115" s="1124"/>
      <c r="B115" s="118" t="s">
        <v>646</v>
      </c>
      <c r="C115" s="577" t="s">
        <v>179</v>
      </c>
      <c r="D115" s="119"/>
      <c r="E115" s="102"/>
      <c r="F115" s="102"/>
      <c r="G115" s="120"/>
      <c r="H115" s="120"/>
      <c r="I115" s="405"/>
      <c r="J115" s="249"/>
      <c r="K115" s="121"/>
      <c r="L115" s="121"/>
      <c r="M115" s="121"/>
      <c r="N115" s="121"/>
      <c r="O115" s="121"/>
      <c r="P115" s="121"/>
      <c r="Q115" s="121"/>
      <c r="R115" s="121"/>
      <c r="S115" s="121"/>
      <c r="T115" s="121"/>
      <c r="U115" s="121"/>
      <c r="V115" s="121"/>
      <c r="W115" s="121"/>
      <c r="X115" s="121"/>
      <c r="Y115" s="121"/>
      <c r="Z115" s="121"/>
      <c r="AA115" s="329"/>
      <c r="AB115" s="386"/>
      <c r="AC115" s="356"/>
      <c r="AD115" s="356"/>
      <c r="AE115" s="356"/>
      <c r="AF115" s="356"/>
      <c r="AG115" s="356"/>
      <c r="AH115" s="356"/>
      <c r="AI115" s="313"/>
      <c r="AJ115" s="192">
        <f>SUM(D115:AA115)</f>
        <v>0</v>
      </c>
      <c r="AK115" s="122"/>
      <c r="AL115" s="1040"/>
      <c r="AM115" s="123"/>
      <c r="AN115" s="1032"/>
      <c r="AO115" s="13">
        <v>57</v>
      </c>
      <c r="AP115" s="74"/>
      <c r="AQ115" s="75"/>
    </row>
    <row r="116" spans="1:43" ht="26.25" x14ac:dyDescent="0.4">
      <c r="A116" s="930" t="s">
        <v>1244</v>
      </c>
      <c r="B116" s="91" t="s">
        <v>158</v>
      </c>
      <c r="C116" s="576" t="s">
        <v>973</v>
      </c>
      <c r="D116" s="134"/>
      <c r="E116" s="99"/>
      <c r="F116" s="99"/>
      <c r="G116" s="99"/>
      <c r="H116" s="99"/>
      <c r="I116" s="374"/>
      <c r="J116" s="236"/>
      <c r="K116" s="94"/>
      <c r="L116" s="94"/>
      <c r="M116" s="94"/>
      <c r="N116" s="94"/>
      <c r="O116" s="94"/>
      <c r="P116" s="94"/>
      <c r="Q116" s="94"/>
      <c r="R116" s="94"/>
      <c r="S116" s="94"/>
      <c r="T116" s="94"/>
      <c r="U116" s="94"/>
      <c r="V116" s="94"/>
      <c r="W116" s="94"/>
      <c r="X116" s="94"/>
      <c r="Y116" s="94"/>
      <c r="Z116" s="94"/>
      <c r="AA116" s="321"/>
      <c r="AB116" s="386"/>
      <c r="AC116" s="356"/>
      <c r="AD116" s="356"/>
      <c r="AE116" s="356"/>
      <c r="AF116" s="356"/>
      <c r="AG116" s="356"/>
      <c r="AH116" s="356"/>
      <c r="AI116" s="313"/>
      <c r="AJ116" s="389"/>
      <c r="AK116" s="124" t="str">
        <f>CONCATENATE(IF(D117&gt;D116," * Tested Positive  for Age "&amp;D20&amp;" "&amp;D21&amp;" is more than Number Tested "&amp;CHAR(10),""),IF(E117&gt;E116," * Tested Positive  for Age "&amp;D20&amp;" "&amp;E21&amp;" is more than Number Tested "&amp;CHAR(10),""),IF(F117&gt;F116," * Tested Positive  for Age "&amp;F20&amp;" "&amp;F21&amp;" is more than Number Tested "&amp;CHAR(10),""),IF(G117&gt;G116," * Tested Positive  for Age "&amp;F20&amp;" "&amp;G21&amp;" is more than Number Tested "&amp;CHAR(10),""),IF(H117&gt;H116," * Tested Positive  for Age "&amp;H20&amp;" "&amp;H21&amp;" is more than Number Tested "&amp;CHAR(10),""),IF(I117&gt;I116," * Tested Positive  for Age "&amp;H20&amp;" "&amp;I21&amp;" is more than Number Tested "&amp;CHAR(10),""),IF(J117&gt;J116," * Tested Positive  for Age "&amp;J20&amp;" "&amp;J21&amp;" is more than Number Tested "&amp;CHAR(10),""),IF(K117&gt;K116," * Tested Positive  for Age "&amp;J20&amp;" "&amp;K21&amp;" is more than Number Tested "&amp;CHAR(10),""),IF(L117&gt;L116," * Tested Positive  for Age "&amp;L20&amp;" "&amp;L21&amp;" is more than Number Tested "&amp;CHAR(10),""),IF(M117&gt;M116," * Tested Positive  for Age "&amp;L20&amp;" "&amp;M21&amp;" is more than Number Tested "&amp;CHAR(10),""),IF(N117&gt;N116," * Tested Positive  for Age "&amp;N20&amp;" "&amp;N21&amp;" is more than Number Tested "&amp;CHAR(10),""),IF(O117&gt;O116," * Tested Positive  for Age "&amp;N20&amp;" "&amp;O21&amp;" is more than Number Tested "&amp;CHAR(10),""),IF(P117&gt;P116," * Tested Positive  for Age "&amp;P20&amp;" "&amp;P21&amp;" is more than Number Tested "&amp;CHAR(10),""),IF(Q117&gt;Q116," * Tested Positive  for Age "&amp;P20&amp;" "&amp;Q21&amp;" is more than Number Tested "&amp;CHAR(10),""),IF(R117&gt;R116," * Tested Positive  for Age "&amp;R20&amp;" "&amp;R21&amp;" is more than Number Tested "&amp;CHAR(10),""),IF(S117&gt;S116," * Tested Positive  for Age "&amp;R20&amp;" "&amp;S21&amp;" is more than Number Tested "&amp;CHAR(10),""),IF(T117&gt;T116," * Tested Positive  for Age "&amp;T20&amp;" "&amp;T21&amp;" is more than Number Tested "&amp;CHAR(10),""),IF(U117&gt;U116," * Tested Positive  for Age "&amp;T20&amp;" "&amp;U21&amp;" is more than Number Tested "&amp;CHAR(10),""),IF(V117&gt;V116," * Tested Positive  for Age "&amp;V20&amp;" "&amp;V21&amp;" is more than Number Tested "&amp;CHAR(10),""),IF(W117&gt;W116," * Tested Positive  for Age "&amp;V20&amp;" "&amp;W21&amp;" is more than Number Tested "&amp;CHAR(10),""),IF(X117&gt;X116," * Tested Positive  for Age "&amp;X20&amp;" "&amp;X21&amp;" is more than Number Tested "&amp;CHAR(10),""),IF(Y117&gt;Y116," * Tested Positive  for Age "&amp;X20&amp;" "&amp;Y21&amp;" is more than Number Tested "&amp;CHAR(10),""),IF(Z117&gt;Z116," * Tested Positive  for Age "&amp;Z20&amp;" "&amp;Z21&amp;" is more than Number Tested "&amp;CHAR(10),""),IF(AA117&gt;AA116," * Tested Positive  for Age "&amp;Z20&amp;" "&amp;AA21&amp;" is more than Number Tested "&amp;CHAR(10),""))</f>
        <v/>
      </c>
      <c r="AL116" s="1040"/>
      <c r="AM116" s="125"/>
      <c r="AN116" s="126"/>
      <c r="AO116" s="13">
        <v>58</v>
      </c>
      <c r="AP116" s="74"/>
      <c r="AQ116" s="75"/>
    </row>
    <row r="117" spans="1:43" ht="27" thickBot="1" x14ac:dyDescent="0.45">
      <c r="A117" s="932"/>
      <c r="B117" s="95" t="s">
        <v>150</v>
      </c>
      <c r="C117" s="577" t="s">
        <v>974</v>
      </c>
      <c r="D117" s="119"/>
      <c r="E117" s="102"/>
      <c r="F117" s="102"/>
      <c r="G117" s="102"/>
      <c r="H117" s="102"/>
      <c r="I117" s="375"/>
      <c r="J117" s="404"/>
      <c r="K117" s="106"/>
      <c r="L117" s="106"/>
      <c r="M117" s="106"/>
      <c r="N117" s="106"/>
      <c r="O117" s="106"/>
      <c r="P117" s="106"/>
      <c r="Q117" s="106"/>
      <c r="R117" s="106"/>
      <c r="S117" s="106"/>
      <c r="T117" s="106"/>
      <c r="U117" s="106"/>
      <c r="V117" s="106"/>
      <c r="W117" s="106"/>
      <c r="X117" s="106"/>
      <c r="Y117" s="106"/>
      <c r="Z117" s="106"/>
      <c r="AA117" s="327"/>
      <c r="AB117" s="387"/>
      <c r="AC117" s="388"/>
      <c r="AD117" s="388"/>
      <c r="AE117" s="388"/>
      <c r="AF117" s="388"/>
      <c r="AG117" s="388"/>
      <c r="AH117" s="388"/>
      <c r="AI117" s="314"/>
      <c r="AJ117" s="56"/>
      <c r="AK117" s="124"/>
      <c r="AL117" s="1040"/>
      <c r="AM117" s="125"/>
      <c r="AN117" s="126"/>
      <c r="AO117" s="13">
        <v>59</v>
      </c>
      <c r="AP117" s="74"/>
      <c r="AQ117" s="75"/>
    </row>
    <row r="118" spans="1:43" ht="26.25" x14ac:dyDescent="0.4">
      <c r="A118" s="930" t="s">
        <v>1241</v>
      </c>
      <c r="B118" s="91" t="s">
        <v>158</v>
      </c>
      <c r="C118" s="629" t="s">
        <v>1242</v>
      </c>
      <c r="D118" s="134"/>
      <c r="E118" s="99"/>
      <c r="F118" s="99"/>
      <c r="G118" s="99"/>
      <c r="H118" s="99"/>
      <c r="I118" s="374"/>
      <c r="J118" s="236"/>
      <c r="K118" s="94"/>
      <c r="L118" s="94"/>
      <c r="M118" s="94"/>
      <c r="N118" s="94"/>
      <c r="O118" s="94"/>
      <c r="P118" s="94"/>
      <c r="Q118" s="94"/>
      <c r="R118" s="94"/>
      <c r="S118" s="94"/>
      <c r="T118" s="94"/>
      <c r="U118" s="94"/>
      <c r="V118" s="94"/>
      <c r="W118" s="94"/>
      <c r="X118" s="94"/>
      <c r="Y118" s="94"/>
      <c r="Z118" s="94"/>
      <c r="AA118" s="321"/>
      <c r="AB118" s="386"/>
      <c r="AC118" s="356"/>
      <c r="AD118" s="356"/>
      <c r="AE118" s="356"/>
      <c r="AF118" s="356"/>
      <c r="AG118" s="356"/>
      <c r="AH118" s="356"/>
      <c r="AI118" s="313"/>
      <c r="AJ118" s="389"/>
      <c r="AK118" s="124" t="str">
        <f>CONCATENATE(IF(D119&gt;D118," * Tested Positive  for Age "&amp;D20&amp;" "&amp;D21&amp;" is more than Number Tested "&amp;CHAR(10),""),IF(E119&gt;E118," * Tested Positive  for Age "&amp;D20&amp;" "&amp;E21&amp;" is more than Number Tested "&amp;CHAR(10),""),IF(F119&gt;F118," * Tested Positive  for Age "&amp;F20&amp;" "&amp;F21&amp;" is more than Number Tested "&amp;CHAR(10),""),IF(G119&gt;G118," * Tested Positive  for Age "&amp;F20&amp;" "&amp;G21&amp;" is more than Number Tested "&amp;CHAR(10),""),IF(H119&gt;H118," * Tested Positive  for Age "&amp;H20&amp;" "&amp;H21&amp;" is more than Number Tested "&amp;CHAR(10),""),IF(I119&gt;I118," * Tested Positive  for Age "&amp;H20&amp;" "&amp;I21&amp;" is more than Number Tested "&amp;CHAR(10),""),IF(J119&gt;J118," * Tested Positive  for Age "&amp;J20&amp;" "&amp;J21&amp;" is more than Number Tested "&amp;CHAR(10),""),IF(K119&gt;K118," * Tested Positive  for Age "&amp;J20&amp;" "&amp;K21&amp;" is more than Number Tested "&amp;CHAR(10),""),IF(L119&gt;L118," * Tested Positive  for Age "&amp;L20&amp;" "&amp;L21&amp;" is more than Number Tested "&amp;CHAR(10),""),IF(M119&gt;M118," * Tested Positive  for Age "&amp;L20&amp;" "&amp;M21&amp;" is more than Number Tested "&amp;CHAR(10),""),IF(N119&gt;N118," * Tested Positive  for Age "&amp;N20&amp;" "&amp;N21&amp;" is more than Number Tested "&amp;CHAR(10),""),IF(O119&gt;O118," * Tested Positive  for Age "&amp;N20&amp;" "&amp;O21&amp;" is more than Number Tested "&amp;CHAR(10),""),IF(P119&gt;P118," * Tested Positive  for Age "&amp;P20&amp;" "&amp;P21&amp;" is more than Number Tested "&amp;CHAR(10),""),IF(Q119&gt;Q118," * Tested Positive  for Age "&amp;P20&amp;" "&amp;Q21&amp;" is more than Number Tested "&amp;CHAR(10),""),IF(R119&gt;R118," * Tested Positive  for Age "&amp;R20&amp;" "&amp;R21&amp;" is more than Number Tested "&amp;CHAR(10),""),IF(S119&gt;S118," * Tested Positive  for Age "&amp;R20&amp;" "&amp;S21&amp;" is more than Number Tested "&amp;CHAR(10),""),IF(T119&gt;T118," * Tested Positive  for Age "&amp;T20&amp;" "&amp;T21&amp;" is more than Number Tested "&amp;CHAR(10),""),IF(U119&gt;U118," * Tested Positive  for Age "&amp;T20&amp;" "&amp;U21&amp;" is more than Number Tested "&amp;CHAR(10),""),IF(V119&gt;V118," * Tested Positive  for Age "&amp;V20&amp;" "&amp;V21&amp;" is more than Number Tested "&amp;CHAR(10),""),IF(W119&gt;W118," * Tested Positive  for Age "&amp;V20&amp;" "&amp;W21&amp;" is more than Number Tested "&amp;CHAR(10),""),IF(X119&gt;X118," * Tested Positive  for Age "&amp;X20&amp;" "&amp;X21&amp;" is more than Number Tested "&amp;CHAR(10),""),IF(Y119&gt;Y118," * Tested Positive  for Age "&amp;X20&amp;" "&amp;Y21&amp;" is more than Number Tested "&amp;CHAR(10),""),IF(Z119&gt;Z118," * Tested Positive  for Age "&amp;Z20&amp;" "&amp;Z21&amp;" is more than Number Tested "&amp;CHAR(10),""),IF(AA119&gt;AA118," * Tested Positive  for Age "&amp;Z20&amp;" "&amp;AA21&amp;" is more than Number Tested "&amp;CHAR(10),""))</f>
        <v/>
      </c>
      <c r="AL118" s="1040"/>
      <c r="AM118" s="125"/>
      <c r="AN118" s="126"/>
      <c r="AO118" s="13">
        <v>58</v>
      </c>
      <c r="AP118" s="74"/>
      <c r="AQ118" s="75"/>
    </row>
    <row r="119" spans="1:43" ht="27" thickBot="1" x14ac:dyDescent="0.45">
      <c r="A119" s="932"/>
      <c r="B119" s="95" t="s">
        <v>150</v>
      </c>
      <c r="C119" s="630" t="s">
        <v>1243</v>
      </c>
      <c r="D119" s="119"/>
      <c r="E119" s="102"/>
      <c r="F119" s="102"/>
      <c r="G119" s="102"/>
      <c r="H119" s="102"/>
      <c r="I119" s="375"/>
      <c r="J119" s="404"/>
      <c r="K119" s="106"/>
      <c r="L119" s="106"/>
      <c r="M119" s="106"/>
      <c r="N119" s="106"/>
      <c r="O119" s="106"/>
      <c r="P119" s="106"/>
      <c r="Q119" s="106"/>
      <c r="R119" s="106"/>
      <c r="S119" s="106"/>
      <c r="T119" s="106"/>
      <c r="U119" s="106"/>
      <c r="V119" s="106"/>
      <c r="W119" s="106"/>
      <c r="X119" s="106"/>
      <c r="Y119" s="106"/>
      <c r="Z119" s="106"/>
      <c r="AA119" s="327"/>
      <c r="AB119" s="387"/>
      <c r="AC119" s="388"/>
      <c r="AD119" s="388"/>
      <c r="AE119" s="388"/>
      <c r="AF119" s="388"/>
      <c r="AG119" s="388"/>
      <c r="AH119" s="388"/>
      <c r="AI119" s="314"/>
      <c r="AJ119" s="56"/>
      <c r="AK119" s="124"/>
      <c r="AL119" s="1046"/>
      <c r="AM119" s="125"/>
      <c r="AN119" s="126"/>
      <c r="AO119" s="13">
        <v>59</v>
      </c>
      <c r="AP119" s="74"/>
      <c r="AQ119" s="75"/>
    </row>
    <row r="120" spans="1:43" ht="27" thickBot="1" x14ac:dyDescent="0.45">
      <c r="A120" s="1017" t="s">
        <v>1112</v>
      </c>
      <c r="B120" s="1015"/>
      <c r="C120" s="1015"/>
      <c r="D120" s="1015"/>
      <c r="E120" s="1015"/>
      <c r="F120" s="1015"/>
      <c r="G120" s="1015"/>
      <c r="H120" s="1015"/>
      <c r="I120" s="1015"/>
      <c r="J120" s="1015"/>
      <c r="K120" s="1015"/>
      <c r="L120" s="1015"/>
      <c r="M120" s="1015"/>
      <c r="N120" s="1015"/>
      <c r="O120" s="1015"/>
      <c r="P120" s="1015"/>
      <c r="Q120" s="1015"/>
      <c r="R120" s="1015"/>
      <c r="S120" s="1015"/>
      <c r="T120" s="1015"/>
      <c r="U120" s="1015"/>
      <c r="V120" s="1015"/>
      <c r="W120" s="1015"/>
      <c r="X120" s="1015"/>
      <c r="Y120" s="1015"/>
      <c r="Z120" s="1015"/>
      <c r="AA120" s="1015"/>
      <c r="AB120" s="1014"/>
      <c r="AC120" s="1014"/>
      <c r="AD120" s="1014"/>
      <c r="AE120" s="1014"/>
      <c r="AF120" s="1014"/>
      <c r="AG120" s="1014"/>
      <c r="AH120" s="1014"/>
      <c r="AI120" s="1014"/>
      <c r="AJ120" s="1015"/>
      <c r="AK120" s="1015"/>
      <c r="AL120" s="1015"/>
      <c r="AM120" s="1015"/>
      <c r="AN120" s="1016"/>
      <c r="AO120" s="13">
        <v>60</v>
      </c>
      <c r="AP120" s="74"/>
      <c r="AQ120" s="75"/>
    </row>
    <row r="121" spans="1:43" ht="26.25" customHeight="1" x14ac:dyDescent="0.4">
      <c r="A121" s="1059" t="s">
        <v>37</v>
      </c>
      <c r="B121" s="1055" t="s">
        <v>344</v>
      </c>
      <c r="C121" s="1057" t="s">
        <v>325</v>
      </c>
      <c r="D121" s="1063"/>
      <c r="E121" s="1064"/>
      <c r="F121" s="1064"/>
      <c r="G121" s="1064"/>
      <c r="H121" s="1064"/>
      <c r="I121" s="1065"/>
      <c r="J121" s="1079" t="s">
        <v>3</v>
      </c>
      <c r="K121" s="1037"/>
      <c r="L121" s="1037" t="s">
        <v>4</v>
      </c>
      <c r="M121" s="1037"/>
      <c r="N121" s="1037" t="s">
        <v>5</v>
      </c>
      <c r="O121" s="1037"/>
      <c r="P121" s="1037" t="s">
        <v>6</v>
      </c>
      <c r="Q121" s="1037"/>
      <c r="R121" s="1037" t="s">
        <v>7</v>
      </c>
      <c r="S121" s="1037"/>
      <c r="T121" s="1037" t="s">
        <v>8</v>
      </c>
      <c r="U121" s="1037"/>
      <c r="V121" s="1037" t="s">
        <v>23</v>
      </c>
      <c r="W121" s="1037"/>
      <c r="X121" s="1037" t="s">
        <v>24</v>
      </c>
      <c r="Y121" s="1037"/>
      <c r="Z121" s="1037" t="s">
        <v>9</v>
      </c>
      <c r="AA121" s="1038"/>
      <c r="AB121" s="1042"/>
      <c r="AC121" s="1043"/>
      <c r="AD121" s="1043"/>
      <c r="AE121" s="1043"/>
      <c r="AF121" s="1043"/>
      <c r="AG121" s="1043"/>
      <c r="AH121" s="1043"/>
      <c r="AI121" s="1284"/>
      <c r="AJ121" s="1050" t="s">
        <v>19</v>
      </c>
      <c r="AK121" s="1052" t="s">
        <v>378</v>
      </c>
      <c r="AL121" s="1035" t="s">
        <v>384</v>
      </c>
      <c r="AM121" s="1029" t="s">
        <v>385</v>
      </c>
      <c r="AN121" s="1024" t="s">
        <v>385</v>
      </c>
      <c r="AO121" s="13">
        <v>61</v>
      </c>
      <c r="AP121" s="74"/>
      <c r="AQ121" s="75"/>
    </row>
    <row r="122" spans="1:43" ht="27" customHeight="1" thickBot="1" x14ac:dyDescent="0.45">
      <c r="A122" s="1060"/>
      <c r="B122" s="1056"/>
      <c r="C122" s="1120"/>
      <c r="D122" s="1066"/>
      <c r="E122" s="1067"/>
      <c r="F122" s="1067"/>
      <c r="G122" s="1067"/>
      <c r="H122" s="1067"/>
      <c r="I122" s="1068"/>
      <c r="J122" s="295" t="s">
        <v>10</v>
      </c>
      <c r="K122" s="68" t="s">
        <v>11</v>
      </c>
      <c r="L122" s="68" t="s">
        <v>10</v>
      </c>
      <c r="M122" s="68" t="s">
        <v>11</v>
      </c>
      <c r="N122" s="68" t="s">
        <v>10</v>
      </c>
      <c r="O122" s="68" t="s">
        <v>11</v>
      </c>
      <c r="P122" s="68" t="s">
        <v>10</v>
      </c>
      <c r="Q122" s="68" t="s">
        <v>11</v>
      </c>
      <c r="R122" s="68" t="s">
        <v>10</v>
      </c>
      <c r="S122" s="68" t="s">
        <v>11</v>
      </c>
      <c r="T122" s="68" t="s">
        <v>10</v>
      </c>
      <c r="U122" s="68" t="s">
        <v>11</v>
      </c>
      <c r="V122" s="68" t="s">
        <v>10</v>
      </c>
      <c r="W122" s="68" t="s">
        <v>11</v>
      </c>
      <c r="X122" s="68" t="s">
        <v>10</v>
      </c>
      <c r="Y122" s="68" t="s">
        <v>11</v>
      </c>
      <c r="Z122" s="68" t="s">
        <v>10</v>
      </c>
      <c r="AA122" s="368" t="s">
        <v>11</v>
      </c>
      <c r="AB122" s="370"/>
      <c r="AC122" s="371"/>
      <c r="AD122" s="371"/>
      <c r="AE122" s="371"/>
      <c r="AF122" s="371"/>
      <c r="AG122" s="371"/>
      <c r="AH122" s="371"/>
      <c r="AI122" s="372"/>
      <c r="AJ122" s="1051"/>
      <c r="AK122" s="1053"/>
      <c r="AL122" s="1036"/>
      <c r="AM122" s="1029"/>
      <c r="AN122" s="1025"/>
      <c r="AO122" s="13">
        <v>62</v>
      </c>
      <c r="AP122" s="74"/>
      <c r="AQ122" s="75"/>
    </row>
    <row r="123" spans="1:43" ht="26.25" x14ac:dyDescent="0.4">
      <c r="A123" s="1134" t="s">
        <v>582</v>
      </c>
      <c r="B123" s="69" t="s">
        <v>647</v>
      </c>
      <c r="C123" s="599" t="s">
        <v>184</v>
      </c>
      <c r="D123" s="70"/>
      <c r="E123" s="71"/>
      <c r="F123" s="71"/>
      <c r="G123" s="71"/>
      <c r="H123" s="71"/>
      <c r="I123" s="71"/>
      <c r="J123" s="127"/>
      <c r="K123" s="127"/>
      <c r="L123" s="127"/>
      <c r="M123" s="127"/>
      <c r="N123" s="127"/>
      <c r="O123" s="127"/>
      <c r="P123" s="127"/>
      <c r="Q123" s="127"/>
      <c r="R123" s="127"/>
      <c r="S123" s="127"/>
      <c r="T123" s="127"/>
      <c r="U123" s="127"/>
      <c r="V123" s="127"/>
      <c r="W123" s="127"/>
      <c r="X123" s="127"/>
      <c r="Y123" s="127"/>
      <c r="Z123" s="127"/>
      <c r="AA123" s="330"/>
      <c r="AB123" s="386"/>
      <c r="AC123" s="356"/>
      <c r="AD123" s="356"/>
      <c r="AE123" s="356"/>
      <c r="AF123" s="356"/>
      <c r="AG123" s="356"/>
      <c r="AH123" s="356"/>
      <c r="AI123" s="313"/>
      <c r="AJ123" s="52">
        <f>SUM(D123:AA123)</f>
        <v>0</v>
      </c>
      <c r="AK123" s="128" t="str">
        <f>CONCATENATE(IF(D126&gt;D123," * Eligible for PrEP  for Age "&amp;D20&amp;" "&amp;D21&amp;" is more than Assessed for HIV risk"&amp;CHAR(10),""),IF(E126&gt;E123," * Eligible for PrEP  for Age "&amp;D20&amp;" "&amp;E21&amp;" is more than Assessed for HIV risk"&amp;CHAR(10),""),IF(F126&gt;F123," * Eligible for PrEP  for Age "&amp;F20&amp;" "&amp;F21&amp;" is more than Assessed for HIV risk"&amp;CHAR(10),""),IF(G126&gt;G123," * Eligible for PrEP  for Age "&amp;F20&amp;" "&amp;G21&amp;" is more than Assessed for HIV risk"&amp;CHAR(10),""),IF(H126&gt;H123," * Eligible for PrEP  for Age "&amp;H20&amp;" "&amp;H21&amp;" is more than Assessed for HIV risk"&amp;CHAR(10),""),IF(I126&gt;I123," * Eligible for PrEP  for Age "&amp;H20&amp;" "&amp;I21&amp;" is more than Assessed for HIV risk"&amp;CHAR(10),""),IF(J126&gt;J123," * Eligible for PrEP  for Age "&amp;J20&amp;" "&amp;J21&amp;" is more than Assessed for HIV risk"&amp;CHAR(10),""),IF(K126&gt;K123," * Eligible for PrEP  for Age "&amp;J20&amp;" "&amp;K21&amp;" is more than Assessed for HIV risk"&amp;CHAR(10),""),IF(L126&gt;L123," * Eligible for PrEP  for Age "&amp;L20&amp;" "&amp;L21&amp;" is more than Assessed for HIV risk"&amp;CHAR(10),""),IF(M126&gt;M123," * Eligible for PrEP  for Age "&amp;L20&amp;" "&amp;M21&amp;" is more than Assessed for HIV risk"&amp;CHAR(10),""),IF(N126&gt;N123," * Eligible for PrEP  for Age "&amp;N20&amp;" "&amp;N21&amp;" is more than Assessed for HIV risk"&amp;CHAR(10),""),IF(O126&gt;O123," * Eligible for PrEP  for Age "&amp;N20&amp;" "&amp;O21&amp;" is more than Assessed for HIV risk"&amp;CHAR(10),""),IF(P126&gt;P123," * Eligible for PrEP  for Age "&amp;P20&amp;" "&amp;P21&amp;" is more than Assessed for HIV risk"&amp;CHAR(10),""),IF(Q126&gt;Q123," * Eligible for PrEP  for Age "&amp;P20&amp;" "&amp;Q21&amp;" is more than Assessed for HIV risk"&amp;CHAR(10),""),IF(R126&gt;R123," * Eligible for PrEP  for Age "&amp;R20&amp;" "&amp;R21&amp;" is more than Assessed for HIV risk"&amp;CHAR(10),""),IF(S126&gt;S123," * Eligible for PrEP  for Age "&amp;R20&amp;" "&amp;S21&amp;" is more than Assessed for HIV risk"&amp;CHAR(10),""),IF(T126&gt;T123," * Eligible for PrEP  for Age "&amp;T20&amp;" "&amp;T21&amp;" is more than Assessed for HIV risk"&amp;CHAR(10),""),IF(U126&gt;U123," * Eligible for PrEP  for Age "&amp;T20&amp;" "&amp;U21&amp;" is more than Assessed for HIV risk"&amp;CHAR(10),""),IF(V126&gt;V123," * Eligible for PrEP  for Age "&amp;V20&amp;" "&amp;V21&amp;" is more than Assessed for HIV risk"&amp;CHAR(10),""),IF(W126&gt;W123," * Eligible for PrEP  for Age "&amp;V20&amp;" "&amp;W21&amp;" is more than Assessed for HIV risk"&amp;CHAR(10),""),IF(X126&gt;X123," * Eligible for PrEP  for Age "&amp;X20&amp;" "&amp;X21&amp;" is more than Assessed for HIV risk"&amp;CHAR(10),""),IF(Y126&gt;Y123," * Eligible for PrEP  for Age "&amp;X20&amp;" "&amp;Y21&amp;" is more than Assessed for HIV risk"&amp;CHAR(10),""),IF(Z126&gt;Z123," * Eligible for PrEP  for Age "&amp;Z20&amp;" "&amp;Z21&amp;" is more than Assessed for HIV risk"&amp;CHAR(10),""),IF(AA126&gt;AA123," * Eligible for PrEP  for Age "&amp;Z20&amp;" "&amp;AA21&amp;" is more than Assessed for HIV risk"&amp;CHAR(10),""))</f>
        <v/>
      </c>
      <c r="AL123" s="1039" t="str">
        <f>CONCATENATE(AK123,AK124,AK125,AK126,AK127,AK128,AK129,AK130,AK131,AK132,AK133,AK134,AK135,AK136,AK137,AK139,AK140,AK141,AK142,AK143,AK144,AK145,AK146,AK148,AK151,AK152,AK153,AK154,AK155,AK156,AK157,AK158,AK159,AK138,AK149,AK150,AK160,AK161)</f>
        <v/>
      </c>
      <c r="AM123" s="73"/>
      <c r="AN123" s="1030" t="str">
        <f>CONCATENATE(AM123,AM126,AM127,AM134,AM137,AM146,AM147,AM148,AM151,AM152,AM153,AM154,AM155,AM156,AM157,AM158,AM159)</f>
        <v/>
      </c>
      <c r="AO123" s="13">
        <v>63</v>
      </c>
      <c r="AP123" s="74"/>
      <c r="AQ123" s="75"/>
    </row>
    <row r="124" spans="1:43" ht="26.25" x14ac:dyDescent="0.4">
      <c r="A124" s="1087"/>
      <c r="B124" s="76" t="s">
        <v>557</v>
      </c>
      <c r="C124" s="629" t="s">
        <v>558</v>
      </c>
      <c r="D124" s="77"/>
      <c r="E124" s="78"/>
      <c r="F124" s="78"/>
      <c r="G124" s="78"/>
      <c r="H124" s="78"/>
      <c r="I124" s="78"/>
      <c r="J124" s="129"/>
      <c r="K124" s="129"/>
      <c r="L124" s="129"/>
      <c r="M124" s="129"/>
      <c r="N124" s="129"/>
      <c r="O124" s="129"/>
      <c r="P124" s="129"/>
      <c r="Q124" s="129"/>
      <c r="R124" s="129"/>
      <c r="S124" s="129"/>
      <c r="T124" s="129"/>
      <c r="U124" s="129"/>
      <c r="V124" s="129"/>
      <c r="W124" s="129"/>
      <c r="X124" s="129"/>
      <c r="Y124" s="129"/>
      <c r="Z124" s="129"/>
      <c r="AA124" s="331"/>
      <c r="AB124" s="386"/>
      <c r="AC124" s="356"/>
      <c r="AD124" s="356"/>
      <c r="AE124" s="356"/>
      <c r="AF124" s="356"/>
      <c r="AG124" s="356"/>
      <c r="AH124" s="356"/>
      <c r="AI124" s="313"/>
      <c r="AJ124" s="173">
        <f>SUM(J124:AA124)</f>
        <v>0</v>
      </c>
      <c r="AK124" s="30" t="str">
        <f>CONCATENATE(IF(D124&gt;D123," * Tested for Prep Initiation For age "&amp;$D$20&amp;" "&amp;$D$21&amp;" is more than Assessed for HIV risk"&amp;CHAR(10),""),IF(E124&gt;E123," * Tested for Prep Initiation For age "&amp;$D$20&amp;" "&amp;$E$21&amp;" is more than Assessed for HIV risk"&amp;CHAR(10),""),IF(F124&gt;F123," * Tested for Prep Initiation For age "&amp;$F$20&amp;" "&amp;$F$21&amp;" is more than Assessed for HIV risk"&amp;CHAR(10),""),IF(G124&gt;G123," * Tested for Prep Initiation For age "&amp;$F$20&amp;" "&amp;$G$21&amp;" is more than Assessed for HIV risk"&amp;CHAR(10),""),IF(H124&gt;H123," * Tested for Prep Initiation For age "&amp;$H$20&amp;" "&amp;$H$21&amp;" is more than Assessed for HIV risk"&amp;CHAR(10),""),IF(I124&gt;I123," * Tested for Prep Initiation For age "&amp;$H$20&amp;" "&amp;$I$21&amp;" is more than Assessed for HIV risk"&amp;CHAR(10),""),IF(J124&gt;J123," * Tested for Prep Initiation For age "&amp;$J$20&amp;" "&amp;$J$21&amp;" is more than Assessed for HIV risk"&amp;CHAR(10),""),IF(K124&gt;K123," * Tested for Prep Initiation For age "&amp;$J$20&amp;" "&amp;$K$21&amp;" is more than Assessed for HIV risk"&amp;CHAR(10),""),IF(L124&gt;L123," * Tested for Prep Initiation For age "&amp;$L$20&amp;" "&amp;$L$21&amp;" is more than Assessed for HIV risk"&amp;CHAR(10),""),IF(M124&gt;M123," * Tested for Prep Initiation For age "&amp;$L$20&amp;" "&amp;$M$21&amp;" is more than Assessed for HIV risk"&amp;CHAR(10),""),IF(N124&gt;N123," * Tested for Prep Initiation For age "&amp;$N$20&amp;" "&amp;$N$21&amp;" is more than Assessed for HIV risk"&amp;CHAR(10),""),IF(O124&gt;O123," * Tested for Prep Initiation For age "&amp;$N$20&amp;" "&amp;$O$21&amp;" is more than Assessed for HIV risk"&amp;CHAR(10),""),IF(P124&gt;P123," * Tested for Prep Initiation For age "&amp;$P$20&amp;" "&amp;$P$21&amp;" is more than Assessed for HIV risk"&amp;CHAR(10),""),IF(Q124&gt;Q123," * Tested for Prep Initiation For age "&amp;$P$20&amp;" "&amp;$Q$21&amp;" is more than Assessed for HIV risk"&amp;CHAR(10),""),IF(R124&gt;R123," * Tested for Prep Initiation For age "&amp;$R$20&amp;" "&amp;$R$21&amp;" is more than Assessed for HIV risk"&amp;CHAR(10),""),IF(S124&gt;S123," * Tested for Prep Initiation For age "&amp;$R$20&amp;" "&amp;$S$21&amp;" is more than Assessed for HIV risk"&amp;CHAR(10),""),IF(T124&gt;T123," * Tested for Prep Initiation For age "&amp;$T$20&amp;" "&amp;$T$21&amp;" is more than Assessed for HIV risk"&amp;CHAR(10),""),IF(U124&gt;U123," * Tested for Prep Initiation For age "&amp;$T$20&amp;" "&amp;$U$21&amp;" is more than Assessed for HIV risk"&amp;CHAR(10),""),IF(V124&gt;V123," * Tested for Prep Initiation For age "&amp;$V$20&amp;" "&amp;$V$21&amp;" is more than Assessed for HIV risk"&amp;CHAR(10),""),IF(W124&gt;W123," * Tested for Prep Initiation For age "&amp;$V$20&amp;" "&amp;$W$21&amp;" is more than Assessed for HIV risk"&amp;CHAR(10),""),IF(X124&gt;X123," * Tested for Prep Initiation For age "&amp;$X$20&amp;" "&amp;$X$21&amp;" is more than Assessed for HIV risk"&amp;CHAR(10),""),IF(Y124&gt;Y123," * Tested for Prep Initiation For age "&amp;$X$20&amp;" "&amp;$Y$21&amp;" is more than Assessed for HIV risk"&amp;CHAR(10),""),IF(Z124&gt;Z123," * Tested for Prep Initiation For age "&amp;$Z$20&amp;" "&amp;$Z$21&amp;" is more than Assessed for HIV risk"&amp;CHAR(10),""),IF(AA124&gt;AA123," * Tested for Prep Initiation For age "&amp;$Z$20&amp;" "&amp;$AA$21&amp;" is more than Assessed for HIV risk"&amp;CHAR(10),""))</f>
        <v/>
      </c>
      <c r="AL124" s="1040"/>
      <c r="AM124" s="31"/>
      <c r="AN124" s="1031"/>
      <c r="AO124" s="13">
        <v>64</v>
      </c>
      <c r="AP124" s="74"/>
      <c r="AQ124" s="75"/>
    </row>
    <row r="125" spans="1:43" ht="26.25" x14ac:dyDescent="0.4">
      <c r="A125" s="1087"/>
      <c r="B125" s="76" t="s">
        <v>648</v>
      </c>
      <c r="C125" s="629" t="s">
        <v>559</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31"/>
      <c r="AB125" s="386"/>
      <c r="AC125" s="356"/>
      <c r="AD125" s="356"/>
      <c r="AE125" s="356"/>
      <c r="AF125" s="356"/>
      <c r="AG125" s="356"/>
      <c r="AH125" s="356"/>
      <c r="AI125" s="313"/>
      <c r="AJ125" s="173">
        <f>SUM(J125:AA125)</f>
        <v>0</v>
      </c>
      <c r="AK125" s="130" t="str">
        <f>CONCATENATE(IF(D125&gt;D124," * screened for Prep initiation testing positive For age "&amp;$D$20&amp;" "&amp;$D$21&amp;" is more than HIV tested for PrEP initiation"&amp;CHAR(10),""),IF(E125&gt;E124," * screened for Prep initiation testing positive For age "&amp;$D$20&amp;" "&amp;$E$21&amp;" is more than HIV tested for PrEP initiation"&amp;CHAR(10),""),IF(F125&gt;F124," * screened for Prep initiation testing positive For age "&amp;$F$20&amp;" "&amp;$F$21&amp;" is more than HIV tested for PrEP initiation"&amp;CHAR(10),""),IF(G125&gt;G124," * screened for Prep initiation testing positive For age "&amp;$F$20&amp;" "&amp;$G$21&amp;" is more than HIV tested for PrEP initiation"&amp;CHAR(10),""),IF(H125&gt;H124," * screened for Prep initiation testing positive For age "&amp;$H$20&amp;" "&amp;$H$21&amp;" is more than HIV tested for PrEP initiation"&amp;CHAR(10),""),IF(I125&gt;I124," * screened for Prep initiation testing positive For age "&amp;$H$20&amp;" "&amp;$I$21&amp;" is more than HIV tested for PrEP initiation"&amp;CHAR(10),""),IF(J125&gt;J124," * screened for Prep initiation testing positive For age "&amp;$J$20&amp;" "&amp;$J$21&amp;" is more than HIV tested for PrEP initiation"&amp;CHAR(10),""),IF(K125&gt;K124," * screened for Prep initiation testing positive For age "&amp;$J$20&amp;" "&amp;$K$21&amp;" is more than HIV tested for PrEP initiation"&amp;CHAR(10),""),IF(L125&gt;L124," * screened for Prep initiation testing positive For age "&amp;$L$20&amp;" "&amp;$L$21&amp;" is more than HIV tested for PrEP initiation"&amp;CHAR(10),""),IF(M125&gt;M124," * screened for Prep initiation testing positive For age "&amp;$L$20&amp;" "&amp;$M$21&amp;" is more than HIV tested for PrEP initiation"&amp;CHAR(10),""),IF(N125&gt;N124," * screened for Prep initiation testing positive For age "&amp;$N$20&amp;" "&amp;$N$21&amp;" is more than HIV tested for PrEP initiation"&amp;CHAR(10),""),IF(O125&gt;O124," * screened for Prep initiation testing positive For age "&amp;$N$20&amp;" "&amp;$O$21&amp;" is more than HIV tested for PrEP initiation"&amp;CHAR(10),""),IF(P125&gt;P124," * screened for Prep initiation testing positive For age "&amp;$P$20&amp;" "&amp;$P$21&amp;" is more than HIV tested for PrEP initiation"&amp;CHAR(10),""),IF(Q125&gt;Q124," * screened for Prep initiation testing positive For age "&amp;$P$20&amp;" "&amp;$Q$21&amp;" is more than HIV tested for PrEP initiation"&amp;CHAR(10),""),IF(R125&gt;R124," * screened for Prep initiation testing positive For age "&amp;$R$20&amp;" "&amp;$R$21&amp;" is more than HIV tested for PrEP initiation"&amp;CHAR(10),""),IF(S125&gt;S124," * screened for Prep initiation testing positive For age "&amp;$R$20&amp;" "&amp;$S$21&amp;" is more than HIV tested for PrEP initiation"&amp;CHAR(10),""),IF(T125&gt;T124," * screened for Prep initiation testing positive For age "&amp;$T$20&amp;" "&amp;$T$21&amp;" is more than HIV tested for PrEP initiation"&amp;CHAR(10),""),IF(U125&gt;U124," * screened for Prep initiation testing positive For age "&amp;$T$20&amp;" "&amp;$U$21&amp;" is more than HIV tested for PrEP initiation"&amp;CHAR(10),""),IF(V125&gt;V124," * screened for Prep initiation testing positive For age "&amp;$V$20&amp;" "&amp;$V$21&amp;" is more than HIV tested for PrEP initiation"&amp;CHAR(10),""),IF(W125&gt;W124," * screened for Prep initiation testing positive For age "&amp;$V$20&amp;" "&amp;$W$21&amp;" is more than HIV tested for PrEP initiation"&amp;CHAR(10),""),IF(X125&gt;X124," * screened for Prep initiation testing positive For age "&amp;$X$20&amp;" "&amp;$X$21&amp;" is more than HIV tested for PrEP initiation"&amp;CHAR(10),""),IF(Y125&gt;Y124," * screened for Prep initiation testing positive For age "&amp;$X$20&amp;" "&amp;$Y$21&amp;" is more than HIV tested for PrEP initiation"&amp;CHAR(10),""),IF(Z125&gt;Z124," * screened for Prep initiation testing positive For age "&amp;$Z$20&amp;" "&amp;$Z$21&amp;" is more than HIV tested for PrEP initiation"&amp;CHAR(10),""),IF(AA125&gt;AA124," * screened for Prep initiation testing positive For age "&amp;$Z$20&amp;" "&amp;$AA$21&amp;" is more than HIV tested for PrEP initiation"&amp;CHAR(10),""))</f>
        <v/>
      </c>
      <c r="AL125" s="1040"/>
      <c r="AM125" s="31"/>
      <c r="AN125" s="1031"/>
      <c r="AO125" s="13">
        <v>65</v>
      </c>
      <c r="AP125" s="74"/>
      <c r="AQ125" s="75"/>
    </row>
    <row r="126" spans="1:43" ht="27" thickBot="1" x14ac:dyDescent="0.45">
      <c r="A126" s="1088"/>
      <c r="B126" s="87" t="s">
        <v>649</v>
      </c>
      <c r="C126" s="630" t="s">
        <v>185</v>
      </c>
      <c r="D126" s="103"/>
      <c r="E126" s="102"/>
      <c r="F126" s="102"/>
      <c r="G126" s="102"/>
      <c r="H126" s="102"/>
      <c r="I126" s="102"/>
      <c r="J126" s="89"/>
      <c r="K126" s="89"/>
      <c r="L126" s="89"/>
      <c r="M126" s="89"/>
      <c r="N126" s="89"/>
      <c r="O126" s="89"/>
      <c r="P126" s="89"/>
      <c r="Q126" s="89"/>
      <c r="R126" s="89"/>
      <c r="S126" s="89"/>
      <c r="T126" s="89"/>
      <c r="U126" s="89"/>
      <c r="V126" s="89"/>
      <c r="W126" s="89"/>
      <c r="X126" s="89"/>
      <c r="Y126" s="89"/>
      <c r="Z126" s="89"/>
      <c r="AA126" s="320"/>
      <c r="AB126" s="386"/>
      <c r="AC126" s="356"/>
      <c r="AD126" s="356"/>
      <c r="AE126" s="356"/>
      <c r="AF126" s="356"/>
      <c r="AG126" s="356"/>
      <c r="AH126" s="356"/>
      <c r="AI126" s="313"/>
      <c r="AJ126" s="192">
        <f t="shared" ref="AJ126:AJ161" si="46">SUM(D126:AA126)</f>
        <v>0</v>
      </c>
      <c r="AK126" s="130" t="str">
        <f>CONCATENATE(IF(D126&gt;(D124-D125)," * Eligible For Prep For age "&amp;$D$20&amp;" "&amp;$D$21&amp;" is more than Clients tested HIV Negative for Prep Initiation"&amp;CHAR(10),""),IF(E126&gt;(E124-E125)," * Eligible For Prep For age "&amp;$D$20&amp;" "&amp;$E$21&amp;" is more than Clients tested HIV Negative for Prep Initiation"&amp;CHAR(10),""),IF(F126&gt;(F124-F125)," * Eligible For Prep For age "&amp;$F$20&amp;" "&amp;$F$21&amp;" is more than Clients tested HIV Negative for Prep Initiation"&amp;CHAR(10),""),IF(G126&gt;(G124-G125)," * Eligible For Prep For age "&amp;$F$20&amp;" "&amp;$G$21&amp;" is more than Clients tested HIV Negative for Prep Initiation"&amp;CHAR(10),""),IF(H126&gt;(H124-H125)," * Eligible For Prep For age "&amp;$H$20&amp;" "&amp;$H$21&amp;" is more than Clients tested HIV Negative for Prep Initiation"&amp;CHAR(10),""),IF(I126&gt;(I124-I125)," * Eligible For Prep For age "&amp;$H$20&amp;" "&amp;$I$21&amp;" is more than Clients tested HIV Negative for Prep Initiation"&amp;CHAR(10),""),IF(J126&gt;(J124-J125)," * Eligible For Prep For age "&amp;$J$20&amp;" "&amp;$J$21&amp;" is more than Clients tested HIV Negative for Prep Initiation"&amp;CHAR(10),""),IF(K126&gt;(K124-K125)," * Eligible For Prep For age "&amp;$J$20&amp;" "&amp;$K$21&amp;" is more than Clients tested HIV Negative for Prep Initiation"&amp;CHAR(10),""),IF(L126&gt;(L124-L125)," * Eligible For Prep For age "&amp;$L$20&amp;" "&amp;$L$21&amp;" is more than Clients tested HIV Negative for Prep Initiation"&amp;CHAR(10),""),IF(M126&gt;(M124-M125)," * Eligible For Prep For age "&amp;$L$20&amp;" "&amp;$M$21&amp;" is more than Clients tested HIV Negative for Prep Initiation"&amp;CHAR(10),""),IF(N126&gt;(N124-N125)," * Eligible For Prep For age "&amp;$N$20&amp;" "&amp;$N$21&amp;" is more than Clients tested HIV Negative for Prep Initiation"&amp;CHAR(10),""),IF(O126&gt;(O124-O125)," * Eligible For Prep For age "&amp;$N$20&amp;" "&amp;$O$21&amp;" is more than Clients tested HIV Negative for Prep Initiation"&amp;CHAR(10),""),IF(P126&gt;(P124-P125)," * Eligible For Prep For age "&amp;$P$20&amp;" "&amp;$P$21&amp;" is more than Clients tested HIV Negative for Prep Initiation"&amp;CHAR(10),""),IF(Q126&gt;(Q124-Q125)," * Eligible For Prep For age "&amp;$P$20&amp;" "&amp;$Q$21&amp;" is more than Clients tested HIV Negative for Prep Initiation"&amp;CHAR(10),""),IF(R126&gt;(R124-R125)," * Eligible For Prep For age "&amp;$R$20&amp;" "&amp;$R$21&amp;" is more than Clients tested HIV Negative for Prep Initiation"&amp;CHAR(10),""),IF(S126&gt;(S124-S125)," * Eligible For Prep For age "&amp;$R$20&amp;" "&amp;$S$21&amp;" is more than Clients tested HIV Negative for Prep Initiation"&amp;CHAR(10),""),IF(T126&gt;(T124-T125)," * Eligible For Prep For age "&amp;$T$20&amp;" "&amp;$T$21&amp;" is more than Clients tested HIV Negative for Prep Initiation"&amp;CHAR(10),""),IF(U126&gt;(U124-U125)," * Eligible For Prep For age "&amp;$T$20&amp;" "&amp;$U$21&amp;" is more than Clients tested HIV Negative for Prep Initiation"&amp;CHAR(10),""),IF(V126&gt;(V124-V125)," * Eligible For Prep For age "&amp;$V$20&amp;" "&amp;$V$21&amp;" is more than Clients tested HIV Negative for Prep Initiation"&amp;CHAR(10),""),IF(W126&gt;(W124-W125)," * Eligible For Prep For age "&amp;$V$20&amp;" "&amp;$W$21&amp;" is more than Clients tested HIV Negative for Prep Initiation"&amp;CHAR(10),""),IF(X126&gt;(X124-X125)," * Eligible For Prep For age "&amp;$X$20&amp;" "&amp;$X$21&amp;" is more than Clients tested HIV Negative for Prep Initiation"&amp;CHAR(10),""),IF(Y126&gt;(Y124-Y125)," * Eligible For Prep For age "&amp;$X$20&amp;" "&amp;$Y$21&amp;" is more than Clients tested HIV Negative for Prep Initiation"&amp;CHAR(10),""),IF(Z126&gt;(Z124-Z125)," * Eligible For Prep For age "&amp;$Z$20&amp;" "&amp;$Z$21&amp;" is more than Clients tested HIV Negative for Prep Initiation"&amp;CHAR(10),""),IF(AA126&gt;(AA124-AA125)," * Eligible For Prep For age "&amp;$Z$20&amp;" "&amp;$AA$21&amp;" is more than Clients tested HIV Negative for Prep Initiation"&amp;CHAR(10),""))</f>
        <v/>
      </c>
      <c r="AL126" s="1040"/>
      <c r="AM126" s="31"/>
      <c r="AN126" s="1031"/>
      <c r="AO126" s="13">
        <v>66</v>
      </c>
      <c r="AP126" s="74"/>
      <c r="AQ126" s="75"/>
    </row>
    <row r="127" spans="1:43" ht="27" thickBot="1" x14ac:dyDescent="0.45">
      <c r="A127" s="654" t="s">
        <v>583</v>
      </c>
      <c r="B127" s="552" t="s">
        <v>633</v>
      </c>
      <c r="C127" s="571" t="s">
        <v>186</v>
      </c>
      <c r="D127" s="553"/>
      <c r="E127" s="480"/>
      <c r="F127" s="480"/>
      <c r="G127" s="480"/>
      <c r="H127" s="480"/>
      <c r="I127" s="480"/>
      <c r="J127" s="558">
        <f>SUM(J128:J136)</f>
        <v>0</v>
      </c>
      <c r="K127" s="558">
        <f t="shared" ref="K127:AA127" si="47">SUM(K128:K136)</f>
        <v>0</v>
      </c>
      <c r="L127" s="558">
        <f t="shared" si="47"/>
        <v>0</v>
      </c>
      <c r="M127" s="558">
        <f t="shared" si="47"/>
        <v>0</v>
      </c>
      <c r="N127" s="558">
        <f t="shared" si="47"/>
        <v>0</v>
      </c>
      <c r="O127" s="558">
        <f t="shared" si="47"/>
        <v>0</v>
      </c>
      <c r="P127" s="558">
        <f t="shared" si="47"/>
        <v>0</v>
      </c>
      <c r="Q127" s="558">
        <f t="shared" si="47"/>
        <v>0</v>
      </c>
      <c r="R127" s="558">
        <f t="shared" si="47"/>
        <v>0</v>
      </c>
      <c r="S127" s="558">
        <f t="shared" si="47"/>
        <v>0</v>
      </c>
      <c r="T127" s="558">
        <f t="shared" si="47"/>
        <v>0</v>
      </c>
      <c r="U127" s="558">
        <f t="shared" si="47"/>
        <v>0</v>
      </c>
      <c r="V127" s="558">
        <f t="shared" si="47"/>
        <v>0</v>
      </c>
      <c r="W127" s="558">
        <f t="shared" si="47"/>
        <v>0</v>
      </c>
      <c r="X127" s="558">
        <f t="shared" si="47"/>
        <v>0</v>
      </c>
      <c r="Y127" s="558">
        <f t="shared" si="47"/>
        <v>0</v>
      </c>
      <c r="Z127" s="558">
        <f t="shared" si="47"/>
        <v>0</v>
      </c>
      <c r="AA127" s="558">
        <f t="shared" si="47"/>
        <v>0</v>
      </c>
      <c r="AB127" s="386"/>
      <c r="AC127" s="356"/>
      <c r="AD127" s="356"/>
      <c r="AE127" s="356"/>
      <c r="AF127" s="356"/>
      <c r="AG127" s="356"/>
      <c r="AH127" s="356"/>
      <c r="AI127" s="313"/>
      <c r="AJ127" s="558">
        <f t="shared" ref="AJ127" si="48">SUM(AJ128:AJ136)</f>
        <v>0</v>
      </c>
      <c r="AK127" s="116" t="str">
        <f>CONCATENATE(IF(D127&gt;D126," * Initiated on Prep For age "&amp;$D$20&amp;" "&amp;$D$21&amp;" is more than Eligible for Prep initiation"&amp;CHAR(10),""),IF(E127&gt;E126," * Initiated on Prep For age "&amp;$D$20&amp;" "&amp;$E$21&amp;" is more than Eligible for Prep initiation"&amp;CHAR(10),""),IF(F127&gt;F126," * Initiated on Prep For age "&amp;$F$20&amp;" "&amp;$F$21&amp;" is more than Eligible for Prep initiation"&amp;CHAR(10),""),IF(G127&gt;G126," * Initiated on Prep For age "&amp;$F$20&amp;" "&amp;$G$21&amp;" is more than Eligible for Prep initiation"&amp;CHAR(10),""),IF(H127&gt;H126," * Initiated on Prep For age "&amp;$H$20&amp;" "&amp;$H$21&amp;" is more than Eligible for Prep initiation"&amp;CHAR(10),""),IF(I127&gt;I126," * Initiated on Prep For age "&amp;$H$20&amp;" "&amp;$I$21&amp;" is more than Eligible for Prep initiation"&amp;CHAR(10),""),IF(J127&gt;J126," * Initiated on Prep For age "&amp;$J$20&amp;" "&amp;$J$21&amp;" is more than Eligible for Prep initiation"&amp;CHAR(10),""),IF(K127&gt;K126," * Initiated on Prep For age "&amp;$J$20&amp;" "&amp;$K$21&amp;" is more than Eligible for Prep initiation"&amp;CHAR(10),""),IF(L127&gt;L126," * Initiated on Prep For age "&amp;$L$20&amp;" "&amp;$L$21&amp;" is more than Eligible for Prep initiation"&amp;CHAR(10),""),IF(M127&gt;M126," * Initiated on Prep For age "&amp;$L$20&amp;" "&amp;$M$21&amp;" is more than Eligible for Prep initiation"&amp;CHAR(10),""),IF(N127&gt;N126," * Initiated on Prep For age "&amp;$N$20&amp;" "&amp;$N$21&amp;" is more than Eligible for Prep initiation"&amp;CHAR(10),""),IF(O127&gt;O126," * Initiated on Prep For age "&amp;$N$20&amp;" "&amp;$O$21&amp;" is more than Eligible for Prep initiation"&amp;CHAR(10),""),IF(P127&gt;P126," * Initiated on Prep For age "&amp;$P$20&amp;" "&amp;$P$21&amp;" is more than Eligible for Prep initiation"&amp;CHAR(10),""),IF(Q127&gt;Q126," * Initiated on Prep For age "&amp;$P$20&amp;" "&amp;$Q$21&amp;" is more than Eligible for Prep initiation"&amp;CHAR(10),""),IF(R127&gt;R126," * Initiated on Prep For age "&amp;$R$20&amp;" "&amp;$R$21&amp;" is more than Eligible for Prep initiation"&amp;CHAR(10),""),IF(S127&gt;S126," * Initiated on Prep For age "&amp;$R$20&amp;" "&amp;$S$21&amp;" is more than Eligible for Prep initiation"&amp;CHAR(10),""),IF(T127&gt;T126," * Initiated on Prep For age "&amp;$T$20&amp;" "&amp;$T$21&amp;" is more than Eligible for Prep initiation"&amp;CHAR(10),""),IF(U127&gt;U126," * Initiated on Prep For age "&amp;$T$20&amp;" "&amp;$U$21&amp;" is more than Eligible for Prep initiation"&amp;CHAR(10),""),IF(V127&gt;V126," * Initiated on Prep For age "&amp;$V$20&amp;" "&amp;$V$21&amp;" is more than Eligible for Prep initiation"&amp;CHAR(10),""),IF(W127&gt;W126," * Initiated on Prep For age "&amp;$V$20&amp;" "&amp;$W$21&amp;" is more than Eligible for Prep initiation"&amp;CHAR(10),""),IF(X127&gt;X126," * Initiated on Prep For age "&amp;$X$20&amp;" "&amp;$X$21&amp;" is more than Eligible for Prep initiation"&amp;CHAR(10),""),IF(Y127&gt;Y126," * Initiated on Prep For age "&amp;$X$20&amp;" "&amp;$Y$21&amp;" is more than Eligible for Prep initiation"&amp;CHAR(10),""),IF(Z127&gt;Z126," * Initiated on Prep For age "&amp;$Z$20&amp;" "&amp;$Z$21&amp;" is more than Eligible for Prep initiation"&amp;CHAR(10),""),IF(AA127&gt;AA126," * Initiated on Prep For age "&amp;$Z$20&amp;" "&amp;$AA$21&amp;" is more than Eligible for Prep initiation"&amp;CHAR(10),""))</f>
        <v/>
      </c>
      <c r="AL127" s="1040"/>
      <c r="AM127" s="31"/>
      <c r="AN127" s="1031"/>
      <c r="AO127" s="13">
        <v>67</v>
      </c>
      <c r="AP127" s="74"/>
      <c r="AQ127" s="75"/>
    </row>
    <row r="128" spans="1:43" ht="25.5" customHeight="1" x14ac:dyDescent="0.4">
      <c r="A128" s="1121" t="s">
        <v>575</v>
      </c>
      <c r="B128" s="91" t="s">
        <v>1222</v>
      </c>
      <c r="C128" s="575" t="s">
        <v>1223</v>
      </c>
      <c r="D128" s="98"/>
      <c r="E128" s="99"/>
      <c r="F128" s="99"/>
      <c r="G128" s="99"/>
      <c r="H128" s="99"/>
      <c r="I128" s="99"/>
      <c r="J128" s="94"/>
      <c r="K128" s="94"/>
      <c r="L128" s="94"/>
      <c r="M128" s="94"/>
      <c r="N128" s="94"/>
      <c r="O128" s="94"/>
      <c r="P128" s="94"/>
      <c r="Q128" s="94"/>
      <c r="R128" s="94"/>
      <c r="S128" s="94"/>
      <c r="T128" s="94"/>
      <c r="U128" s="94"/>
      <c r="V128" s="94"/>
      <c r="W128" s="94"/>
      <c r="X128" s="94"/>
      <c r="Y128" s="94"/>
      <c r="Z128" s="94"/>
      <c r="AA128" s="520"/>
      <c r="AB128" s="386"/>
      <c r="AC128" s="356"/>
      <c r="AD128" s="356"/>
      <c r="AE128" s="356"/>
      <c r="AF128" s="356"/>
      <c r="AG128" s="356"/>
      <c r="AH128" s="356"/>
      <c r="AI128" s="313"/>
      <c r="AJ128" s="173">
        <f t="shared" ref="AJ128:AJ130" si="49">SUM(J128:AA128)</f>
        <v>0</v>
      </c>
      <c r="AK128" s="116"/>
      <c r="AL128" s="1040"/>
      <c r="AM128" s="31"/>
      <c r="AN128" s="1031"/>
      <c r="AO128" s="13">
        <v>68</v>
      </c>
      <c r="AP128" s="74"/>
      <c r="AQ128" s="75"/>
    </row>
    <row r="129" spans="1:43" ht="26.25" x14ac:dyDescent="0.4">
      <c r="A129" s="1122"/>
      <c r="B129" s="76" t="s">
        <v>388</v>
      </c>
      <c r="C129" s="576" t="s">
        <v>1224</v>
      </c>
      <c r="D129" s="77"/>
      <c r="E129" s="78"/>
      <c r="F129" s="78"/>
      <c r="G129" s="78"/>
      <c r="H129" s="78"/>
      <c r="I129" s="78"/>
      <c r="J129" s="79"/>
      <c r="K129" s="79"/>
      <c r="L129" s="79"/>
      <c r="M129" s="79"/>
      <c r="N129" s="79"/>
      <c r="O129" s="79"/>
      <c r="P129" s="79"/>
      <c r="Q129" s="79"/>
      <c r="R129" s="79"/>
      <c r="S129" s="79"/>
      <c r="T129" s="79"/>
      <c r="U129" s="79"/>
      <c r="V129" s="79"/>
      <c r="W129" s="79"/>
      <c r="X129" s="79"/>
      <c r="Y129" s="79"/>
      <c r="Z129" s="79"/>
      <c r="AA129" s="521"/>
      <c r="AB129" s="386"/>
      <c r="AC129" s="356"/>
      <c r="AD129" s="356"/>
      <c r="AE129" s="356"/>
      <c r="AF129" s="356"/>
      <c r="AG129" s="356"/>
      <c r="AH129" s="356"/>
      <c r="AI129" s="313"/>
      <c r="AJ129" s="173">
        <f t="shared" si="49"/>
        <v>0</v>
      </c>
      <c r="AK129" s="116"/>
      <c r="AL129" s="1040"/>
      <c r="AM129" s="31"/>
      <c r="AN129" s="1031"/>
      <c r="AO129" s="13">
        <v>69</v>
      </c>
      <c r="AP129" s="74"/>
      <c r="AQ129" s="75"/>
    </row>
    <row r="130" spans="1:43" ht="27" thickBot="1" x14ac:dyDescent="0.45">
      <c r="A130" s="1122"/>
      <c r="B130" s="76" t="s">
        <v>389</v>
      </c>
      <c r="C130" s="576" t="s">
        <v>1225</v>
      </c>
      <c r="D130" s="77"/>
      <c r="E130" s="78"/>
      <c r="F130" s="78"/>
      <c r="G130" s="78"/>
      <c r="H130" s="78"/>
      <c r="I130" s="78"/>
      <c r="J130" s="79"/>
      <c r="K130" s="78"/>
      <c r="L130" s="79"/>
      <c r="M130" s="78"/>
      <c r="N130" s="79"/>
      <c r="O130" s="78"/>
      <c r="P130" s="79"/>
      <c r="Q130" s="78"/>
      <c r="R130" s="79"/>
      <c r="S130" s="78"/>
      <c r="T130" s="79"/>
      <c r="U130" s="78"/>
      <c r="V130" s="79"/>
      <c r="W130" s="78"/>
      <c r="X130" s="79"/>
      <c r="Y130" s="78"/>
      <c r="Z130" s="79"/>
      <c r="AA130" s="78"/>
      <c r="AB130" s="386"/>
      <c r="AC130" s="356"/>
      <c r="AD130" s="356"/>
      <c r="AE130" s="356"/>
      <c r="AF130" s="356"/>
      <c r="AG130" s="356"/>
      <c r="AH130" s="356"/>
      <c r="AI130" s="313"/>
      <c r="AJ130" s="391">
        <f t="shared" si="49"/>
        <v>0</v>
      </c>
      <c r="AK130" s="116"/>
      <c r="AL130" s="1040"/>
      <c r="AM130" s="31"/>
      <c r="AN130" s="1031"/>
      <c r="AO130" s="13">
        <v>70</v>
      </c>
      <c r="AP130" s="74"/>
      <c r="AQ130" s="75"/>
    </row>
    <row r="131" spans="1:43" ht="27" thickBot="1" x14ac:dyDescent="0.45">
      <c r="A131" s="1122"/>
      <c r="B131" s="76" t="s">
        <v>390</v>
      </c>
      <c r="C131" s="576" t="s">
        <v>1226</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386"/>
      <c r="AC131" s="356"/>
      <c r="AD131" s="356"/>
      <c r="AE131" s="356"/>
      <c r="AF131" s="356"/>
      <c r="AG131" s="356"/>
      <c r="AH131" s="356"/>
      <c r="AI131" s="313"/>
      <c r="AJ131" s="839"/>
      <c r="AK131" s="116"/>
      <c r="AL131" s="1040"/>
      <c r="AM131" s="31"/>
      <c r="AN131" s="1031"/>
      <c r="AO131" s="13">
        <v>71</v>
      </c>
      <c r="AP131" s="74"/>
      <c r="AQ131" s="75"/>
    </row>
    <row r="132" spans="1:43" ht="26.25" x14ac:dyDescent="0.4">
      <c r="A132" s="1122"/>
      <c r="B132" s="76" t="s">
        <v>391</v>
      </c>
      <c r="C132" s="576" t="s">
        <v>1227</v>
      </c>
      <c r="D132" s="77"/>
      <c r="E132" s="78"/>
      <c r="F132" s="78"/>
      <c r="G132" s="78"/>
      <c r="H132" s="78"/>
      <c r="I132" s="78"/>
      <c r="J132" s="78"/>
      <c r="K132" s="79"/>
      <c r="L132" s="78"/>
      <c r="M132" s="79"/>
      <c r="N132" s="78"/>
      <c r="O132" s="79"/>
      <c r="P132" s="78"/>
      <c r="Q132" s="79"/>
      <c r="R132" s="78"/>
      <c r="S132" s="79"/>
      <c r="T132" s="78"/>
      <c r="U132" s="79"/>
      <c r="V132" s="78"/>
      <c r="W132" s="79"/>
      <c r="X132" s="78"/>
      <c r="Y132" s="79"/>
      <c r="Z132" s="78"/>
      <c r="AA132" s="521"/>
      <c r="AB132" s="386"/>
      <c r="AC132" s="356"/>
      <c r="AD132" s="356"/>
      <c r="AE132" s="356"/>
      <c r="AF132" s="356"/>
      <c r="AG132" s="356"/>
      <c r="AH132" s="356"/>
      <c r="AI132" s="313"/>
      <c r="AJ132" s="52">
        <f>SUM(J132:AA132)</f>
        <v>0</v>
      </c>
      <c r="AK132" s="116"/>
      <c r="AL132" s="1040"/>
      <c r="AM132" s="31"/>
      <c r="AN132" s="1031"/>
      <c r="AO132" s="13">
        <v>72</v>
      </c>
      <c r="AP132" s="74"/>
      <c r="AQ132" s="75"/>
    </row>
    <row r="133" spans="1:43" ht="27" thickBot="1" x14ac:dyDescent="0.45">
      <c r="A133" s="1122"/>
      <c r="B133" s="87" t="s">
        <v>1232</v>
      </c>
      <c r="C133" s="576" t="s">
        <v>1228</v>
      </c>
      <c r="D133" s="77"/>
      <c r="E133" s="78"/>
      <c r="F133" s="78"/>
      <c r="G133" s="78"/>
      <c r="H133" s="78"/>
      <c r="I133" s="78"/>
      <c r="J133" s="78"/>
      <c r="K133" s="79"/>
      <c r="L133" s="78"/>
      <c r="M133" s="79"/>
      <c r="N133" s="78"/>
      <c r="O133" s="79"/>
      <c r="P133" s="78"/>
      <c r="Q133" s="78"/>
      <c r="R133" s="78"/>
      <c r="S133" s="78"/>
      <c r="T133" s="78"/>
      <c r="U133" s="78"/>
      <c r="V133" s="78"/>
      <c r="W133" s="78"/>
      <c r="X133" s="78"/>
      <c r="Y133" s="78"/>
      <c r="Z133" s="78"/>
      <c r="AA133" s="78"/>
      <c r="AB133" s="386"/>
      <c r="AC133" s="356"/>
      <c r="AD133" s="356"/>
      <c r="AE133" s="356"/>
      <c r="AF133" s="356"/>
      <c r="AG133" s="356"/>
      <c r="AH133" s="356"/>
      <c r="AI133" s="313"/>
      <c r="AJ133" s="192">
        <f>SUM(J133:AA133)</f>
        <v>0</v>
      </c>
      <c r="AK133" s="116"/>
      <c r="AL133" s="1040"/>
      <c r="AM133" s="31"/>
      <c r="AN133" s="1031"/>
      <c r="AO133" s="13">
        <v>73</v>
      </c>
      <c r="AP133" s="74"/>
      <c r="AQ133" s="75"/>
    </row>
    <row r="134" spans="1:43" ht="25.5" customHeight="1" x14ac:dyDescent="0.4">
      <c r="A134" s="1122"/>
      <c r="B134" s="91" t="s">
        <v>1233</v>
      </c>
      <c r="C134" s="576" t="s">
        <v>1229</v>
      </c>
      <c r="D134" s="77"/>
      <c r="E134" s="78"/>
      <c r="F134" s="78"/>
      <c r="G134" s="78"/>
      <c r="H134" s="78"/>
      <c r="I134" s="78"/>
      <c r="J134" s="79"/>
      <c r="K134" s="78"/>
      <c r="L134" s="79"/>
      <c r="M134" s="78"/>
      <c r="N134" s="79"/>
      <c r="O134" s="78"/>
      <c r="P134" s="79"/>
      <c r="Q134" s="78"/>
      <c r="R134" s="79"/>
      <c r="S134" s="78"/>
      <c r="T134" s="79"/>
      <c r="U134" s="78"/>
      <c r="V134" s="79"/>
      <c r="W134" s="78"/>
      <c r="X134" s="79"/>
      <c r="Y134" s="78"/>
      <c r="Z134" s="79"/>
      <c r="AA134" s="78"/>
      <c r="AB134" s="386"/>
      <c r="AC134" s="356"/>
      <c r="AD134" s="356"/>
      <c r="AE134" s="356"/>
      <c r="AF134" s="356"/>
      <c r="AG134" s="356"/>
      <c r="AH134" s="356"/>
      <c r="AI134" s="313"/>
      <c r="AJ134" s="188">
        <f>SUM(J134:AA134)</f>
        <v>0</v>
      </c>
      <c r="AK134" s="130"/>
      <c r="AL134" s="1040"/>
      <c r="AM134" s="31"/>
      <c r="AN134" s="1031"/>
      <c r="AO134" s="13">
        <v>74</v>
      </c>
      <c r="AP134" s="74"/>
      <c r="AQ134" s="75"/>
    </row>
    <row r="135" spans="1:43" ht="26.25" x14ac:dyDescent="0.4">
      <c r="A135" s="1122"/>
      <c r="B135" s="76" t="s">
        <v>1234</v>
      </c>
      <c r="C135" s="576" t="s">
        <v>1230</v>
      </c>
      <c r="D135" s="77"/>
      <c r="E135" s="78"/>
      <c r="F135" s="78"/>
      <c r="G135" s="78"/>
      <c r="H135" s="78"/>
      <c r="I135" s="78"/>
      <c r="J135" s="78"/>
      <c r="K135" s="79"/>
      <c r="L135" s="78"/>
      <c r="M135" s="79"/>
      <c r="N135" s="78"/>
      <c r="O135" s="79"/>
      <c r="P135" s="78"/>
      <c r="Q135" s="79"/>
      <c r="R135" s="78"/>
      <c r="S135" s="79"/>
      <c r="T135" s="78"/>
      <c r="U135" s="79"/>
      <c r="V135" s="78"/>
      <c r="W135" s="79"/>
      <c r="X135" s="78"/>
      <c r="Y135" s="79"/>
      <c r="Z135" s="78"/>
      <c r="AA135" s="521"/>
      <c r="AB135" s="386"/>
      <c r="AC135" s="356"/>
      <c r="AD135" s="356"/>
      <c r="AE135" s="356"/>
      <c r="AF135" s="356"/>
      <c r="AG135" s="356"/>
      <c r="AH135" s="356"/>
      <c r="AI135" s="313"/>
      <c r="AJ135" s="173">
        <f>SUM(J135:AA135)</f>
        <v>0</v>
      </c>
      <c r="AK135" s="116"/>
      <c r="AL135" s="1040"/>
      <c r="AM135" s="31"/>
      <c r="AN135" s="1031"/>
      <c r="AO135" s="13">
        <v>75</v>
      </c>
      <c r="AP135" s="74"/>
      <c r="AQ135" s="75"/>
    </row>
    <row r="136" spans="1:43" ht="27" thickBot="1" x14ac:dyDescent="0.45">
      <c r="A136" s="1123"/>
      <c r="B136" s="87" t="s">
        <v>1235</v>
      </c>
      <c r="C136" s="577" t="s">
        <v>1231</v>
      </c>
      <c r="D136" s="103"/>
      <c r="E136" s="102"/>
      <c r="F136" s="102"/>
      <c r="G136" s="102"/>
      <c r="H136" s="102"/>
      <c r="I136" s="102"/>
      <c r="J136" s="78"/>
      <c r="K136" s="89"/>
      <c r="L136" s="78"/>
      <c r="M136" s="89"/>
      <c r="N136" s="78"/>
      <c r="O136" s="89"/>
      <c r="P136" s="78"/>
      <c r="Q136" s="89"/>
      <c r="R136" s="78"/>
      <c r="S136" s="89"/>
      <c r="T136" s="78"/>
      <c r="U136" s="89"/>
      <c r="V136" s="78"/>
      <c r="W136" s="89"/>
      <c r="X136" s="78"/>
      <c r="Y136" s="89"/>
      <c r="Z136" s="78"/>
      <c r="AA136" s="557"/>
      <c r="AB136" s="386"/>
      <c r="AC136" s="356"/>
      <c r="AD136" s="356"/>
      <c r="AE136" s="356"/>
      <c r="AF136" s="356"/>
      <c r="AG136" s="356"/>
      <c r="AH136" s="356"/>
      <c r="AI136" s="313"/>
      <c r="AJ136" s="173">
        <f t="shared" ref="AJ136:AJ138" si="50">SUM(J136:AA136)</f>
        <v>0</v>
      </c>
      <c r="AK136" s="116"/>
      <c r="AL136" s="1040"/>
      <c r="AM136" s="31"/>
      <c r="AN136" s="1031"/>
      <c r="AO136" s="13">
        <v>76</v>
      </c>
      <c r="AP136" s="74"/>
      <c r="AQ136" s="75"/>
    </row>
    <row r="137" spans="1:43" ht="27" hidden="1" customHeight="1" thickBot="1" x14ac:dyDescent="0.45">
      <c r="A137" s="554"/>
      <c r="B137" s="529" t="s">
        <v>650</v>
      </c>
      <c r="C137" s="586" t="s">
        <v>187</v>
      </c>
      <c r="D137" s="555"/>
      <c r="E137" s="524"/>
      <c r="F137" s="524"/>
      <c r="G137" s="524"/>
      <c r="H137" s="524"/>
      <c r="I137" s="524"/>
      <c r="J137" s="413"/>
      <c r="K137" s="413"/>
      <c r="L137" s="413"/>
      <c r="M137" s="413"/>
      <c r="N137" s="413"/>
      <c r="O137" s="413"/>
      <c r="P137" s="413"/>
      <c r="Q137" s="413"/>
      <c r="R137" s="413"/>
      <c r="S137" s="413"/>
      <c r="T137" s="413"/>
      <c r="U137" s="413"/>
      <c r="V137" s="413"/>
      <c r="W137" s="413"/>
      <c r="X137" s="413"/>
      <c r="Y137" s="413"/>
      <c r="Z137" s="413"/>
      <c r="AA137" s="556"/>
      <c r="AB137" s="386"/>
      <c r="AC137" s="356"/>
      <c r="AD137" s="356"/>
      <c r="AE137" s="356"/>
      <c r="AF137" s="356"/>
      <c r="AG137" s="356"/>
      <c r="AH137" s="356"/>
      <c r="AI137" s="313"/>
      <c r="AJ137" s="173">
        <f t="shared" si="50"/>
        <v>0</v>
      </c>
      <c r="AK137" s="30"/>
      <c r="AL137" s="1040"/>
      <c r="AM137" s="31"/>
      <c r="AN137" s="1031"/>
      <c r="AO137" s="13">
        <v>77</v>
      </c>
      <c r="AP137" s="74"/>
      <c r="AQ137" s="75"/>
    </row>
    <row r="138" spans="1:43" ht="105.75" thickBot="1" x14ac:dyDescent="0.45">
      <c r="A138" s="554" t="s">
        <v>1015</v>
      </c>
      <c r="B138" s="311" t="s">
        <v>1221</v>
      </c>
      <c r="C138" s="578" t="s">
        <v>1016</v>
      </c>
      <c r="D138" s="309"/>
      <c r="E138" s="310"/>
      <c r="F138" s="310"/>
      <c r="G138" s="310"/>
      <c r="H138" s="310"/>
      <c r="I138" s="310"/>
      <c r="J138" s="240"/>
      <c r="K138" s="240"/>
      <c r="L138" s="240"/>
      <c r="M138" s="240"/>
      <c r="N138" s="240"/>
      <c r="O138" s="240"/>
      <c r="P138" s="240"/>
      <c r="Q138" s="240"/>
      <c r="R138" s="240"/>
      <c r="S138" s="240"/>
      <c r="T138" s="240"/>
      <c r="U138" s="240"/>
      <c r="V138" s="240"/>
      <c r="W138" s="240"/>
      <c r="X138" s="240"/>
      <c r="Y138" s="240"/>
      <c r="Z138" s="240"/>
      <c r="AA138" s="333"/>
      <c r="AB138" s="386"/>
      <c r="AC138" s="356"/>
      <c r="AD138" s="356"/>
      <c r="AE138" s="356"/>
      <c r="AF138" s="356"/>
      <c r="AG138" s="356"/>
      <c r="AH138" s="356"/>
      <c r="AI138" s="313"/>
      <c r="AJ138" s="173">
        <f t="shared" si="50"/>
        <v>0</v>
      </c>
      <c r="AK138" s="30"/>
      <c r="AL138" s="1040"/>
      <c r="AM138" s="31"/>
      <c r="AN138" s="1031"/>
      <c r="AO138" s="13"/>
      <c r="AP138" s="74"/>
      <c r="AQ138" s="75"/>
    </row>
    <row r="139" spans="1:43" ht="53.25" hidden="1" customHeight="1" thickBot="1" x14ac:dyDescent="0.45">
      <c r="A139" s="655" t="s">
        <v>838</v>
      </c>
      <c r="B139" s="131" t="s">
        <v>1000</v>
      </c>
      <c r="C139" s="575" t="s">
        <v>563</v>
      </c>
      <c r="D139" s="98"/>
      <c r="E139" s="99"/>
      <c r="F139" s="99"/>
      <c r="G139" s="99"/>
      <c r="H139" s="99"/>
      <c r="I139" s="99"/>
      <c r="J139" s="132">
        <f>SUM(J140:J145)</f>
        <v>0</v>
      </c>
      <c r="K139" s="132">
        <f t="shared" ref="K139:AA139" si="51">SUM(K140:K145)</f>
        <v>0</v>
      </c>
      <c r="L139" s="132">
        <f t="shared" si="51"/>
        <v>0</v>
      </c>
      <c r="M139" s="132">
        <f t="shared" si="51"/>
        <v>0</v>
      </c>
      <c r="N139" s="132">
        <f t="shared" si="51"/>
        <v>0</v>
      </c>
      <c r="O139" s="132">
        <f t="shared" si="51"/>
        <v>0</v>
      </c>
      <c r="P139" s="132">
        <f t="shared" si="51"/>
        <v>0</v>
      </c>
      <c r="Q139" s="132">
        <f t="shared" si="51"/>
        <v>0</v>
      </c>
      <c r="R139" s="132">
        <f t="shared" si="51"/>
        <v>0</v>
      </c>
      <c r="S139" s="132">
        <f t="shared" si="51"/>
        <v>0</v>
      </c>
      <c r="T139" s="132">
        <f t="shared" si="51"/>
        <v>0</v>
      </c>
      <c r="U139" s="132">
        <f t="shared" si="51"/>
        <v>0</v>
      </c>
      <c r="V139" s="132">
        <f t="shared" si="51"/>
        <v>0</v>
      </c>
      <c r="W139" s="132">
        <f t="shared" si="51"/>
        <v>0</v>
      </c>
      <c r="X139" s="132">
        <f t="shared" si="51"/>
        <v>0</v>
      </c>
      <c r="Y139" s="132">
        <f t="shared" si="51"/>
        <v>0</v>
      </c>
      <c r="Z139" s="132">
        <f t="shared" si="51"/>
        <v>0</v>
      </c>
      <c r="AA139" s="332">
        <f t="shared" si="51"/>
        <v>0</v>
      </c>
      <c r="AB139" s="386"/>
      <c r="AC139" s="356"/>
      <c r="AD139" s="356"/>
      <c r="AE139" s="356"/>
      <c r="AF139" s="356"/>
      <c r="AG139" s="356"/>
      <c r="AH139" s="356"/>
      <c r="AI139" s="313"/>
      <c r="AJ139" s="390">
        <f>SUM(J139:AA139)</f>
        <v>0</v>
      </c>
      <c r="AK139" s="30"/>
      <c r="AL139" s="1040"/>
      <c r="AM139" s="31"/>
      <c r="AN139" s="1031"/>
      <c r="AO139" s="13">
        <v>78</v>
      </c>
      <c r="AP139" s="74"/>
      <c r="AQ139" s="75"/>
    </row>
    <row r="140" spans="1:43" ht="26.25" hidden="1" customHeight="1" x14ac:dyDescent="0.4">
      <c r="A140" s="1086" t="s">
        <v>574</v>
      </c>
      <c r="B140" s="76" t="s">
        <v>393</v>
      </c>
      <c r="C140" s="576" t="s">
        <v>584</v>
      </c>
      <c r="D140" s="77"/>
      <c r="E140" s="78"/>
      <c r="F140" s="78"/>
      <c r="G140" s="78"/>
      <c r="H140" s="78"/>
      <c r="I140" s="78"/>
      <c r="J140" s="79"/>
      <c r="K140" s="79"/>
      <c r="L140" s="79"/>
      <c r="M140" s="79"/>
      <c r="N140" s="79"/>
      <c r="O140" s="79"/>
      <c r="P140" s="79"/>
      <c r="Q140" s="79"/>
      <c r="R140" s="79"/>
      <c r="S140" s="79"/>
      <c r="T140" s="79"/>
      <c r="U140" s="79"/>
      <c r="V140" s="79"/>
      <c r="W140" s="79"/>
      <c r="X140" s="79"/>
      <c r="Y140" s="79"/>
      <c r="Z140" s="79"/>
      <c r="AA140" s="318"/>
      <c r="AB140" s="386"/>
      <c r="AC140" s="356"/>
      <c r="AD140" s="356"/>
      <c r="AE140" s="356"/>
      <c r="AF140" s="356"/>
      <c r="AG140" s="356"/>
      <c r="AH140" s="356"/>
      <c r="AI140" s="313"/>
      <c r="AJ140" s="173">
        <f>SUM(J140:AA140)</f>
        <v>0</v>
      </c>
      <c r="AK140" s="116"/>
      <c r="AL140" s="1040"/>
      <c r="AM140" s="31"/>
      <c r="AN140" s="1031"/>
      <c r="AO140" s="13">
        <v>79</v>
      </c>
      <c r="AP140" s="74"/>
      <c r="AQ140" s="75"/>
    </row>
    <row r="141" spans="1:43" ht="26.25" hidden="1" customHeight="1" x14ac:dyDescent="0.4">
      <c r="A141" s="1087"/>
      <c r="B141" s="76" t="s">
        <v>388</v>
      </c>
      <c r="C141" s="576" t="s">
        <v>585</v>
      </c>
      <c r="D141" s="77"/>
      <c r="E141" s="78"/>
      <c r="F141" s="78"/>
      <c r="G141" s="78"/>
      <c r="H141" s="78"/>
      <c r="I141" s="78"/>
      <c r="J141" s="79"/>
      <c r="K141" s="79"/>
      <c r="L141" s="79"/>
      <c r="M141" s="79"/>
      <c r="N141" s="79"/>
      <c r="O141" s="79"/>
      <c r="P141" s="79"/>
      <c r="Q141" s="79"/>
      <c r="R141" s="79"/>
      <c r="S141" s="79"/>
      <c r="T141" s="79"/>
      <c r="U141" s="79"/>
      <c r="V141" s="79"/>
      <c r="W141" s="79"/>
      <c r="X141" s="79"/>
      <c r="Y141" s="79"/>
      <c r="Z141" s="79"/>
      <c r="AA141" s="318"/>
      <c r="AB141" s="386"/>
      <c r="AC141" s="356"/>
      <c r="AD141" s="356"/>
      <c r="AE141" s="356"/>
      <c r="AF141" s="356"/>
      <c r="AG141" s="356"/>
      <c r="AH141" s="356"/>
      <c r="AI141" s="313"/>
      <c r="AJ141" s="173">
        <f>SUM(J141:AA141)</f>
        <v>0</v>
      </c>
      <c r="AK141" s="116"/>
      <c r="AL141" s="1040"/>
      <c r="AM141" s="31"/>
      <c r="AN141" s="1031"/>
      <c r="AO141" s="13">
        <v>80</v>
      </c>
      <c r="AP141" s="74"/>
      <c r="AQ141" s="75"/>
    </row>
    <row r="142" spans="1:43" ht="26.25" hidden="1" customHeight="1" x14ac:dyDescent="0.4">
      <c r="A142" s="1087"/>
      <c r="B142" s="76" t="s">
        <v>389</v>
      </c>
      <c r="C142" s="576" t="s">
        <v>586</v>
      </c>
      <c r="D142" s="77"/>
      <c r="E142" s="78"/>
      <c r="F142" s="78"/>
      <c r="G142" s="78"/>
      <c r="H142" s="78"/>
      <c r="I142" s="78"/>
      <c r="J142" s="79"/>
      <c r="K142" s="79"/>
      <c r="L142" s="79"/>
      <c r="M142" s="79"/>
      <c r="N142" s="79"/>
      <c r="O142" s="79"/>
      <c r="P142" s="79"/>
      <c r="Q142" s="79"/>
      <c r="R142" s="79"/>
      <c r="S142" s="79"/>
      <c r="T142" s="79"/>
      <c r="U142" s="79"/>
      <c r="V142" s="79"/>
      <c r="W142" s="79"/>
      <c r="X142" s="79"/>
      <c r="Y142" s="79"/>
      <c r="Z142" s="79"/>
      <c r="AA142" s="318"/>
      <c r="AB142" s="386"/>
      <c r="AC142" s="356"/>
      <c r="AD142" s="356"/>
      <c r="AE142" s="356"/>
      <c r="AF142" s="356"/>
      <c r="AG142" s="356"/>
      <c r="AH142" s="356"/>
      <c r="AI142" s="313"/>
      <c r="AJ142" s="173">
        <f t="shared" ref="AJ142:AJ145" si="52">SUM(J142:AA142)</f>
        <v>0</v>
      </c>
      <c r="AK142" s="116"/>
      <c r="AL142" s="1040"/>
      <c r="AM142" s="31"/>
      <c r="AN142" s="1031"/>
      <c r="AO142" s="13">
        <v>81</v>
      </c>
      <c r="AP142" s="74"/>
      <c r="AQ142" s="75"/>
    </row>
    <row r="143" spans="1:43" ht="26.25" hidden="1" customHeight="1" x14ac:dyDescent="0.4">
      <c r="A143" s="1087"/>
      <c r="B143" s="76" t="s">
        <v>390</v>
      </c>
      <c r="C143" s="576" t="s">
        <v>587</v>
      </c>
      <c r="D143" s="77"/>
      <c r="E143" s="78"/>
      <c r="F143" s="78"/>
      <c r="G143" s="78"/>
      <c r="H143" s="78"/>
      <c r="I143" s="78"/>
      <c r="J143" s="79"/>
      <c r="K143" s="79"/>
      <c r="L143" s="79"/>
      <c r="M143" s="79"/>
      <c r="N143" s="79"/>
      <c r="O143" s="79"/>
      <c r="P143" s="79"/>
      <c r="Q143" s="79"/>
      <c r="R143" s="79"/>
      <c r="S143" s="79"/>
      <c r="T143" s="79"/>
      <c r="U143" s="79"/>
      <c r="V143" s="79"/>
      <c r="W143" s="79"/>
      <c r="X143" s="79"/>
      <c r="Y143" s="79"/>
      <c r="Z143" s="79"/>
      <c r="AA143" s="318"/>
      <c r="AB143" s="386"/>
      <c r="AC143" s="356"/>
      <c r="AD143" s="356"/>
      <c r="AE143" s="356"/>
      <c r="AF143" s="356"/>
      <c r="AG143" s="356"/>
      <c r="AH143" s="356"/>
      <c r="AI143" s="313"/>
      <c r="AJ143" s="173">
        <f t="shared" si="52"/>
        <v>0</v>
      </c>
      <c r="AK143" s="116"/>
      <c r="AL143" s="1040"/>
      <c r="AM143" s="31"/>
      <c r="AN143" s="1031"/>
      <c r="AO143" s="13">
        <v>82</v>
      </c>
      <c r="AP143" s="74"/>
      <c r="AQ143" s="75"/>
    </row>
    <row r="144" spans="1:43" ht="26.25" hidden="1" customHeight="1" x14ac:dyDescent="0.4">
      <c r="A144" s="1087"/>
      <c r="B144" s="76" t="s">
        <v>391</v>
      </c>
      <c r="C144" s="576" t="s">
        <v>588</v>
      </c>
      <c r="D144" s="77"/>
      <c r="E144" s="78"/>
      <c r="F144" s="78"/>
      <c r="G144" s="78"/>
      <c r="H144" s="78"/>
      <c r="I144" s="78"/>
      <c r="J144" s="79"/>
      <c r="K144" s="79"/>
      <c r="L144" s="79"/>
      <c r="M144" s="79"/>
      <c r="N144" s="79"/>
      <c r="O144" s="79"/>
      <c r="P144" s="79"/>
      <c r="Q144" s="79"/>
      <c r="R144" s="79"/>
      <c r="S144" s="79"/>
      <c r="T144" s="79"/>
      <c r="U144" s="79"/>
      <c r="V144" s="79"/>
      <c r="W144" s="79"/>
      <c r="X144" s="79"/>
      <c r="Y144" s="79"/>
      <c r="Z144" s="79"/>
      <c r="AA144" s="318"/>
      <c r="AB144" s="386"/>
      <c r="AC144" s="356"/>
      <c r="AD144" s="356"/>
      <c r="AE144" s="356"/>
      <c r="AF144" s="356"/>
      <c r="AG144" s="356"/>
      <c r="AH144" s="356"/>
      <c r="AI144" s="313"/>
      <c r="AJ144" s="173">
        <f t="shared" si="52"/>
        <v>0</v>
      </c>
      <c r="AK144" s="116"/>
      <c r="AL144" s="1040"/>
      <c r="AM144" s="31"/>
      <c r="AN144" s="1031"/>
      <c r="AO144" s="13">
        <v>83</v>
      </c>
      <c r="AP144" s="74"/>
      <c r="AQ144" s="75"/>
    </row>
    <row r="145" spans="1:43" ht="27" hidden="1" customHeight="1" thickBot="1" x14ac:dyDescent="0.45">
      <c r="A145" s="1088"/>
      <c r="B145" s="87" t="s">
        <v>392</v>
      </c>
      <c r="C145" s="577" t="s">
        <v>589</v>
      </c>
      <c r="D145" s="133"/>
      <c r="E145" s="120"/>
      <c r="F145" s="120"/>
      <c r="G145" s="120"/>
      <c r="H145" s="120"/>
      <c r="I145" s="120"/>
      <c r="J145" s="121"/>
      <c r="K145" s="121"/>
      <c r="L145" s="121"/>
      <c r="M145" s="121"/>
      <c r="N145" s="121"/>
      <c r="O145" s="121"/>
      <c r="P145" s="121"/>
      <c r="Q145" s="121"/>
      <c r="R145" s="121"/>
      <c r="S145" s="121"/>
      <c r="T145" s="121"/>
      <c r="U145" s="121"/>
      <c r="V145" s="121"/>
      <c r="W145" s="121"/>
      <c r="X145" s="121"/>
      <c r="Y145" s="121"/>
      <c r="Z145" s="121"/>
      <c r="AA145" s="329"/>
      <c r="AB145" s="386"/>
      <c r="AC145" s="356"/>
      <c r="AD145" s="356"/>
      <c r="AE145" s="356"/>
      <c r="AF145" s="356"/>
      <c r="AG145" s="356"/>
      <c r="AH145" s="356"/>
      <c r="AI145" s="313"/>
      <c r="AJ145" s="391">
        <f t="shared" si="52"/>
        <v>0</v>
      </c>
      <c r="AK145" s="116"/>
      <c r="AL145" s="1040"/>
      <c r="AM145" s="31"/>
      <c r="AN145" s="1031"/>
      <c r="AO145" s="13">
        <v>84</v>
      </c>
      <c r="AP145" s="74"/>
      <c r="AQ145" s="75"/>
    </row>
    <row r="146" spans="1:43" ht="26.25" x14ac:dyDescent="0.4">
      <c r="A146" s="994" t="s">
        <v>1190</v>
      </c>
      <c r="B146" s="91" t="s">
        <v>1191</v>
      </c>
      <c r="C146" s="587" t="s">
        <v>189</v>
      </c>
      <c r="D146" s="134"/>
      <c r="E146" s="99"/>
      <c r="F146" s="99"/>
      <c r="G146" s="99"/>
      <c r="H146" s="99"/>
      <c r="I146" s="99"/>
      <c r="J146" s="94"/>
      <c r="K146" s="94"/>
      <c r="L146" s="94"/>
      <c r="M146" s="94"/>
      <c r="N146" s="94"/>
      <c r="O146" s="94"/>
      <c r="P146" s="94"/>
      <c r="Q146" s="94"/>
      <c r="R146" s="94"/>
      <c r="S146" s="94"/>
      <c r="T146" s="94"/>
      <c r="U146" s="94"/>
      <c r="V146" s="94"/>
      <c r="W146" s="94"/>
      <c r="X146" s="94"/>
      <c r="Y146" s="94"/>
      <c r="Z146" s="94"/>
      <c r="AA146" s="520"/>
      <c r="AB146" s="356"/>
      <c r="AC146" s="356"/>
      <c r="AD146" s="356"/>
      <c r="AE146" s="356"/>
      <c r="AF146" s="356"/>
      <c r="AG146" s="356"/>
      <c r="AH146" s="356"/>
      <c r="AI146" s="356"/>
      <c r="AJ146" s="406">
        <f t="shared" si="46"/>
        <v>0</v>
      </c>
      <c r="AK146" s="1083" t="str">
        <f>CONCATENATE(IF(D147&gt;D146," * F02-07 for Age "&amp;D20&amp;" "&amp;D21&amp;" is more than F02-06"&amp;CHAR(10),""),IF(E147&gt;E146," * F02-07 for Age "&amp;D20&amp;" "&amp;E21&amp;" is more than F02-06"&amp;CHAR(10),""),IF(F147&gt;F146," * F02-07 for Age "&amp;F20&amp;" "&amp;F21&amp;" is more than F02-06"&amp;CHAR(10),""),IF(G147&gt;G146," * F02-07 for Age "&amp;F20&amp;" "&amp;G21&amp;" is more than F02-06"&amp;CHAR(10),""),IF(H147&gt;H146," * F02-07 for Age "&amp;H20&amp;" "&amp;H21&amp;" is more than F02-06"&amp;CHAR(10),""),IF(I147&gt;I146," * F02-07 for Age "&amp;H20&amp;" "&amp;I21&amp;" is more than F02-06"&amp;CHAR(10),""),IF(J147&gt;J146," * F02-07 for Age "&amp;J20&amp;" "&amp;J21&amp;" is more than F02-06"&amp;CHAR(10),""),IF(K147&gt;K146," * F02-07 for Age "&amp;J20&amp;" "&amp;K21&amp;" is more than F02-06"&amp;CHAR(10),""),IF(L147&gt;L146," * F02-07 for Age "&amp;L20&amp;" "&amp;L21&amp;" is more than F02-06"&amp;CHAR(10),""),IF(M147&gt;M146," * F02-07 for Age "&amp;L20&amp;" "&amp;M21&amp;" is more than F02-06"&amp;CHAR(10),""),IF(N147&gt;N146," * F02-07 for Age "&amp;N20&amp;" "&amp;N21&amp;" is more than F02-06"&amp;CHAR(10),""),IF(O147&gt;O146," * F02-07 for Age "&amp;N20&amp;" "&amp;O21&amp;" is more than F02-06"&amp;CHAR(10),""),IF(P147&gt;P146," * F02-07 for Age "&amp;P20&amp;" "&amp;P21&amp;" is more than F02-06"&amp;CHAR(10),""),IF(Q147&gt;Q146," * F02-07 for Age "&amp;P20&amp;" "&amp;Q21&amp;" is more than F02-06"&amp;CHAR(10),""),IF(R147&gt;R146," * F02-07 for Age "&amp;R20&amp;" "&amp;R21&amp;" is more than F02-06"&amp;CHAR(10),""),IF(S147&gt;S146," * F02-07 for Age "&amp;R20&amp;" "&amp;S21&amp;" is more than F02-06"&amp;CHAR(10),""),IF(T147&gt;T146," * F02-07 for Age "&amp;T20&amp;" "&amp;T21&amp;" is more than F02-06"&amp;CHAR(10),""),IF(U147&gt;U146," * F02-07 for Age "&amp;T20&amp;" "&amp;U21&amp;" is more than F02-06"&amp;CHAR(10),""),IF(V147&gt;V146," * F02-07 for Age "&amp;V20&amp;" "&amp;V21&amp;" is more than F02-06"&amp;CHAR(10),""),IF(W147&gt;W146," * F02-07 for Age "&amp;V20&amp;" "&amp;W21&amp;" is more than F02-06"&amp;CHAR(10),""),IF(X147&gt;X146," * F02-07 for Age "&amp;X20&amp;" "&amp;X21&amp;" is more than F02-06"&amp;CHAR(10),""),IF(Y147&gt;Y146," * F02-07 for Age "&amp;X20&amp;" "&amp;Y21&amp;" is more than F02-06"&amp;CHAR(10),""),IF(Z147&gt;Z146," * F02-07 for Age "&amp;Z20&amp;" "&amp;Z21&amp;" is more than F02-06"&amp;CHAR(10),""),IF(AA147&gt;AA146," * F02-07 for Age "&amp;Z20&amp;" "&amp;AA21&amp;" is more than F02-06"&amp;CHAR(10),""),IF(AJ147&gt;AJ146," * Total F02-07 is more than Total F02-06"&amp;CHAR(10),""))</f>
        <v/>
      </c>
      <c r="AL146" s="1040"/>
      <c r="AM146" s="31"/>
      <c r="AN146" s="1031"/>
      <c r="AO146" s="13">
        <v>85</v>
      </c>
      <c r="AP146" s="74"/>
      <c r="AQ146" s="75"/>
    </row>
    <row r="147" spans="1:43" ht="27" thickBot="1" x14ac:dyDescent="0.45">
      <c r="A147" s="1119"/>
      <c r="B147" s="76" t="s">
        <v>1192</v>
      </c>
      <c r="C147" s="588" t="s">
        <v>190</v>
      </c>
      <c r="D147" s="135"/>
      <c r="E147" s="78"/>
      <c r="F147" s="78"/>
      <c r="G147" s="78"/>
      <c r="H147" s="78"/>
      <c r="I147" s="78"/>
      <c r="J147" s="79"/>
      <c r="K147" s="79"/>
      <c r="L147" s="79"/>
      <c r="M147" s="79"/>
      <c r="N147" s="79"/>
      <c r="O147" s="79"/>
      <c r="P147" s="79"/>
      <c r="Q147" s="79"/>
      <c r="R147" s="79"/>
      <c r="S147" s="79"/>
      <c r="T147" s="79"/>
      <c r="U147" s="79"/>
      <c r="V147" s="79"/>
      <c r="W147" s="79"/>
      <c r="X147" s="79"/>
      <c r="Y147" s="79"/>
      <c r="Z147" s="79"/>
      <c r="AA147" s="521"/>
      <c r="AB147" s="356"/>
      <c r="AC147" s="356"/>
      <c r="AD147" s="356"/>
      <c r="AE147" s="356"/>
      <c r="AF147" s="356"/>
      <c r="AG147" s="356"/>
      <c r="AH147" s="356"/>
      <c r="AI147" s="356"/>
      <c r="AJ147" s="615">
        <f t="shared" si="46"/>
        <v>0</v>
      </c>
      <c r="AK147" s="1083"/>
      <c r="AL147" s="1040"/>
      <c r="AM147" s="31"/>
      <c r="AN147" s="1031"/>
      <c r="AO147" s="13">
        <v>86</v>
      </c>
      <c r="AP147" s="74"/>
      <c r="AQ147" s="75"/>
    </row>
    <row r="148" spans="1:43" ht="27" hidden="1" customHeight="1" thickBot="1" x14ac:dyDescent="0.45">
      <c r="A148" s="995"/>
      <c r="B148" s="118" t="s">
        <v>651</v>
      </c>
      <c r="C148" s="589" t="s">
        <v>351</v>
      </c>
      <c r="D148" s="505"/>
      <c r="E148" s="120"/>
      <c r="F148" s="120"/>
      <c r="G148" s="120"/>
      <c r="H148" s="120"/>
      <c r="I148" s="120"/>
      <c r="J148" s="121"/>
      <c r="K148" s="121"/>
      <c r="L148" s="121"/>
      <c r="M148" s="121"/>
      <c r="N148" s="121"/>
      <c r="O148" s="121"/>
      <c r="P148" s="121"/>
      <c r="Q148" s="121"/>
      <c r="R148" s="121"/>
      <c r="S148" s="121"/>
      <c r="T148" s="121"/>
      <c r="U148" s="121"/>
      <c r="V148" s="121"/>
      <c r="W148" s="121"/>
      <c r="X148" s="121"/>
      <c r="Y148" s="121"/>
      <c r="Z148" s="121"/>
      <c r="AA148" s="522"/>
      <c r="AB148" s="356"/>
      <c r="AC148" s="356"/>
      <c r="AD148" s="356"/>
      <c r="AE148" s="356"/>
      <c r="AF148" s="356"/>
      <c r="AG148" s="356"/>
      <c r="AH148" s="356"/>
      <c r="AI148" s="356"/>
      <c r="AJ148" s="615">
        <f t="shared" si="46"/>
        <v>0</v>
      </c>
      <c r="AK148" s="116"/>
      <c r="AL148" s="1040"/>
      <c r="AM148" s="31"/>
      <c r="AN148" s="1031"/>
      <c r="AO148" s="13">
        <v>87</v>
      </c>
      <c r="AP148" s="74"/>
      <c r="AQ148" s="75"/>
    </row>
    <row r="149" spans="1:43" ht="26.25" x14ac:dyDescent="0.4">
      <c r="A149" s="996" t="s">
        <v>1217</v>
      </c>
      <c r="B149" s="526" t="s">
        <v>1215</v>
      </c>
      <c r="C149" s="590" t="s">
        <v>1218</v>
      </c>
      <c r="D149" s="134"/>
      <c r="E149" s="99"/>
      <c r="F149" s="99"/>
      <c r="G149" s="99"/>
      <c r="H149" s="99"/>
      <c r="I149" s="99"/>
      <c r="J149" s="99"/>
      <c r="K149" s="527"/>
      <c r="L149" s="99"/>
      <c r="M149" s="527"/>
      <c r="N149" s="99"/>
      <c r="O149" s="527"/>
      <c r="P149" s="99"/>
      <c r="Q149" s="527"/>
      <c r="R149" s="99"/>
      <c r="S149" s="527"/>
      <c r="T149" s="99"/>
      <c r="U149" s="527"/>
      <c r="V149" s="99"/>
      <c r="W149" s="527"/>
      <c r="X149" s="99"/>
      <c r="Y149" s="527"/>
      <c r="Z149" s="99"/>
      <c r="AA149" s="528"/>
      <c r="AB149" s="356"/>
      <c r="AC149" s="356"/>
      <c r="AD149" s="356"/>
      <c r="AE149" s="356"/>
      <c r="AF149" s="356"/>
      <c r="AG149" s="356"/>
      <c r="AH149" s="356"/>
      <c r="AI149" s="356"/>
      <c r="AJ149" s="615">
        <f t="shared" si="46"/>
        <v>0</v>
      </c>
      <c r="AK149" s="498"/>
      <c r="AL149" s="1040"/>
      <c r="AM149" s="31"/>
      <c r="AN149" s="1031"/>
      <c r="AO149" s="13"/>
      <c r="AP149" s="74"/>
      <c r="AQ149" s="75"/>
    </row>
    <row r="150" spans="1:43" ht="27" thickBot="1" x14ac:dyDescent="0.45">
      <c r="A150" s="932"/>
      <c r="B150" s="529" t="s">
        <v>1216</v>
      </c>
      <c r="C150" s="591" t="s">
        <v>1219</v>
      </c>
      <c r="D150" s="523"/>
      <c r="E150" s="524"/>
      <c r="F150" s="524"/>
      <c r="G150" s="524"/>
      <c r="H150" s="524"/>
      <c r="I150" s="524"/>
      <c r="J150" s="102"/>
      <c r="K150" s="413"/>
      <c r="L150" s="102"/>
      <c r="M150" s="413"/>
      <c r="N150" s="102"/>
      <c r="O150" s="413"/>
      <c r="P150" s="102"/>
      <c r="Q150" s="413"/>
      <c r="R150" s="102"/>
      <c r="S150" s="413"/>
      <c r="T150" s="102"/>
      <c r="U150" s="413"/>
      <c r="V150" s="102"/>
      <c r="W150" s="413"/>
      <c r="X150" s="102"/>
      <c r="Y150" s="413"/>
      <c r="Z150" s="102"/>
      <c r="AA150" s="525"/>
      <c r="AB150" s="356"/>
      <c r="AC150" s="356"/>
      <c r="AD150" s="356"/>
      <c r="AE150" s="356"/>
      <c r="AF150" s="356"/>
      <c r="AG150" s="356"/>
      <c r="AH150" s="356"/>
      <c r="AI150" s="356"/>
      <c r="AJ150" s="615">
        <f t="shared" si="46"/>
        <v>0</v>
      </c>
      <c r="AK150" s="498"/>
      <c r="AL150" s="1040"/>
      <c r="AM150" s="31"/>
      <c r="AN150" s="1031"/>
      <c r="AO150" s="13"/>
      <c r="AP150" s="74"/>
      <c r="AQ150" s="75"/>
    </row>
    <row r="151" spans="1:43" ht="27" hidden="1" customHeight="1" thickBot="1" x14ac:dyDescent="0.45">
      <c r="A151" s="994" t="s">
        <v>21</v>
      </c>
      <c r="B151" s="91" t="s">
        <v>652</v>
      </c>
      <c r="C151" s="575" t="s">
        <v>352</v>
      </c>
      <c r="D151" s="98"/>
      <c r="E151" s="99"/>
      <c r="F151" s="99"/>
      <c r="G151" s="99"/>
      <c r="H151" s="99"/>
      <c r="I151" s="99"/>
      <c r="J151" s="94"/>
      <c r="K151" s="94"/>
      <c r="L151" s="94"/>
      <c r="M151" s="94"/>
      <c r="N151" s="94"/>
      <c r="O151" s="94"/>
      <c r="P151" s="94"/>
      <c r="Q151" s="94"/>
      <c r="R151" s="94"/>
      <c r="S151" s="94"/>
      <c r="T151" s="94"/>
      <c r="U151" s="94"/>
      <c r="V151" s="94"/>
      <c r="W151" s="94"/>
      <c r="X151" s="94"/>
      <c r="Y151" s="94"/>
      <c r="Z151" s="94"/>
      <c r="AA151" s="321"/>
      <c r="AB151" s="386"/>
      <c r="AC151" s="356"/>
      <c r="AD151" s="356"/>
      <c r="AE151" s="356"/>
      <c r="AF151" s="356"/>
      <c r="AG151" s="356"/>
      <c r="AH151" s="356"/>
      <c r="AI151" s="356"/>
      <c r="AJ151" s="615">
        <f t="shared" si="46"/>
        <v>0</v>
      </c>
      <c r="AK151" s="116"/>
      <c r="AL151" s="1040"/>
      <c r="AM151" s="31"/>
      <c r="AN151" s="1031"/>
      <c r="AO151" s="13">
        <v>88</v>
      </c>
      <c r="AP151" s="74"/>
      <c r="AQ151" s="75"/>
    </row>
    <row r="152" spans="1:43" ht="27" hidden="1" customHeight="1" thickBot="1" x14ac:dyDescent="0.45">
      <c r="A152" s="1119"/>
      <c r="B152" s="76" t="s">
        <v>1001</v>
      </c>
      <c r="C152" s="576" t="s">
        <v>353</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18"/>
      <c r="AB152" s="386"/>
      <c r="AC152" s="356"/>
      <c r="AD152" s="356"/>
      <c r="AE152" s="356"/>
      <c r="AF152" s="356"/>
      <c r="AG152" s="356"/>
      <c r="AH152" s="356"/>
      <c r="AI152" s="356"/>
      <c r="AJ152" s="615">
        <f t="shared" si="46"/>
        <v>0</v>
      </c>
      <c r="AK152" s="116"/>
      <c r="AL152" s="1040"/>
      <c r="AM152" s="31"/>
      <c r="AN152" s="1031"/>
      <c r="AO152" s="13">
        <v>89</v>
      </c>
      <c r="AP152" s="74"/>
      <c r="AQ152" s="75"/>
    </row>
    <row r="153" spans="1:43" ht="27" hidden="1" customHeight="1" thickBot="1" x14ac:dyDescent="0.45">
      <c r="A153" s="1119"/>
      <c r="B153" s="76" t="s">
        <v>653</v>
      </c>
      <c r="C153" s="576" t="s">
        <v>192</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18"/>
      <c r="AB153" s="386"/>
      <c r="AC153" s="356"/>
      <c r="AD153" s="356"/>
      <c r="AE153" s="356"/>
      <c r="AF153" s="356"/>
      <c r="AG153" s="356"/>
      <c r="AH153" s="356"/>
      <c r="AI153" s="356"/>
      <c r="AJ153" s="615">
        <f t="shared" si="46"/>
        <v>0</v>
      </c>
      <c r="AK153" s="116"/>
      <c r="AL153" s="1040"/>
      <c r="AM153" s="31"/>
      <c r="AN153" s="1031"/>
      <c r="AO153" s="13">
        <v>90</v>
      </c>
      <c r="AP153" s="74"/>
      <c r="AQ153" s="75"/>
    </row>
    <row r="154" spans="1:43" ht="27" hidden="1" customHeight="1" thickBot="1" x14ac:dyDescent="0.45">
      <c r="A154" s="1119"/>
      <c r="B154" s="76" t="s">
        <v>654</v>
      </c>
      <c r="C154" s="576" t="s">
        <v>193</v>
      </c>
      <c r="D154" s="77"/>
      <c r="E154" s="78"/>
      <c r="F154" s="78"/>
      <c r="G154" s="78"/>
      <c r="H154" s="78"/>
      <c r="I154" s="78"/>
      <c r="J154" s="79"/>
      <c r="K154" s="79"/>
      <c r="L154" s="79"/>
      <c r="M154" s="79"/>
      <c r="N154" s="79"/>
      <c r="O154" s="79"/>
      <c r="P154" s="79"/>
      <c r="Q154" s="79"/>
      <c r="R154" s="79"/>
      <c r="S154" s="79"/>
      <c r="T154" s="79"/>
      <c r="U154" s="79"/>
      <c r="V154" s="79"/>
      <c r="W154" s="79"/>
      <c r="X154" s="79"/>
      <c r="Y154" s="79"/>
      <c r="Z154" s="79"/>
      <c r="AA154" s="318"/>
      <c r="AB154" s="386"/>
      <c r="AC154" s="356"/>
      <c r="AD154" s="356"/>
      <c r="AE154" s="356"/>
      <c r="AF154" s="356"/>
      <c r="AG154" s="356"/>
      <c r="AH154" s="356"/>
      <c r="AI154" s="356"/>
      <c r="AJ154" s="615">
        <f t="shared" si="46"/>
        <v>0</v>
      </c>
      <c r="AK154" s="116"/>
      <c r="AL154" s="1040"/>
      <c r="AM154" s="31"/>
      <c r="AN154" s="1031"/>
      <c r="AO154" s="13">
        <v>91</v>
      </c>
      <c r="AP154" s="74"/>
      <c r="AQ154" s="75"/>
    </row>
    <row r="155" spans="1:43" ht="27" hidden="1" customHeight="1" thickBot="1" x14ac:dyDescent="0.45">
      <c r="A155" s="1119"/>
      <c r="B155" s="76" t="s">
        <v>655</v>
      </c>
      <c r="C155" s="576" t="s">
        <v>194</v>
      </c>
      <c r="D155" s="77"/>
      <c r="E155" s="78"/>
      <c r="F155" s="78"/>
      <c r="G155" s="78"/>
      <c r="H155" s="78"/>
      <c r="I155" s="78"/>
      <c r="J155" s="79"/>
      <c r="K155" s="79"/>
      <c r="L155" s="79"/>
      <c r="M155" s="79"/>
      <c r="N155" s="79"/>
      <c r="O155" s="79"/>
      <c r="P155" s="79"/>
      <c r="Q155" s="79"/>
      <c r="R155" s="79"/>
      <c r="S155" s="79"/>
      <c r="T155" s="79"/>
      <c r="U155" s="79"/>
      <c r="V155" s="79"/>
      <c r="W155" s="79"/>
      <c r="X155" s="79"/>
      <c r="Y155" s="79"/>
      <c r="Z155" s="79"/>
      <c r="AA155" s="318"/>
      <c r="AB155" s="386"/>
      <c r="AC155" s="356"/>
      <c r="AD155" s="356"/>
      <c r="AE155" s="356"/>
      <c r="AF155" s="356"/>
      <c r="AG155" s="356"/>
      <c r="AH155" s="356"/>
      <c r="AI155" s="356"/>
      <c r="AJ155" s="615">
        <f t="shared" si="46"/>
        <v>0</v>
      </c>
      <c r="AK155" s="116"/>
      <c r="AL155" s="1040"/>
      <c r="AM155" s="31"/>
      <c r="AN155" s="1031"/>
      <c r="AO155" s="13">
        <v>92</v>
      </c>
      <c r="AP155" s="74"/>
      <c r="AQ155" s="75"/>
    </row>
    <row r="156" spans="1:43" ht="27" hidden="1" customHeight="1" thickBot="1" x14ac:dyDescent="0.45">
      <c r="A156" s="1119"/>
      <c r="B156" s="76" t="s">
        <v>656</v>
      </c>
      <c r="C156" s="576" t="s">
        <v>195</v>
      </c>
      <c r="D156" s="77"/>
      <c r="E156" s="78"/>
      <c r="F156" s="78"/>
      <c r="G156" s="78"/>
      <c r="H156" s="78"/>
      <c r="I156" s="78"/>
      <c r="J156" s="79"/>
      <c r="K156" s="79"/>
      <c r="L156" s="79"/>
      <c r="M156" s="79"/>
      <c r="N156" s="79"/>
      <c r="O156" s="79"/>
      <c r="P156" s="79"/>
      <c r="Q156" s="79"/>
      <c r="R156" s="79"/>
      <c r="S156" s="79"/>
      <c r="T156" s="79"/>
      <c r="U156" s="79"/>
      <c r="V156" s="79"/>
      <c r="W156" s="79"/>
      <c r="X156" s="79"/>
      <c r="Y156" s="79"/>
      <c r="Z156" s="79"/>
      <c r="AA156" s="318"/>
      <c r="AB156" s="386"/>
      <c r="AC156" s="356"/>
      <c r="AD156" s="356"/>
      <c r="AE156" s="356"/>
      <c r="AF156" s="356"/>
      <c r="AG156" s="356"/>
      <c r="AH156" s="356"/>
      <c r="AI156" s="356"/>
      <c r="AJ156" s="615">
        <f t="shared" si="46"/>
        <v>0</v>
      </c>
      <c r="AK156" s="116"/>
      <c r="AL156" s="1040"/>
      <c r="AM156" s="31"/>
      <c r="AN156" s="1031"/>
      <c r="AO156" s="13">
        <v>93</v>
      </c>
      <c r="AP156" s="74"/>
      <c r="AQ156" s="75"/>
    </row>
    <row r="157" spans="1:43" ht="27" hidden="1" customHeight="1" thickBot="1" x14ac:dyDescent="0.45">
      <c r="A157" s="1124"/>
      <c r="B157" s="87" t="s">
        <v>657</v>
      </c>
      <c r="C157" s="577" t="s">
        <v>196</v>
      </c>
      <c r="D157" s="103"/>
      <c r="E157" s="102"/>
      <c r="F157" s="102"/>
      <c r="G157" s="102"/>
      <c r="H157" s="102"/>
      <c r="I157" s="102"/>
      <c r="J157" s="89"/>
      <c r="K157" s="89"/>
      <c r="L157" s="89"/>
      <c r="M157" s="89"/>
      <c r="N157" s="89"/>
      <c r="O157" s="89"/>
      <c r="P157" s="89"/>
      <c r="Q157" s="89"/>
      <c r="R157" s="89"/>
      <c r="S157" s="89"/>
      <c r="T157" s="89"/>
      <c r="U157" s="89"/>
      <c r="V157" s="89"/>
      <c r="W157" s="89"/>
      <c r="X157" s="89"/>
      <c r="Y157" s="89"/>
      <c r="Z157" s="89"/>
      <c r="AA157" s="320"/>
      <c r="AB157" s="386"/>
      <c r="AC157" s="356"/>
      <c r="AD157" s="356"/>
      <c r="AE157" s="356"/>
      <c r="AF157" s="356"/>
      <c r="AG157" s="356"/>
      <c r="AH157" s="356"/>
      <c r="AI157" s="356"/>
      <c r="AJ157" s="615">
        <f t="shared" si="46"/>
        <v>0</v>
      </c>
      <c r="AK157" s="116"/>
      <c r="AL157" s="1040"/>
      <c r="AM157" s="31"/>
      <c r="AN157" s="1031"/>
      <c r="AO157" s="13">
        <v>94</v>
      </c>
      <c r="AP157" s="74"/>
      <c r="AQ157" s="75"/>
    </row>
    <row r="158" spans="1:43" ht="27" hidden="1" customHeight="1" thickBot="1" x14ac:dyDescent="0.45">
      <c r="A158" s="994" t="s">
        <v>114</v>
      </c>
      <c r="B158" s="136" t="s">
        <v>658</v>
      </c>
      <c r="C158" s="575" t="s">
        <v>354</v>
      </c>
      <c r="D158" s="98"/>
      <c r="E158" s="99"/>
      <c r="F158" s="99"/>
      <c r="G158" s="99"/>
      <c r="H158" s="99"/>
      <c r="I158" s="99"/>
      <c r="J158" s="99"/>
      <c r="K158" s="99"/>
      <c r="L158" s="99"/>
      <c r="M158" s="99"/>
      <c r="N158" s="99"/>
      <c r="O158" s="99"/>
      <c r="P158" s="99"/>
      <c r="Q158" s="99"/>
      <c r="R158" s="99"/>
      <c r="S158" s="99"/>
      <c r="T158" s="99"/>
      <c r="U158" s="99"/>
      <c r="V158" s="99"/>
      <c r="W158" s="99"/>
      <c r="X158" s="99"/>
      <c r="Y158" s="99"/>
      <c r="Z158" s="99"/>
      <c r="AA158" s="323"/>
      <c r="AB158" s="386"/>
      <c r="AC158" s="356"/>
      <c r="AD158" s="356"/>
      <c r="AE158" s="356"/>
      <c r="AF158" s="356"/>
      <c r="AG158" s="356"/>
      <c r="AH158" s="356"/>
      <c r="AI158" s="356"/>
      <c r="AJ158" s="615">
        <f t="shared" si="46"/>
        <v>0</v>
      </c>
      <c r="AK158" s="116"/>
      <c r="AL158" s="1040"/>
      <c r="AM158" s="31"/>
      <c r="AN158" s="1031"/>
      <c r="AO158" s="13">
        <v>95</v>
      </c>
      <c r="AP158" s="74"/>
      <c r="AQ158" s="75"/>
    </row>
    <row r="159" spans="1:43" ht="27" hidden="1" customHeight="1" thickBot="1" x14ac:dyDescent="0.45">
      <c r="A159" s="995"/>
      <c r="B159" s="137" t="s">
        <v>659</v>
      </c>
      <c r="C159" s="605" t="s">
        <v>355</v>
      </c>
      <c r="D159" s="133"/>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334"/>
      <c r="AB159" s="387"/>
      <c r="AC159" s="388"/>
      <c r="AD159" s="388"/>
      <c r="AE159" s="388"/>
      <c r="AF159" s="388"/>
      <c r="AG159" s="388"/>
      <c r="AH159" s="388"/>
      <c r="AI159" s="388"/>
      <c r="AJ159" s="615">
        <f t="shared" si="46"/>
        <v>0</v>
      </c>
      <c r="AK159" s="122"/>
      <c r="AL159" s="1040"/>
      <c r="AM159" s="123"/>
      <c r="AN159" s="1032"/>
      <c r="AO159" s="13">
        <v>96</v>
      </c>
      <c r="AP159" s="74"/>
      <c r="AQ159" s="75"/>
    </row>
    <row r="160" spans="1:43" ht="26.25" x14ac:dyDescent="0.4">
      <c r="A160" s="996" t="s">
        <v>1262</v>
      </c>
      <c r="B160" s="861" t="s">
        <v>391</v>
      </c>
      <c r="C160" s="834" t="s">
        <v>1263</v>
      </c>
      <c r="D160" s="672"/>
      <c r="E160" s="672"/>
      <c r="F160" s="672"/>
      <c r="G160" s="672"/>
      <c r="H160" s="672"/>
      <c r="I160" s="672"/>
      <c r="J160" s="672"/>
      <c r="K160" s="673"/>
      <c r="L160" s="672"/>
      <c r="M160" s="673"/>
      <c r="N160" s="672"/>
      <c r="O160" s="673"/>
      <c r="P160" s="672"/>
      <c r="Q160" s="673"/>
      <c r="R160" s="672"/>
      <c r="S160" s="673"/>
      <c r="T160" s="672"/>
      <c r="U160" s="673"/>
      <c r="V160" s="672"/>
      <c r="W160" s="673"/>
      <c r="X160" s="672"/>
      <c r="Y160" s="673"/>
      <c r="Z160" s="672"/>
      <c r="AA160" s="674"/>
      <c r="AB160" s="356"/>
      <c r="AC160" s="356"/>
      <c r="AD160" s="356"/>
      <c r="AE160" s="356"/>
      <c r="AF160" s="356"/>
      <c r="AG160" s="356"/>
      <c r="AH160" s="356"/>
      <c r="AI160" s="356"/>
      <c r="AJ160" s="840">
        <f t="shared" si="46"/>
        <v>0</v>
      </c>
      <c r="AK160" s="844"/>
      <c r="AL160" s="1040"/>
      <c r="AM160" s="125"/>
      <c r="AN160" s="126"/>
      <c r="AO160" s="13"/>
      <c r="AP160" s="74"/>
      <c r="AQ160" s="75"/>
    </row>
    <row r="161" spans="1:43" ht="27" thickBot="1" x14ac:dyDescent="0.45">
      <c r="A161" s="932"/>
      <c r="B161" s="529" t="s">
        <v>389</v>
      </c>
      <c r="C161" s="835" t="s">
        <v>1264</v>
      </c>
      <c r="D161" s="675"/>
      <c r="E161" s="675"/>
      <c r="F161" s="675"/>
      <c r="G161" s="675"/>
      <c r="H161" s="675"/>
      <c r="I161" s="675"/>
      <c r="J161" s="676"/>
      <c r="K161" s="675"/>
      <c r="L161" s="676"/>
      <c r="M161" s="675"/>
      <c r="N161" s="676"/>
      <c r="O161" s="675"/>
      <c r="P161" s="676"/>
      <c r="Q161" s="675"/>
      <c r="R161" s="676"/>
      <c r="S161" s="675"/>
      <c r="T161" s="676"/>
      <c r="U161" s="675"/>
      <c r="V161" s="676"/>
      <c r="W161" s="675"/>
      <c r="X161" s="676"/>
      <c r="Y161" s="675"/>
      <c r="Z161" s="676"/>
      <c r="AA161" s="677"/>
      <c r="AB161" s="356"/>
      <c r="AC161" s="356"/>
      <c r="AD161" s="356"/>
      <c r="AE161" s="356"/>
      <c r="AF161" s="356"/>
      <c r="AG161" s="356"/>
      <c r="AH161" s="356"/>
      <c r="AI161" s="356"/>
      <c r="AJ161" s="841">
        <f t="shared" si="46"/>
        <v>0</v>
      </c>
      <c r="AK161" s="844"/>
      <c r="AL161" s="1046"/>
      <c r="AM161" s="125"/>
      <c r="AN161" s="126"/>
      <c r="AO161" s="13"/>
      <c r="AP161" s="74"/>
      <c r="AQ161" s="75"/>
    </row>
    <row r="162" spans="1:43" ht="32.65" customHeight="1" thickBot="1" x14ac:dyDescent="0.45">
      <c r="A162" s="1017" t="s">
        <v>1315</v>
      </c>
      <c r="B162" s="1015"/>
      <c r="C162" s="1013"/>
      <c r="D162" s="1013"/>
      <c r="E162" s="1013"/>
      <c r="F162" s="1013"/>
      <c r="G162" s="1013"/>
      <c r="H162" s="1013"/>
      <c r="I162" s="1013"/>
      <c r="J162" s="1013"/>
      <c r="K162" s="1013"/>
      <c r="L162" s="1013"/>
      <c r="M162" s="1013"/>
      <c r="N162" s="1013"/>
      <c r="O162" s="1013"/>
      <c r="P162" s="1013"/>
      <c r="Q162" s="1013"/>
      <c r="R162" s="1013"/>
      <c r="S162" s="1013"/>
      <c r="T162" s="1013"/>
      <c r="U162" s="1013"/>
      <c r="V162" s="1013"/>
      <c r="W162" s="1013"/>
      <c r="X162" s="1013"/>
      <c r="Y162" s="1013"/>
      <c r="Z162" s="1013"/>
      <c r="AA162" s="1013"/>
      <c r="AB162" s="1014"/>
      <c r="AC162" s="1014"/>
      <c r="AD162" s="1014"/>
      <c r="AE162" s="1014"/>
      <c r="AF162" s="1014"/>
      <c r="AG162" s="1014"/>
      <c r="AH162" s="1014"/>
      <c r="AI162" s="1014"/>
      <c r="AJ162" s="1015"/>
      <c r="AK162" s="1013"/>
      <c r="AL162" s="1015"/>
      <c r="AM162" s="1015"/>
      <c r="AN162" s="1016"/>
      <c r="AO162" s="13">
        <v>97</v>
      </c>
      <c r="AP162" s="74"/>
      <c r="AQ162" s="75"/>
    </row>
    <row r="163" spans="1:43" ht="26.25" customHeight="1" x14ac:dyDescent="0.4">
      <c r="A163" s="1059" t="s">
        <v>37</v>
      </c>
      <c r="B163" s="1055" t="s">
        <v>344</v>
      </c>
      <c r="C163" s="1057" t="s">
        <v>325</v>
      </c>
      <c r="D163" s="1037" t="s">
        <v>0</v>
      </c>
      <c r="E163" s="1037"/>
      <c r="F163" s="1037" t="s">
        <v>1</v>
      </c>
      <c r="G163" s="1037"/>
      <c r="H163" s="1037" t="s">
        <v>2</v>
      </c>
      <c r="I163" s="1037"/>
      <c r="J163" s="1037" t="s">
        <v>3</v>
      </c>
      <c r="K163" s="1037"/>
      <c r="L163" s="1037" t="s">
        <v>4</v>
      </c>
      <c r="M163" s="1037"/>
      <c r="N163" s="1037" t="s">
        <v>5</v>
      </c>
      <c r="O163" s="1037"/>
      <c r="P163" s="1037" t="s">
        <v>6</v>
      </c>
      <c r="Q163" s="1037"/>
      <c r="R163" s="1037" t="s">
        <v>7</v>
      </c>
      <c r="S163" s="1037"/>
      <c r="T163" s="1037" t="s">
        <v>8</v>
      </c>
      <c r="U163" s="1037"/>
      <c r="V163" s="1037" t="s">
        <v>23</v>
      </c>
      <c r="W163" s="1037"/>
      <c r="X163" s="1037" t="s">
        <v>24</v>
      </c>
      <c r="Y163" s="1037"/>
      <c r="Z163" s="1037" t="s">
        <v>9</v>
      </c>
      <c r="AA163" s="1038"/>
      <c r="AB163" s="1042"/>
      <c r="AC163" s="1043"/>
      <c r="AD163" s="1043"/>
      <c r="AE163" s="1043"/>
      <c r="AF163" s="1043"/>
      <c r="AG163" s="1043"/>
      <c r="AH163" s="1043"/>
      <c r="AI163" s="1284"/>
      <c r="AJ163" s="1050" t="s">
        <v>19</v>
      </c>
      <c r="AK163" s="1052" t="s">
        <v>378</v>
      </c>
      <c r="AL163" s="1035" t="s">
        <v>384</v>
      </c>
      <c r="AM163" s="1029" t="s">
        <v>385</v>
      </c>
      <c r="AN163" s="1024" t="s">
        <v>385</v>
      </c>
      <c r="AO163" s="13">
        <v>98</v>
      </c>
      <c r="AP163" s="74"/>
      <c r="AQ163" s="75"/>
    </row>
    <row r="164" spans="1:43" ht="27" customHeight="1" thickBot="1" x14ac:dyDescent="0.45">
      <c r="A164" s="1060"/>
      <c r="B164" s="1056"/>
      <c r="C164" s="1120"/>
      <c r="D164" s="68" t="s">
        <v>10</v>
      </c>
      <c r="E164" s="68" t="s">
        <v>11</v>
      </c>
      <c r="F164" s="68" t="s">
        <v>10</v>
      </c>
      <c r="G164" s="68" t="s">
        <v>11</v>
      </c>
      <c r="H164" s="68" t="s">
        <v>10</v>
      </c>
      <c r="I164" s="68" t="s">
        <v>11</v>
      </c>
      <c r="J164" s="68" t="s">
        <v>10</v>
      </c>
      <c r="K164" s="68" t="s">
        <v>11</v>
      </c>
      <c r="L164" s="68" t="s">
        <v>10</v>
      </c>
      <c r="M164" s="68" t="s">
        <v>11</v>
      </c>
      <c r="N164" s="68" t="s">
        <v>10</v>
      </c>
      <c r="O164" s="68" t="s">
        <v>11</v>
      </c>
      <c r="P164" s="68" t="s">
        <v>10</v>
      </c>
      <c r="Q164" s="68" t="s">
        <v>11</v>
      </c>
      <c r="R164" s="68" t="s">
        <v>10</v>
      </c>
      <c r="S164" s="68" t="s">
        <v>11</v>
      </c>
      <c r="T164" s="68" t="s">
        <v>10</v>
      </c>
      <c r="U164" s="68" t="s">
        <v>11</v>
      </c>
      <c r="V164" s="68" t="s">
        <v>10</v>
      </c>
      <c r="W164" s="68" t="s">
        <v>11</v>
      </c>
      <c r="X164" s="68" t="s">
        <v>10</v>
      </c>
      <c r="Y164" s="68" t="s">
        <v>11</v>
      </c>
      <c r="Z164" s="68" t="s">
        <v>10</v>
      </c>
      <c r="AA164" s="368" t="s">
        <v>11</v>
      </c>
      <c r="AB164" s="370"/>
      <c r="AC164" s="371"/>
      <c r="AD164" s="371"/>
      <c r="AE164" s="371"/>
      <c r="AF164" s="371"/>
      <c r="AG164" s="371"/>
      <c r="AH164" s="371"/>
      <c r="AI164" s="372"/>
      <c r="AJ164" s="1051"/>
      <c r="AK164" s="1053"/>
      <c r="AL164" s="1036"/>
      <c r="AM164" s="1029"/>
      <c r="AN164" s="1025"/>
      <c r="AO164" s="13">
        <v>99</v>
      </c>
      <c r="AP164" s="74"/>
      <c r="AQ164" s="75"/>
    </row>
    <row r="165" spans="1:43" ht="33.4" customHeight="1" thickBot="1" x14ac:dyDescent="0.45">
      <c r="A165" s="1017" t="s">
        <v>1308</v>
      </c>
      <c r="B165" s="1015"/>
      <c r="C165" s="1013"/>
      <c r="D165" s="1013"/>
      <c r="E165" s="1013"/>
      <c r="F165" s="1013"/>
      <c r="G165" s="1013"/>
      <c r="H165" s="1013"/>
      <c r="I165" s="1013"/>
      <c r="J165" s="1013"/>
      <c r="K165" s="1013"/>
      <c r="L165" s="1013"/>
      <c r="M165" s="1013"/>
      <c r="N165" s="1013"/>
      <c r="O165" s="1013"/>
      <c r="P165" s="1013"/>
      <c r="Q165" s="1013"/>
      <c r="R165" s="1013"/>
      <c r="S165" s="1013"/>
      <c r="T165" s="1013"/>
      <c r="U165" s="1013"/>
      <c r="V165" s="1013"/>
      <c r="W165" s="1013"/>
      <c r="X165" s="1013"/>
      <c r="Y165" s="1013"/>
      <c r="Z165" s="1013"/>
      <c r="AA165" s="1013"/>
      <c r="AB165" s="1014"/>
      <c r="AC165" s="1014"/>
      <c r="AD165" s="1014"/>
      <c r="AE165" s="1014"/>
      <c r="AF165" s="1014"/>
      <c r="AG165" s="1014"/>
      <c r="AH165" s="1014"/>
      <c r="AI165" s="1014"/>
      <c r="AJ165" s="1015"/>
      <c r="AK165" s="1013"/>
      <c r="AL165" s="1015"/>
      <c r="AM165" s="1015"/>
      <c r="AN165" s="1016"/>
      <c r="AO165" s="13">
        <v>97</v>
      </c>
      <c r="AP165" s="74"/>
      <c r="AQ165" s="75"/>
    </row>
    <row r="166" spans="1:43" s="61" customFormat="1" ht="38.450000000000003" customHeight="1" thickBot="1" x14ac:dyDescent="0.45">
      <c r="A166" s="848" t="s">
        <v>1267</v>
      </c>
      <c r="B166" s="648" t="s">
        <v>1267</v>
      </c>
      <c r="C166" s="599" t="s">
        <v>1272</v>
      </c>
      <c r="D166" s="138"/>
      <c r="E166" s="72"/>
      <c r="F166" s="72"/>
      <c r="G166" s="72"/>
      <c r="H166" s="72"/>
      <c r="I166" s="72"/>
      <c r="J166" s="72"/>
      <c r="K166" s="72"/>
      <c r="L166" s="72"/>
      <c r="M166" s="72"/>
      <c r="N166" s="72"/>
      <c r="O166" s="72"/>
      <c r="P166" s="72"/>
      <c r="Q166" s="72"/>
      <c r="R166" s="72"/>
      <c r="S166" s="72"/>
      <c r="T166" s="72"/>
      <c r="U166" s="72"/>
      <c r="V166" s="72"/>
      <c r="W166" s="72"/>
      <c r="X166" s="72"/>
      <c r="Y166" s="72"/>
      <c r="Z166" s="72"/>
      <c r="AA166" s="317"/>
      <c r="AB166" s="386"/>
      <c r="AC166" s="356"/>
      <c r="AD166" s="356"/>
      <c r="AE166" s="356"/>
      <c r="AF166" s="356"/>
      <c r="AG166" s="356"/>
      <c r="AH166" s="356"/>
      <c r="AI166" s="313"/>
      <c r="AJ166" s="52">
        <f>SUM(D166:AA166)</f>
        <v>0</v>
      </c>
      <c r="AK166" s="139"/>
      <c r="AL166" s="1018" t="str">
        <f>CONCATENATE(AK167,AK168,AK169,AK170,AK171,AK172,AK173,AK174,AK175,AK176,AK177,AK178,AK166)</f>
        <v/>
      </c>
      <c r="AM166" s="140"/>
      <c r="AN166" s="606"/>
      <c r="AO166" s="13">
        <v>100</v>
      </c>
      <c r="AP166" s="80"/>
      <c r="AQ166" s="75"/>
    </row>
    <row r="167" spans="1:43" s="61" customFormat="1" ht="38.450000000000003" customHeight="1" x14ac:dyDescent="0.4">
      <c r="A167" s="1033" t="s">
        <v>1280</v>
      </c>
      <c r="B167" s="69" t="s">
        <v>1282</v>
      </c>
      <c r="C167" s="575" t="s">
        <v>210</v>
      </c>
      <c r="D167" s="138"/>
      <c r="E167" s="72"/>
      <c r="F167" s="72"/>
      <c r="G167" s="72"/>
      <c r="H167" s="72"/>
      <c r="I167" s="72"/>
      <c r="J167" s="72"/>
      <c r="K167" s="72"/>
      <c r="L167" s="72"/>
      <c r="M167" s="72"/>
      <c r="N167" s="72"/>
      <c r="O167" s="72"/>
      <c r="P167" s="72"/>
      <c r="Q167" s="72"/>
      <c r="R167" s="72"/>
      <c r="S167" s="72"/>
      <c r="T167" s="72"/>
      <c r="U167" s="72"/>
      <c r="V167" s="72"/>
      <c r="W167" s="72"/>
      <c r="X167" s="72"/>
      <c r="Y167" s="72"/>
      <c r="Z167" s="72"/>
      <c r="AA167" s="317"/>
      <c r="AB167" s="386"/>
      <c r="AC167" s="356"/>
      <c r="AD167" s="356"/>
      <c r="AE167" s="356"/>
      <c r="AF167" s="356"/>
      <c r="AG167" s="356"/>
      <c r="AH167" s="356"/>
      <c r="AI167" s="313"/>
      <c r="AJ167" s="52">
        <f>SUM(D167:AA167)</f>
        <v>0</v>
      </c>
      <c r="AK167" s="139" t="str">
        <f>CONCATENATE(IF(D167&lt;&gt;SUM(D169,D171,D173,D175,D177)," *  Iniated On IPT New ON ART for Age "&amp;D20&amp;" "&amp;D21&amp;" is not equal to the sum of  Completed IPT New on ART+ Discontinued New on ART + LTFU New on ART + Died New on ART + Transferred Out New on ART)"&amp;CHAR(10),""),IF(E167&lt;&gt;SUM(E169,E171,E173,E175,E177)," *  Iniated On IPT New ON ART for Age "&amp;D20&amp;" "&amp;E21&amp;" is not equal to the sum of F03-03+F03-05+F03-07+F03-09+F03-11"&amp;CHAR(10),""),IF(F167&lt;&gt;SUM(F169,F171,F173,F175,F177)," *  Iniated On IPT New ON ART for Age "&amp;F20&amp;" "&amp;F21&amp;" is not equal to the sum of  Completed IPT New on ART+ Discontinued New on ART + LTFU New on ART + Died New on ART + Transferred Out New on ART)"&amp;CHAR(10),""),IF(G167&lt;&gt;SUM(G169,G171,G173,G175,G177)," *  Iniated On IPT New ON ART for Age "&amp;F20&amp;" "&amp;G21&amp;" is not equal to the sum of F03-03+F03-05+F03-07+F03-09+F03-11"&amp;CHAR(10),""),IF(H167&lt;&gt;SUM(H169,H171,H173,H175,H177)," *  Iniated On IPT New ON ART for Age "&amp;H20&amp;" "&amp;H21&amp;" is not equal to the sum of  Completed IPT New on ART+ Discontinued New on ART + LTFU New on ART + Died New on ART + Transferred Out New on ART)"&amp;CHAR(10),""),IF(I167&lt;&gt;SUM(I169,I171,I173,I175,I177)," *  Iniated On IPT New ON ART for Age "&amp;H20&amp;" "&amp;I21&amp;" is not equal to the sum of F03-03+F03-05+F03-07+F03-09+F03-11"&amp;CHAR(10),""),IF(J167&lt;&gt;SUM(J169,J171,J173,J175,J177)," *  Iniated On IPT New ON ART for Age "&amp;J20&amp;" "&amp;J21&amp;" is not equal to the sum of  Completed IPT New on ART+ Discontinued New on ART + LTFU New on ART + Died New on ART + Transferred Out New on ART)"&amp;CHAR(10),""),IF(K167&lt;&gt;SUM(K169,K171,K173,K175,K177)," *  Iniated On IPT New ON ART for Age "&amp;J20&amp;" "&amp;K21&amp;" is not equal to the sum of F03-03+F03-05+F03-07+F03-09+F03-11"&amp;CHAR(10),""),IF(L167&lt;&gt;SUM(L169,L171,L173,L175,L177)," *  Iniated On IPT New ON ART for Age "&amp;L20&amp;" "&amp;L21&amp;" is not equal to the sum of  Completed IPT New on ART+ Discontinued New on ART + LTFU New on ART + Died New on ART + Transferred Out New on ART)"&amp;CHAR(10),""),IF(M167&lt;&gt;SUM(M169,M171,M173,M175,M177)," *  Iniated On IPT New ON ART for Age "&amp;L20&amp;" "&amp;M21&amp;" is not equal to the sum of F03-03+F03-05+F03-07+F03-09+F03-11"&amp;CHAR(10),""),IF(N167&lt;&gt;SUM(N169,N171,N173,N175,N177)," *  Iniated On IPT New ON ART for Age "&amp;N20&amp;" "&amp;N21&amp;" is not equal to the sum of  Completed IPT New on ART+ Discontinued New on ART + LTFU New on ART + Died New on ART + Transferred Out New on ART)"&amp;CHAR(10),""),IF(O167&lt;&gt;SUM(O169,O171,O173,O175,O177)," *  Iniated On IPT New ON ART for Age "&amp;N20&amp;" "&amp;O21&amp;" is not equal to the sum of F03-03+F03-05+F03-07+F03-09+F03-11"&amp;CHAR(10),""),IF(P167&lt;&gt;SUM(P169,P171,P173,P175,P177)," *  Iniated On IPT New ON ART for Age "&amp;P20&amp;" "&amp;P21&amp;" is not equal to the sum of  Completed IPT New on ART+ Discontinued New on ART + LTFU New on ART + Died New on ART + Transferred Out New on ART)"&amp;CHAR(10),""),IF(Q167&lt;&gt;SUM(Q169,Q171,Q173,Q175,Q177)," *  Iniated On IPT New ON ART for Age "&amp;P20&amp;" "&amp;Q21&amp;" is not equal to the sum of F03-03+F03-05+F03-07+F03-09+F03-11"&amp;CHAR(10),""),IF(R167&lt;&gt;SUM(R169,R171,R173,R175,R177)," *  Iniated On IPT New ON ART for Age "&amp;R20&amp;" "&amp;R21&amp;" is not equal to the sum of  Completed IPT New on ART+ Discontinued New on ART + LTFU New on ART + Died New on ART + Transferred Out New on ART)"&amp;CHAR(10),""),IF(S167&lt;&gt;SUM(S169,S171,S173,S175,S177)," *  Iniated On IPT New ON ART for Age "&amp;R20&amp;" "&amp;S21&amp;" is not equal to the sum of F03-03+F03-05+F03-07+F03-09+F03-11"&amp;CHAR(10),""),IF(T167&lt;&gt;SUM(T169,T171,T173,T175,T177)," *  Iniated On IPT New ON ART for Age "&amp;T20&amp;" "&amp;T21&amp;" is not equal to the sum of  Completed IPT New on ART+ Discontinued New on ART + LTFU New on ART + Died New on ART + Transferred Out New on ART)"&amp;CHAR(10),""),IF(U167&lt;&gt;SUM(U169,U171,U173,U175,U177)," *  Iniated On IPT New ON ART for Age "&amp;T20&amp;" "&amp;U21&amp;" is not equal to the sum of F03-03+F03-05+F03-07+F03-09+F03-11"&amp;CHAR(10),""),IF(V167&lt;&gt;SUM(V169,V171,V173,V175,V177)," *  Iniated On IPT New ON ART for Age "&amp;V20&amp;" "&amp;V21&amp;" is not equal to the sum of  Completed IPT New on ART+ Discontinued New on ART + LTFU New on ART + Died New on ART + Transferred Out New on ART)"&amp;CHAR(10),""),IF(W167&lt;&gt;SUM(W169,W171,W173,W175,W177)," *  Iniated On IPT New ON ART for Age "&amp;V20&amp;" "&amp;W21&amp;" is not equal to the sum of F03-03+F03-05+F03-07+F03-09+F03-11"&amp;CHAR(10),""),IF(X167&lt;&gt;SUM(X169,X171,X173,X175,X177)," *  Iniated On IPT New ON ART for Age "&amp;X20&amp;" "&amp;X21&amp;" is not equal to the sum of  Completed IPT New on ART+ Discontinued New on ART + LTFU New on ART + Died New on ART + Transferred Out New on ART)"&amp;CHAR(10),""),IF(Y167&lt;&gt;SUM(Y169,Y171,Y173,Y175,Y177)," *  Iniated On IPT New ON ART for Age "&amp;X20&amp;" "&amp;Y21&amp;" is not equal to the sum of F03-03+F03-05+F03-07+F03-09+F03-11"&amp;CHAR(10),""),IF(Z167&lt;&gt;SUM(Z169,Z171,Z173,Z175,Z177)," *  Iniated On IPT New ON ART for Age "&amp;Z20&amp;" "&amp;Z21&amp;" is not equal to the sum of  Completed IPT New on ART+ Discontinued New on ART + LTFU New on ART + Died New on ART + Transferred Out New on ART)"&amp;CHAR(10),""),IF(AA167&lt;&gt;SUM(AA169,AA171,AA173,AA175,AA177)," *  Iniated On IPT New ON ART for Age "&amp;Z20&amp;" "&amp;AA21&amp;" is not equal to the sum of  Completed IPT New on ART+ Discontinued New on ART + LTFU New on ART + Died New on ART + Transferred Out New on ART)"&amp;CHAR(10),""))</f>
        <v/>
      </c>
      <c r="AL167" s="1019"/>
      <c r="AM167" s="140"/>
      <c r="AN167" s="1030" t="str">
        <f>CONCATENATE(AM167,AM168,AM169,AM170,AM171,AM172,AM173,AM174,AM175,AM176,AM177,AM178)</f>
        <v/>
      </c>
      <c r="AO167" s="13">
        <v>100</v>
      </c>
      <c r="AP167" s="80"/>
      <c r="AQ167" s="75"/>
    </row>
    <row r="168" spans="1:43" s="61" customFormat="1" ht="38.450000000000003" customHeight="1" thickBot="1" x14ac:dyDescent="0.45">
      <c r="A168" s="1007"/>
      <c r="B168" s="87" t="s">
        <v>1283</v>
      </c>
      <c r="C168" s="577" t="s">
        <v>211</v>
      </c>
      <c r="D168" s="141"/>
      <c r="E168" s="89"/>
      <c r="F168" s="89"/>
      <c r="G168" s="89"/>
      <c r="H168" s="89"/>
      <c r="I168" s="89"/>
      <c r="J168" s="89"/>
      <c r="K168" s="89"/>
      <c r="L168" s="89"/>
      <c r="M168" s="89"/>
      <c r="N168" s="89"/>
      <c r="O168" s="89"/>
      <c r="P168" s="89"/>
      <c r="Q168" s="89"/>
      <c r="R168" s="89"/>
      <c r="S168" s="89"/>
      <c r="T168" s="89"/>
      <c r="U168" s="89"/>
      <c r="V168" s="89"/>
      <c r="W168" s="89"/>
      <c r="X168" s="89"/>
      <c r="Y168" s="89"/>
      <c r="Z168" s="89"/>
      <c r="AA168" s="320"/>
      <c r="AB168" s="386"/>
      <c r="AC168" s="356"/>
      <c r="AD168" s="356"/>
      <c r="AE168" s="356"/>
      <c r="AF168" s="356"/>
      <c r="AG168" s="356"/>
      <c r="AH168" s="356"/>
      <c r="AI168" s="313"/>
      <c r="AJ168" s="192">
        <f t="shared" ref="AJ168:AJ178" si="53">SUM(D168:AA168)</f>
        <v>0</v>
      </c>
      <c r="AK168" s="116" t="str">
        <f>CONCATENATE(IF(D168&lt;&gt;SUM(D170,D172,D174,D176,D178)," * F03-02 for Age "&amp;D20&amp;" "&amp;D21&amp;" is not equal to the sum of (F03-04+F03-06+F03-08+F03-10+F03-12)"&amp;CHAR(10),""),IF(E168&lt;&gt;SUM(E170,E172,E174,E176,E178)," * F03-02 for Age "&amp;D20&amp;" "&amp;E21&amp;" is not equal to the sum of F03-04+F03-06+F03-08+F03-10+F03-12"&amp;CHAR(10),""),IF(F168&lt;&gt;SUM(F170,F172,F174,F176,F178)," * F03-02 for Age "&amp;F20&amp;" "&amp;F21&amp;" is not equal to the sum of (F03-04+F03-06+F03-08+F03-10+F03-12)"&amp;CHAR(10),""),IF(G168&lt;&gt;SUM(G170,G172,G174,G176,G178)," * F03-02 for Age "&amp;F20&amp;" "&amp;G21&amp;" is not equal to the sum of F03-04+F03-06+F03-08+F03-10+F03-12"&amp;CHAR(10),""),IF(H168&lt;&gt;SUM(H170,H172,H174,H176,H178)," * F03-02 for Age "&amp;H20&amp;" "&amp;H21&amp;" is not equal to the sum of (F03-04+F03-06+F03-08+F03-10+F03-12)"&amp;CHAR(10),""),IF(I168&lt;&gt;SUM(I170,I172,I174,I176,I178)," * F03-02 for Age "&amp;H20&amp;" "&amp;I21&amp;" is not equal to the sum of F03-04+F03-06+F03-08+F03-10+F03-12"&amp;CHAR(10),""),IF(J168&lt;&gt;SUM(J170,J172,J174,J176,J178)," * F03-02 for Age "&amp;J20&amp;" "&amp;J21&amp;" is not equal to the sum of (F03-04+F03-06+F03-08+F03-10+F03-12)"&amp;CHAR(10),""),IF(K168&lt;&gt;SUM(K170,K172,K174,K176,K178)," * F03-02 for Age "&amp;J20&amp;" "&amp;K21&amp;" is not equal to the sum of F03-04+F03-06+F03-08+F03-10+F03-12"&amp;CHAR(10),""),IF(L168&lt;&gt;SUM(L170,L172,L174,L176,L178)," * F03-02 for Age "&amp;L20&amp;" "&amp;L21&amp;" is not equal to the sum of (F03-04+F03-06+F03-08+F03-10+F03-12)"&amp;CHAR(10),""),IF(M168&lt;&gt;SUM(M170,M172,M174,M176,M178)," * F03-02 for Age "&amp;L20&amp;" "&amp;M21&amp;" is not equal to the sum of F03-04+F03-06+F03-08+F03-10+F03-12"&amp;CHAR(10),""),IF(N168&lt;&gt;SUM(N170,N172,N174,N176,N178)," * F03-02 for Age "&amp;N20&amp;" "&amp;N21&amp;" is not equal to the sum of (F03-04+F03-06+F03-08+F03-10+F03-12)"&amp;CHAR(10),""),IF(O168&lt;&gt;SUM(O170,O172,O174,O176,O178)," * F03-02 for Age "&amp;N20&amp;" "&amp;O21&amp;" is not equal to the sum of F03-04+F03-06+F03-08+F03-10+F03-12"&amp;CHAR(10),""),IF(P168&lt;&gt;SUM(P170,P172,P174,P176,P178)," * F03-02 for Age "&amp;P20&amp;" "&amp;P21&amp;" is not equal to the sum of (F03-04+F03-06+F03-08+F03-10+F03-12)"&amp;CHAR(10),""),IF(Q168&lt;&gt;SUM(Q170,Q172,Q174,Q176,Q178)," * F03-02 for Age "&amp;P20&amp;" "&amp;Q21&amp;" is not equal to the sum of F03-04+F03-06+F03-08+F03-10+F03-12"&amp;CHAR(10),""),IF(R168&lt;&gt;SUM(R170,R172,R174,R176,R178)," * F03-02 for Age "&amp;R20&amp;" "&amp;R21&amp;" is not equal to the sum of (F03-04+F03-06+F03-08+F03-10+F03-12)"&amp;CHAR(10),""),IF(S168&lt;&gt;SUM(S170,S172,S174,S176,S178)," * F03-02 for Age "&amp;R20&amp;" "&amp;S21&amp;" is not equal to the sum of F03-04+F03-06+F03-08+F03-10+F03-12"&amp;CHAR(10),""),IF(T168&lt;&gt;SUM(T170,T172,T174,T176,T178)," * F03-02 for Age "&amp;T20&amp;" "&amp;T21&amp;" is not equal to the sum of (F03-04+F03-06+F03-08+F03-10+F03-12)"&amp;CHAR(10),""),IF(U168&lt;&gt;SUM(U170,U172,U174,U176,U178)," * F03-02 for Age "&amp;T20&amp;" "&amp;U21&amp;" is not equal to the sum of F03-04+F03-06+F03-08+F03-10+F03-12"&amp;CHAR(10),""),IF(V168&lt;&gt;SUM(V170,V172,V174,V176,V178)," * F03-02 for Age "&amp;V20&amp;" "&amp;V21&amp;" is not equal to the sum of (F03-04+F03-06+F03-08+F03-10+F03-12)"&amp;CHAR(10),""),IF(W168&lt;&gt;SUM(W170,W172,W174,W176,W178)," * F03-02 for Age "&amp;V20&amp;" "&amp;W21&amp;" is not equal to the sum of F03-04+F03-06+F03-08+F03-10+F03-12"&amp;CHAR(10),""),IF(X168&lt;&gt;SUM(X170,X172,X174,X176,X178)," * F03-02 for Age "&amp;X20&amp;" "&amp;X21&amp;" is not equal to the sum of (F03-04+F03-06+F03-08+F03-10+F03-12)"&amp;CHAR(10),""),IF(Y168&lt;&gt;SUM(Y170,Y172,Y174,Y176,Y178)," * F03-02 for Age "&amp;X20&amp;" "&amp;Y21&amp;" is not equal to the sum of F03-04+F03-06+F03-08+F03-10+F03-12"&amp;CHAR(10),""),IF(Z168&lt;&gt;SUM(Z170,Z172,Z174,Z176,Z178)," * F03-02 for Age "&amp;Z20&amp;" "&amp;Z21&amp;" is not equal to the sum of (F03-04+F03-06+F03-08+F03-10+F03-12)"&amp;CHAR(10),""),IF(AA168&lt;&gt;SUM(AA170,AA172,AA174,AA176,AA178)," * F03-02 for Age "&amp;Z20&amp;" "&amp;AA21&amp;" is not equal to the sum of (F03-04+F03-06+F03-08+F03-10+F03-12)"&amp;CHAR(10),""))</f>
        <v/>
      </c>
      <c r="AL168" s="1019"/>
      <c r="AM168" s="60"/>
      <c r="AN168" s="1031"/>
      <c r="AO168" s="13">
        <v>101</v>
      </c>
      <c r="AP168" s="80"/>
      <c r="AQ168" s="75"/>
    </row>
    <row r="169" spans="1:43" ht="38.450000000000003" customHeight="1" x14ac:dyDescent="0.4">
      <c r="A169" s="1034" t="s">
        <v>1281</v>
      </c>
      <c r="B169" s="91" t="s">
        <v>1284</v>
      </c>
      <c r="C169" s="575" t="s">
        <v>212</v>
      </c>
      <c r="D169" s="142"/>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335"/>
      <c r="AB169" s="386"/>
      <c r="AC169" s="356"/>
      <c r="AD169" s="356"/>
      <c r="AE169" s="356"/>
      <c r="AF169" s="356"/>
      <c r="AG169" s="356"/>
      <c r="AH169" s="356"/>
      <c r="AI169" s="313"/>
      <c r="AJ169" s="188">
        <f t="shared" si="53"/>
        <v>0</v>
      </c>
      <c r="AK169" s="116" t="str">
        <f>CONCATENATE(IF(D169&gt;D167," * F03-03 for Age "&amp;D20&amp;" "&amp;D21&amp;" is more than F03-01"&amp;CHAR(10),""),IF(E169&gt;E167," * F03-03 for Age "&amp;D20&amp;" "&amp;E21&amp;" is more than F03-01"&amp;CHAR(10),""),IF(F169&gt;F167," * F03-03 for Age "&amp;F20&amp;" "&amp;F21&amp;" is more than F03-01"&amp;CHAR(10),""),IF(G169&gt;G167," * F03-03 for Age "&amp;F20&amp;" "&amp;G21&amp;" is more than F03-01"&amp;CHAR(10),""),IF(H169&gt;H167," * F03-03 for Age "&amp;H20&amp;" "&amp;H21&amp;" is more than F03-01"&amp;CHAR(10),""),IF(I169&gt;I167," * F03-03 for Age "&amp;H20&amp;" "&amp;I21&amp;" is more than F03-01"&amp;CHAR(10),""),IF(J169&gt;J167," * F03-03 for Age "&amp;J20&amp;" "&amp;J21&amp;" is more than F03-01"&amp;CHAR(10),""),IF(K169&gt;K167," * F03-03 for Age "&amp;J20&amp;" "&amp;K21&amp;" is more than F03-01"&amp;CHAR(10),""),IF(L169&gt;L167," * F03-03 for Age "&amp;L20&amp;" "&amp;L21&amp;" is more than F03-01"&amp;CHAR(10),""),IF(M169&gt;M167," * F03-03 for Age "&amp;L20&amp;" "&amp;M21&amp;" is more than F03-01"&amp;CHAR(10),""),IF(N169&gt;N167," * F03-03 for Age "&amp;N20&amp;" "&amp;N21&amp;" is more than F03-01"&amp;CHAR(10),""),IF(O169&gt;O167," * F03-03 for Age "&amp;N20&amp;" "&amp;O21&amp;" is more than F03-01"&amp;CHAR(10),""),IF(P169&gt;P167," * F03-03 for Age "&amp;P20&amp;" "&amp;P21&amp;" is more than F03-01"&amp;CHAR(10),""),IF(Q169&gt;Q167," * F03-03 for Age "&amp;P20&amp;" "&amp;Q21&amp;" is more than F03-01"&amp;CHAR(10),""),IF(R169&gt;R167," * F03-03 for Age "&amp;R20&amp;" "&amp;R21&amp;" is more than F03-01"&amp;CHAR(10),""),IF(S169&gt;S167," * F03-03 for Age "&amp;R20&amp;" "&amp;S21&amp;" is more than F03-01"&amp;CHAR(10),""),IF(T169&gt;T167," * F03-03 for Age "&amp;T20&amp;" "&amp;T21&amp;" is more than F03-01"&amp;CHAR(10),""),IF(U169&gt;U167," * F03-03 for Age "&amp;T20&amp;" "&amp;U21&amp;" is more than F03-01"&amp;CHAR(10),""),IF(V169&gt;V167," * F03-03 for Age "&amp;V20&amp;" "&amp;V21&amp;" is more than F03-01"&amp;CHAR(10),""),IF(W169&gt;W167," * F03-03 for Age "&amp;V20&amp;" "&amp;W21&amp;" is more than F03-01"&amp;CHAR(10),""),IF(X169&gt;X167," * F03-03 for Age "&amp;X20&amp;" "&amp;X21&amp;" is more than F03-01"&amp;CHAR(10),""),IF(Y169&gt;Y167," * F03-03 for Age "&amp;X20&amp;" "&amp;Y21&amp;" is more than F03-01"&amp;CHAR(10),""),IF(Z169&gt;Z167," * F03-03 for Age "&amp;Z20&amp;" "&amp;Z21&amp;" is more than F03-01"&amp;CHAR(10),""),IF(AA169&gt;AA167," * F03-03 for Age "&amp;Z20&amp;" "&amp;AA21&amp;" is more than F03-01"&amp;CHAR(10),""))</f>
        <v/>
      </c>
      <c r="AL169" s="1019"/>
      <c r="AM169" s="31"/>
      <c r="AN169" s="1031"/>
      <c r="AO169" s="13">
        <v>102</v>
      </c>
      <c r="AP169" s="74"/>
      <c r="AQ169" s="75"/>
    </row>
    <row r="170" spans="1:43" ht="38.450000000000003" customHeight="1" thickBot="1" x14ac:dyDescent="0.45">
      <c r="A170" s="1007"/>
      <c r="B170" s="87" t="s">
        <v>1283</v>
      </c>
      <c r="C170" s="577" t="s">
        <v>213</v>
      </c>
      <c r="D170" s="144"/>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336"/>
      <c r="AB170" s="386"/>
      <c r="AC170" s="356"/>
      <c r="AD170" s="356"/>
      <c r="AE170" s="356"/>
      <c r="AF170" s="356"/>
      <c r="AG170" s="356"/>
      <c r="AH170" s="356"/>
      <c r="AI170" s="313"/>
      <c r="AJ170" s="192">
        <f t="shared" si="53"/>
        <v>0</v>
      </c>
      <c r="AK170" s="116" t="str">
        <f>CONCATENATE(IF(D170&gt;D168," * F03-04 for Age "&amp;D20&amp;" "&amp;D21&amp;" is more than F03-02"&amp;CHAR(10),""),IF(E170&gt;E168," * F03-04 for Age "&amp;D20&amp;" "&amp;E21&amp;" is more than F03-02"&amp;CHAR(10),""),IF(F170&gt;F168," * F03-04 for Age "&amp;F20&amp;" "&amp;F21&amp;" is more than F03-02"&amp;CHAR(10),""),IF(G170&gt;G168," * F03-04 for Age "&amp;F20&amp;" "&amp;G21&amp;" is more than F03-02"&amp;CHAR(10),""),IF(H170&gt;H168," * F03-04 for Age "&amp;H20&amp;" "&amp;H21&amp;" is more than F03-02"&amp;CHAR(10),""),IF(I170&gt;I168," * F03-04 for Age "&amp;H20&amp;" "&amp;I21&amp;" is more than F03-02"&amp;CHAR(10),""),IF(J170&gt;J168," * F03-04 for Age "&amp;J20&amp;" "&amp;J21&amp;" is more than F03-02"&amp;CHAR(10),""),IF(K170&gt;K168," * F03-04 for Age "&amp;J20&amp;" "&amp;K21&amp;" is more than F03-02"&amp;CHAR(10),""),IF(L170&gt;L168," * F03-04 for Age "&amp;L20&amp;" "&amp;L21&amp;" is more than F03-02"&amp;CHAR(10),""),IF(M170&gt;M168," * F03-04 for Age "&amp;L20&amp;" "&amp;M21&amp;" is more than F03-02"&amp;CHAR(10),""),IF(N170&gt;N168," * F03-04 for Age "&amp;N20&amp;" "&amp;N21&amp;" is more than F03-02"&amp;CHAR(10),""),IF(O170&gt;O168," * F03-04 for Age "&amp;N20&amp;" "&amp;O21&amp;" is more than F03-02"&amp;CHAR(10),""),IF(P170&gt;P168," * F03-04 for Age "&amp;P20&amp;" "&amp;P21&amp;" is more than F03-02"&amp;CHAR(10),""),IF(Q170&gt;Q168," * F03-04 for Age "&amp;P20&amp;" "&amp;Q21&amp;" is more than F03-02"&amp;CHAR(10),""),IF(R170&gt;R168," * F03-04 for Age "&amp;R20&amp;" "&amp;R21&amp;" is more than F03-02"&amp;CHAR(10),""),IF(S170&gt;S168," * F03-04 for Age "&amp;R20&amp;" "&amp;S21&amp;" is more than F03-02"&amp;CHAR(10),""),IF(T170&gt;T168," * F03-04 for Age "&amp;T20&amp;" "&amp;T21&amp;" is more than F03-02"&amp;CHAR(10),""),IF(U170&gt;U168," * F03-04 for Age "&amp;T20&amp;" "&amp;U21&amp;" is more than F03-02"&amp;CHAR(10),""),IF(V170&gt;V168," * F03-04 for Age "&amp;V20&amp;" "&amp;V21&amp;" is more than F03-02"&amp;CHAR(10),""),IF(W170&gt;W168," * F03-04 for Age "&amp;V20&amp;" "&amp;W21&amp;" is more than F03-02"&amp;CHAR(10),""),IF(X170&gt;X168," * F03-04 for Age "&amp;X20&amp;" "&amp;X21&amp;" is more than F03-02"&amp;CHAR(10),""),IF(Y170&gt;Y168," * F03-04 for Age "&amp;X20&amp;" "&amp;Y21&amp;" is more than F03-02"&amp;CHAR(10),""),IF(Z170&gt;Z168," * F03-04 for Age "&amp;Z20&amp;" "&amp;Z21&amp;" is more than F03-02"&amp;CHAR(10),""),IF(AA170&gt;AA168," * F03-04 for Age "&amp;Z20&amp;" "&amp;AA21&amp;" is more than F03-02"&amp;CHAR(10),""),IF(AJ170&gt;AJ168," * Total F03-04 is more than Total F03-02"&amp;CHAR(10),""))</f>
        <v/>
      </c>
      <c r="AL170" s="1019"/>
      <c r="AM170" s="31"/>
      <c r="AN170" s="1031"/>
      <c r="AO170" s="13">
        <v>103</v>
      </c>
      <c r="AP170" s="74"/>
      <c r="AQ170" s="75"/>
    </row>
    <row r="171" spans="1:43" s="14" customFormat="1" ht="38.450000000000003" customHeight="1" x14ac:dyDescent="0.4">
      <c r="A171" s="1008" t="s">
        <v>1304</v>
      </c>
      <c r="B171" s="146" t="s">
        <v>660</v>
      </c>
      <c r="C171" s="592" t="s">
        <v>214</v>
      </c>
      <c r="D171" s="147"/>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337"/>
      <c r="AB171" s="386"/>
      <c r="AC171" s="356"/>
      <c r="AD171" s="356"/>
      <c r="AE171" s="356"/>
      <c r="AF171" s="356"/>
      <c r="AG171" s="356"/>
      <c r="AH171" s="356"/>
      <c r="AI171" s="313"/>
      <c r="AJ171" s="188">
        <f t="shared" si="53"/>
        <v>0</v>
      </c>
      <c r="AK171" s="116" t="str">
        <f>CONCATENATE(IF(D341&lt;SUM(D167,D168)," * Total Initiated on IPT for Age "&amp;D20&amp;" "&amp;D21&amp;" is More than Current ON ART "&amp;CHAR(10),""),IF(E341&lt;SUM(E167,E168)," * Total Initiated on IPT for Age "&amp;D20&amp;" "&amp;E21&amp;" is More than Current ON ART"&amp;CHAR(10),""),IF(F341&lt;SUM(F167,F168)," * Total Initiated on IPT for Age "&amp;F20&amp;" "&amp;F21&amp;" is More than Current ON ART "&amp;CHAR(10),""),IF(G341&lt;SUM(G167,G168)," * Total Initiated on IPT for Age "&amp;F20&amp;" "&amp;G21&amp;" is More than Current ON ART"&amp;CHAR(10),""),IF(H341&lt;SUM(H167,H168)," * Total Initiated on IPT for Age "&amp;H20&amp;" "&amp;H21&amp;" is More than Current ON ART "&amp;CHAR(10),""),IF(I341&lt;SUM(I167,I168)," * Total Initiated on IPT for Age "&amp;H20&amp;" "&amp;I21&amp;" is More than Current ON ART"&amp;CHAR(10),""),IF(J341&lt;SUM(J167,J168)," * Total Initiated on IPT for Age "&amp;J20&amp;" "&amp;J21&amp;" is More than Current ON ART "&amp;CHAR(10),""),IF(K341&lt;SUM(K167,K168)," * Total Initiated on IPT for Age "&amp;J20&amp;" "&amp;K21&amp;" is More than Current ON ART"&amp;CHAR(10),""),IF(L341&lt;SUM(L167,L168)," * Total Initiated on IPT for Age "&amp;L20&amp;" "&amp;L21&amp;" is More than Current ON ART "&amp;CHAR(10),""),IF(M341&lt;SUM(M167,M168)," * Total Initiated on IPT for Age "&amp;L20&amp;" "&amp;M21&amp;" is More than Current ON ART"&amp;CHAR(10),""),IF(N341&lt;SUM(N167,N168)," * Total Initiated on IPT for Age "&amp;N20&amp;" "&amp;N21&amp;" is More than Current ON ART "&amp;CHAR(10),""),IF(O341&lt;SUM(O167,O168)," * Total Initiated on IPT for Age "&amp;N20&amp;" "&amp;O21&amp;" is More than Current ON ART"&amp;CHAR(10),""),IF(P341&lt;SUM(P167,P168)," * Total Initiated on IPT for Age "&amp;P20&amp;" "&amp;P21&amp;" is More than Current ON ART "&amp;CHAR(10),""),IF(Q341&lt;SUM(Q167,Q168)," * Total Initiated on IPT for Age "&amp;P20&amp;" "&amp;Q21&amp;" is More than Current ON ART"&amp;CHAR(10),""),IF(R341&lt;SUM(R167,R168)," * Total Initiated on IPT for Age "&amp;R20&amp;" "&amp;R21&amp;" is More than Current ON ART "&amp;CHAR(10),""),IF(S341&lt;SUM(S167,S168)," * Total Initiated on IPT for Age "&amp;R20&amp;" "&amp;S21&amp;" is More than Current ON ART"&amp;CHAR(10),""),IF(T341&lt;SUM(T167,T168)," * Total Initiated on IPT for Age "&amp;T20&amp;" "&amp;T21&amp;" is More than Current ON ART "&amp;CHAR(10),""),IF(U341&lt;SUM(U167,U168)," * Total Initiated on IPT for Age "&amp;T20&amp;" "&amp;U21&amp;" is More than Current ON ART"&amp;CHAR(10),""),IF(V341&lt;SUM(V167,V168)," * Total Initiated on IPT for Age "&amp;V20&amp;" "&amp;V21&amp;" is More than Current ON ART "&amp;CHAR(10),""),IF(W341&lt;SUM(W167,W168)," * Total Initiated on IPT for Age "&amp;V20&amp;" "&amp;W21&amp;" is More than Current ON ART"&amp;CHAR(10),""),IF(X341&lt;SUM(X167,X168)," * Total Initiated on IPT for Age "&amp;X20&amp;" "&amp;X21&amp;" is More than Current ON ART "&amp;CHAR(10),""),IF(Y341&lt;SUM(Y167,Y168)," * Total Initiated on IPT for Age "&amp;X20&amp;" "&amp;Y21&amp;" is More than Current ON ART"&amp;CHAR(10),""),IF(Z341&lt;SUM(Z167,Z168)," * Total Initiated on IPT for Age "&amp;Z20&amp;" "&amp;Z21&amp;" is More than Current ON ART "&amp;CHAR(10),""),IF(AA341&lt;SUM(AA167,AA168)," * Total Initiated on IPT for Age "&amp;Z20&amp;" "&amp;AA21&amp;" is More than Current ON ART "&amp;CHAR(10),""))</f>
        <v/>
      </c>
      <c r="AL171" s="1019"/>
      <c r="AM171" s="31"/>
      <c r="AN171" s="1031"/>
      <c r="AO171" s="13">
        <v>104</v>
      </c>
      <c r="AP171" s="74"/>
      <c r="AQ171" s="149"/>
    </row>
    <row r="172" spans="1:43" s="14" customFormat="1" ht="38.450000000000003" customHeight="1" thickBot="1" x14ac:dyDescent="0.45">
      <c r="A172" s="1009"/>
      <c r="B172" s="150" t="s">
        <v>661</v>
      </c>
      <c r="C172" s="593" t="s">
        <v>215</v>
      </c>
      <c r="D172" s="151"/>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338"/>
      <c r="AB172" s="386"/>
      <c r="AC172" s="356"/>
      <c r="AD172" s="356"/>
      <c r="AE172" s="356"/>
      <c r="AF172" s="356"/>
      <c r="AG172" s="356"/>
      <c r="AH172" s="356"/>
      <c r="AI172" s="313"/>
      <c r="AJ172" s="192">
        <f t="shared" si="53"/>
        <v>0</v>
      </c>
      <c r="AK172" s="116"/>
      <c r="AL172" s="1019"/>
      <c r="AM172" s="31"/>
      <c r="AN172" s="1031"/>
      <c r="AO172" s="13">
        <v>105</v>
      </c>
      <c r="AP172" s="74"/>
      <c r="AQ172" s="149"/>
    </row>
    <row r="173" spans="1:43" s="14" customFormat="1" ht="38.450000000000003" customHeight="1" x14ac:dyDescent="0.4">
      <c r="A173" s="1008" t="s">
        <v>1303</v>
      </c>
      <c r="B173" s="146" t="s">
        <v>660</v>
      </c>
      <c r="C173" s="592" t="s">
        <v>216</v>
      </c>
      <c r="D173" s="147"/>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337"/>
      <c r="AB173" s="386"/>
      <c r="AC173" s="356"/>
      <c r="AD173" s="356"/>
      <c r="AE173" s="356"/>
      <c r="AF173" s="356"/>
      <c r="AG173" s="356"/>
      <c r="AH173" s="356"/>
      <c r="AI173" s="313"/>
      <c r="AJ173" s="188">
        <f t="shared" si="53"/>
        <v>0</v>
      </c>
      <c r="AK173" s="116"/>
      <c r="AL173" s="1019"/>
      <c r="AM173" s="31"/>
      <c r="AN173" s="1031"/>
      <c r="AO173" s="13">
        <v>106</v>
      </c>
      <c r="AP173" s="74"/>
      <c r="AQ173" s="149"/>
    </row>
    <row r="174" spans="1:43" s="14" customFormat="1" ht="38.450000000000003" customHeight="1" thickBot="1" x14ac:dyDescent="0.45">
      <c r="A174" s="1009"/>
      <c r="B174" s="150" t="s">
        <v>661</v>
      </c>
      <c r="C174" s="593" t="s">
        <v>217</v>
      </c>
      <c r="D174" s="151"/>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338"/>
      <c r="AB174" s="386"/>
      <c r="AC174" s="356"/>
      <c r="AD174" s="356"/>
      <c r="AE174" s="356"/>
      <c r="AF174" s="356"/>
      <c r="AG174" s="356"/>
      <c r="AH174" s="356"/>
      <c r="AI174" s="313"/>
      <c r="AJ174" s="192">
        <f t="shared" si="53"/>
        <v>0</v>
      </c>
      <c r="AK174" s="116"/>
      <c r="AL174" s="1019"/>
      <c r="AM174" s="31"/>
      <c r="AN174" s="1031"/>
      <c r="AO174" s="13">
        <v>107</v>
      </c>
      <c r="AP174" s="74"/>
      <c r="AQ174" s="149"/>
    </row>
    <row r="175" spans="1:43" s="14" customFormat="1" ht="38.450000000000003" customHeight="1" x14ac:dyDescent="0.4">
      <c r="A175" s="1008" t="s">
        <v>1305</v>
      </c>
      <c r="B175" s="146" t="s">
        <v>660</v>
      </c>
      <c r="C175" s="592" t="s">
        <v>218</v>
      </c>
      <c r="D175" s="147"/>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337"/>
      <c r="AB175" s="386"/>
      <c r="AC175" s="356"/>
      <c r="AD175" s="356"/>
      <c r="AE175" s="356"/>
      <c r="AF175" s="356"/>
      <c r="AG175" s="356"/>
      <c r="AH175" s="356"/>
      <c r="AI175" s="313"/>
      <c r="AJ175" s="188">
        <f t="shared" si="53"/>
        <v>0</v>
      </c>
      <c r="AK175" s="116"/>
      <c r="AL175" s="1019"/>
      <c r="AM175" s="31"/>
      <c r="AN175" s="1031"/>
      <c r="AO175" s="13">
        <v>108</v>
      </c>
      <c r="AP175" s="74"/>
      <c r="AQ175" s="149"/>
    </row>
    <row r="176" spans="1:43" s="14" customFormat="1" ht="38.450000000000003" customHeight="1" thickBot="1" x14ac:dyDescent="0.45">
      <c r="A176" s="1009"/>
      <c r="B176" s="150" t="s">
        <v>661</v>
      </c>
      <c r="C176" s="593" t="s">
        <v>219</v>
      </c>
      <c r="D176" s="151"/>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338"/>
      <c r="AB176" s="386"/>
      <c r="AC176" s="356"/>
      <c r="AD176" s="356"/>
      <c r="AE176" s="356"/>
      <c r="AF176" s="356"/>
      <c r="AG176" s="356"/>
      <c r="AH176" s="356"/>
      <c r="AI176" s="313"/>
      <c r="AJ176" s="192">
        <f t="shared" si="53"/>
        <v>0</v>
      </c>
      <c r="AK176" s="116"/>
      <c r="AL176" s="1019"/>
      <c r="AM176" s="31"/>
      <c r="AN176" s="1031"/>
      <c r="AO176" s="13">
        <v>109</v>
      </c>
      <c r="AP176" s="74"/>
      <c r="AQ176" s="149"/>
    </row>
    <row r="177" spans="1:43" s="14" customFormat="1" ht="38.450000000000003" customHeight="1" x14ac:dyDescent="0.4">
      <c r="A177" s="1008" t="s">
        <v>32</v>
      </c>
      <c r="B177" s="153" t="s">
        <v>660</v>
      </c>
      <c r="C177" s="594" t="s">
        <v>220</v>
      </c>
      <c r="D177" s="154"/>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330"/>
      <c r="AB177" s="386"/>
      <c r="AC177" s="356"/>
      <c r="AD177" s="356"/>
      <c r="AE177" s="356"/>
      <c r="AF177" s="356"/>
      <c r="AG177" s="356"/>
      <c r="AH177" s="356"/>
      <c r="AI177" s="313"/>
      <c r="AJ177" s="52">
        <f t="shared" si="53"/>
        <v>0</v>
      </c>
      <c r="AK177" s="116"/>
      <c r="AL177" s="1019"/>
      <c r="AM177" s="31"/>
      <c r="AN177" s="1031"/>
      <c r="AO177" s="13">
        <v>110</v>
      </c>
      <c r="AP177" s="74"/>
      <c r="AQ177" s="149"/>
    </row>
    <row r="178" spans="1:43" s="14" customFormat="1" ht="38.450000000000003" customHeight="1" thickBot="1" x14ac:dyDescent="0.45">
      <c r="A178" s="1010"/>
      <c r="B178" s="155" t="s">
        <v>661</v>
      </c>
      <c r="C178" s="851" t="s">
        <v>221</v>
      </c>
      <c r="D178" s="156"/>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339"/>
      <c r="AB178" s="386"/>
      <c r="AC178" s="356"/>
      <c r="AD178" s="356"/>
      <c r="AE178" s="356"/>
      <c r="AF178" s="356"/>
      <c r="AG178" s="356"/>
      <c r="AH178" s="356"/>
      <c r="AI178" s="313"/>
      <c r="AJ178" s="391">
        <f t="shared" si="53"/>
        <v>0</v>
      </c>
      <c r="AK178" s="122"/>
      <c r="AL178" s="1020"/>
      <c r="AM178" s="123"/>
      <c r="AN178" s="1032"/>
      <c r="AO178" s="13">
        <v>111</v>
      </c>
      <c r="AP178" s="74"/>
      <c r="AQ178" s="149"/>
    </row>
    <row r="179" spans="1:43" ht="34.5" customHeight="1" thickBot="1" x14ac:dyDescent="0.45">
      <c r="A179" s="1011" t="s">
        <v>1314</v>
      </c>
      <c r="B179" s="1012"/>
      <c r="C179" s="1013"/>
      <c r="D179" s="1013"/>
      <c r="E179" s="1013"/>
      <c r="F179" s="1013"/>
      <c r="G179" s="1013"/>
      <c r="H179" s="1013"/>
      <c r="I179" s="1013"/>
      <c r="J179" s="1013"/>
      <c r="K179" s="1013"/>
      <c r="L179" s="1013"/>
      <c r="M179" s="1013"/>
      <c r="N179" s="1013"/>
      <c r="O179" s="1013"/>
      <c r="P179" s="1013"/>
      <c r="Q179" s="1013"/>
      <c r="R179" s="1013"/>
      <c r="S179" s="1013"/>
      <c r="T179" s="1013"/>
      <c r="U179" s="1013"/>
      <c r="V179" s="1013"/>
      <c r="W179" s="1013"/>
      <c r="X179" s="1013"/>
      <c r="Y179" s="1013"/>
      <c r="Z179" s="1013"/>
      <c r="AA179" s="1013"/>
      <c r="AB179" s="1014"/>
      <c r="AC179" s="1014"/>
      <c r="AD179" s="1014"/>
      <c r="AE179" s="1014"/>
      <c r="AF179" s="1014"/>
      <c r="AG179" s="1014"/>
      <c r="AH179" s="1014"/>
      <c r="AI179" s="1014"/>
      <c r="AJ179" s="1015"/>
      <c r="AK179" s="1013"/>
      <c r="AL179" s="1015"/>
      <c r="AM179" s="1015"/>
      <c r="AN179" s="1016"/>
      <c r="AO179" s="13">
        <v>97</v>
      </c>
      <c r="AP179" s="74"/>
      <c r="AQ179" s="75"/>
    </row>
    <row r="180" spans="1:43" s="61" customFormat="1" ht="67.150000000000006" customHeight="1" thickBot="1" x14ac:dyDescent="0.45">
      <c r="A180" s="894" t="s">
        <v>1311</v>
      </c>
      <c r="B180" s="515" t="s">
        <v>1279</v>
      </c>
      <c r="C180" s="855" t="s">
        <v>1309</v>
      </c>
      <c r="D180" s="141"/>
      <c r="E180" s="89"/>
      <c r="F180" s="89"/>
      <c r="G180" s="89"/>
      <c r="H180" s="89"/>
      <c r="I180" s="89"/>
      <c r="J180" s="89"/>
      <c r="K180" s="89"/>
      <c r="L180" s="89"/>
      <c r="M180" s="89"/>
      <c r="N180" s="89"/>
      <c r="O180" s="89"/>
      <c r="P180" s="89"/>
      <c r="Q180" s="89"/>
      <c r="R180" s="89"/>
      <c r="S180" s="89"/>
      <c r="T180" s="89"/>
      <c r="U180" s="89"/>
      <c r="V180" s="89"/>
      <c r="W180" s="89"/>
      <c r="X180" s="89"/>
      <c r="Y180" s="89"/>
      <c r="Z180" s="89"/>
      <c r="AA180" s="320"/>
      <c r="AB180" s="386"/>
      <c r="AC180" s="356"/>
      <c r="AD180" s="356"/>
      <c r="AE180" s="356"/>
      <c r="AF180" s="356"/>
      <c r="AG180" s="356"/>
      <c r="AH180" s="356"/>
      <c r="AI180" s="313"/>
      <c r="AJ180" s="192">
        <f t="shared" ref="AJ180" si="54">SUM(D180:AA180)</f>
        <v>0</v>
      </c>
      <c r="AK180" s="850"/>
      <c r="AL180" s="1018" t="str">
        <f>CONCATENATE(AK180,AK181,AK182,AK183,AK184,AK185,AK186,AK187,AK188,AK189,AK190,AK191,AK192)</f>
        <v/>
      </c>
      <c r="AM180" s="60"/>
      <c r="AN180" s="849"/>
      <c r="AO180" s="13">
        <v>101</v>
      </c>
      <c r="AP180" s="80"/>
      <c r="AQ180" s="75"/>
    </row>
    <row r="181" spans="1:43" s="61" customFormat="1" ht="45.4" customHeight="1" x14ac:dyDescent="0.4">
      <c r="A181" s="1034" t="s">
        <v>1285</v>
      </c>
      <c r="B181" s="856" t="s">
        <v>1269</v>
      </c>
      <c r="C181" s="599" t="s">
        <v>1287</v>
      </c>
      <c r="D181" s="236"/>
      <c r="E181" s="94"/>
      <c r="F181" s="94"/>
      <c r="G181" s="94"/>
      <c r="H181" s="94"/>
      <c r="I181" s="94"/>
      <c r="J181" s="94"/>
      <c r="K181" s="94"/>
      <c r="L181" s="94"/>
      <c r="M181" s="94"/>
      <c r="N181" s="94"/>
      <c r="O181" s="94"/>
      <c r="P181" s="94"/>
      <c r="Q181" s="94"/>
      <c r="R181" s="94"/>
      <c r="S181" s="94"/>
      <c r="T181" s="94"/>
      <c r="U181" s="94"/>
      <c r="V181" s="94"/>
      <c r="W181" s="94"/>
      <c r="X181" s="94"/>
      <c r="Y181" s="94"/>
      <c r="Z181" s="94"/>
      <c r="AA181" s="321"/>
      <c r="AB181" s="384"/>
      <c r="AC181" s="385"/>
      <c r="AD181" s="385"/>
      <c r="AE181" s="385"/>
      <c r="AF181" s="385"/>
      <c r="AG181" s="385"/>
      <c r="AH181" s="385"/>
      <c r="AI181" s="316"/>
      <c r="AJ181" s="188">
        <f>SUM(D181:AA181)</f>
        <v>0</v>
      </c>
      <c r="AK181" s="139" t="str">
        <f>CONCATENATE(IF(D183&gt;D181," * Completed Other Forms Of TPT for Age "&amp;D32&amp;" "&amp;D33&amp;" is more than Initiated on  Other Forms of TPT"&amp;CHAR(10),""),IF(E183&gt;E181," * Completed Other Forms Of TPT for Age "&amp;D32&amp;" "&amp;E33&amp;" is more than Initiated on  Other Forms of TPT"&amp;CHAR(10),""),IF(F183&gt;F181," * Completed Other Forms Of TPT for Age "&amp;F32&amp;" "&amp;F33&amp;" is more than Initiated on  Other Forms of TPT"&amp;CHAR(10),""),IF(G183&gt;G181," * Completed Other Forms Of TPT for Age "&amp;F32&amp;" "&amp;G33&amp;" is more than Initiated on  Other Forms of TPT"&amp;CHAR(10),""),IF(H183&gt;H181," * Completed Other Forms Of TPT for Age "&amp;H32&amp;" "&amp;H33&amp;" is more than Initiated on  Other Forms of TPT"&amp;CHAR(10),""),IF(I183&gt;I181," * Completed Other Forms Of TPT for Age "&amp;H32&amp;" "&amp;I33&amp;" is more than Initiated on  Other Forms of TPT"&amp;CHAR(10),""),IF(J183&gt;J181," * Completed Other Forms Of TPT for Age "&amp;J32&amp;" "&amp;J33&amp;" is more than Initiated on  Other Forms of TPT"&amp;CHAR(10),""),IF(K183&gt;K181," * Completed Other Forms Of TPT for Age "&amp;J32&amp;" "&amp;K33&amp;" is more than Initiated on  Other Forms of TPT"&amp;CHAR(10),""),IF(L183&gt;L181," * Completed Other Forms Of TPT for Age "&amp;L32&amp;" "&amp;L33&amp;" is more than Initiated on  Other Forms of TPT"&amp;CHAR(10),""),IF(M183&gt;M181," * Completed Other Forms Of TPT for Age "&amp;L32&amp;" "&amp;M33&amp;" is more than Initiated on  Other Forms of TPT"&amp;CHAR(10),""),IF(N183&gt;N181," * Completed Other Forms Of TPT for Age "&amp;N32&amp;" "&amp;N33&amp;" is more than Initiated on  Other Forms of TPT"&amp;CHAR(10),""),IF(O183&gt;O181," * Completed Other Forms Of TPT for Age "&amp;N32&amp;" "&amp;O33&amp;" is more than Initiated on  Other Forms of TPT"&amp;CHAR(10),""),IF(P183&gt;P181," * Completed Other Forms Of TPT for Age "&amp;P32&amp;" "&amp;P33&amp;" is more than Initiated on  Other Forms of TPT"&amp;CHAR(10),""),IF(Q183&gt;Q181," * Completed Other Forms Of TPT for Age "&amp;P32&amp;" "&amp;Q33&amp;" is more than Initiated on  Other Forms of TPT"&amp;CHAR(10),""),IF(R183&gt;R181," * Completed Other Forms Of TPT for Age "&amp;R32&amp;" "&amp;R33&amp;" is more than Initiated on  Other Forms of TPT"&amp;CHAR(10),""),IF(S183&gt;S181," * Completed Other Forms Of TPT for Age "&amp;R32&amp;" "&amp;S33&amp;" is more than Initiated on  Other Forms of TPT"&amp;CHAR(10),""),IF(T183&gt;T181," * Completed Other Forms Of TPT for Age "&amp;T32&amp;" "&amp;T33&amp;" is more than Initiated on  Other Forms of TPT"&amp;CHAR(10),""),IF(U183&gt;U181," * Completed Other Forms Of TPT for Age "&amp;T32&amp;" "&amp;U33&amp;" is more than Initiated on  Other Forms of TPT"&amp;CHAR(10),""),IF(V183&gt;V181," * Completed Other Forms Of TPT for Age "&amp;V32&amp;" "&amp;V33&amp;" is more than Initiated on  Other Forms of TPT"&amp;CHAR(10),""),IF(W183&gt;W181," * Completed Other Forms Of TPT for Age "&amp;V32&amp;" "&amp;W33&amp;" is more than Initiated on  Other Forms of TPT"&amp;CHAR(10),""),IF(X183&gt;X181," * Completed Other Forms Of TPT for Age "&amp;X32&amp;" "&amp;X33&amp;" is more than Initiated on  Other Forms of TPT"&amp;CHAR(10),""),IF(Y183&gt;Y181," * Completed Other Forms Of TPT for Age "&amp;X32&amp;" "&amp;Y33&amp;" is more than Initiated on  Other Forms of TPT"&amp;CHAR(10),""),IF(Z183&gt;Z181," * Completed Other Forms Of TPT for Age "&amp;Z32&amp;" "&amp;Z33&amp;" is more than Initiated on  Other Forms of TPT"&amp;CHAR(10),""),IF(AA183&gt;AA181," * Completed Other Forms Of TPT for Age "&amp;Z32&amp;" "&amp;AA33&amp;" is more than Initiated on  Other Forms of TPT"&amp;CHAR(10),""))</f>
        <v/>
      </c>
      <c r="AL181" s="1019"/>
      <c r="AM181" s="140"/>
      <c r="AN181" s="126"/>
      <c r="AO181" s="13">
        <v>100</v>
      </c>
      <c r="AP181" s="80"/>
      <c r="AQ181" s="75"/>
    </row>
    <row r="182" spans="1:43" s="61" customFormat="1" ht="46.5" customHeight="1" thickBot="1" x14ac:dyDescent="0.45">
      <c r="A182" s="1007"/>
      <c r="B182" s="857" t="s">
        <v>1270</v>
      </c>
      <c r="C182" s="630" t="s">
        <v>1288</v>
      </c>
      <c r="D182" s="141"/>
      <c r="E182" s="89"/>
      <c r="F182" s="89"/>
      <c r="G182" s="89"/>
      <c r="H182" s="89"/>
      <c r="I182" s="89"/>
      <c r="J182" s="89"/>
      <c r="K182" s="89"/>
      <c r="L182" s="89"/>
      <c r="M182" s="89"/>
      <c r="N182" s="89"/>
      <c r="O182" s="89"/>
      <c r="P182" s="89"/>
      <c r="Q182" s="89"/>
      <c r="R182" s="89"/>
      <c r="S182" s="89"/>
      <c r="T182" s="89"/>
      <c r="U182" s="89"/>
      <c r="V182" s="89"/>
      <c r="W182" s="89"/>
      <c r="X182" s="89"/>
      <c r="Y182" s="89"/>
      <c r="Z182" s="89"/>
      <c r="AA182" s="320"/>
      <c r="AB182" s="387"/>
      <c r="AC182" s="388"/>
      <c r="AD182" s="388"/>
      <c r="AE182" s="388"/>
      <c r="AF182" s="388"/>
      <c r="AG182" s="388"/>
      <c r="AH182" s="388"/>
      <c r="AI182" s="314"/>
      <c r="AJ182" s="192">
        <f t="shared" ref="AJ182:AJ192" si="55">SUM(D182:AA182)</f>
        <v>0</v>
      </c>
      <c r="AK182" s="850"/>
      <c r="AL182" s="1019"/>
      <c r="AM182" s="60"/>
      <c r="AN182" s="126"/>
      <c r="AO182" s="13">
        <v>101</v>
      </c>
      <c r="AP182" s="80"/>
      <c r="AQ182" s="75"/>
    </row>
    <row r="183" spans="1:43" ht="46.5" customHeight="1" x14ac:dyDescent="0.4">
      <c r="A183" s="1006" t="s">
        <v>1286</v>
      </c>
      <c r="B183" s="69" t="s">
        <v>1271</v>
      </c>
      <c r="C183" s="804" t="s">
        <v>1289</v>
      </c>
      <c r="D183" s="197"/>
      <c r="E183" s="852"/>
      <c r="F183" s="852"/>
      <c r="G183" s="852"/>
      <c r="H183" s="852"/>
      <c r="I183" s="852"/>
      <c r="J183" s="852"/>
      <c r="K183" s="852"/>
      <c r="L183" s="852"/>
      <c r="M183" s="852"/>
      <c r="N183" s="852"/>
      <c r="O183" s="852"/>
      <c r="P183" s="852"/>
      <c r="Q183" s="852"/>
      <c r="R183" s="852"/>
      <c r="S183" s="852"/>
      <c r="T183" s="852"/>
      <c r="U183" s="852"/>
      <c r="V183" s="852"/>
      <c r="W183" s="852"/>
      <c r="X183" s="852"/>
      <c r="Y183" s="852"/>
      <c r="Z183" s="852"/>
      <c r="AA183" s="853"/>
      <c r="AB183" s="386"/>
      <c r="AC183" s="356"/>
      <c r="AD183" s="356"/>
      <c r="AE183" s="356"/>
      <c r="AF183" s="356"/>
      <c r="AG183" s="356"/>
      <c r="AH183" s="356"/>
      <c r="AI183" s="313"/>
      <c r="AJ183" s="52">
        <f t="shared" si="55"/>
        <v>0</v>
      </c>
      <c r="AK183" s="850" t="str">
        <f>CONCATENATE(IF(D183&gt;D181," * F03-03 for Age "&amp;D36&amp;" "&amp;D37&amp;" is more than F03-01"&amp;CHAR(10),""),IF(E183&gt;E181," * F03-03 for Age "&amp;D36&amp;" "&amp;E37&amp;" is more than F03-01"&amp;CHAR(10),""),IF(F183&gt;F181," * F03-03 for Age "&amp;F36&amp;" "&amp;F37&amp;" is more than F03-01"&amp;CHAR(10),""),IF(G183&gt;G181," * F03-03 for Age "&amp;F36&amp;" "&amp;G37&amp;" is more than F03-01"&amp;CHAR(10),""),IF(H183&gt;H181," * F03-03 for Age "&amp;H36&amp;" "&amp;H37&amp;" is more than F03-01"&amp;CHAR(10),""),IF(I183&gt;I181," * F03-03 for Age "&amp;H36&amp;" "&amp;I37&amp;" is more than F03-01"&amp;CHAR(10),""),IF(J183&gt;J181," * F03-03 for Age "&amp;J36&amp;" "&amp;J37&amp;" is more than F03-01"&amp;CHAR(10),""),IF(K183&gt;K181," * F03-03 for Age "&amp;J36&amp;" "&amp;K37&amp;" is more than F03-01"&amp;CHAR(10),""),IF(L183&gt;L181," * F03-03 for Age "&amp;L36&amp;" "&amp;L37&amp;" is more than F03-01"&amp;CHAR(10),""),IF(M183&gt;M181," * F03-03 for Age "&amp;L36&amp;" "&amp;M37&amp;" is more than F03-01"&amp;CHAR(10),""),IF(N183&gt;N181," * F03-03 for Age "&amp;N36&amp;" "&amp;N37&amp;" is more than F03-01"&amp;CHAR(10),""),IF(O183&gt;O181," * F03-03 for Age "&amp;N36&amp;" "&amp;O37&amp;" is more than F03-01"&amp;CHAR(10),""),IF(P183&gt;P181," * F03-03 for Age "&amp;P36&amp;" "&amp;P37&amp;" is more than F03-01"&amp;CHAR(10),""),IF(Q183&gt;Q181," * F03-03 for Age "&amp;P36&amp;" "&amp;Q37&amp;" is more than F03-01"&amp;CHAR(10),""),IF(R183&gt;R181," * F03-03 for Age "&amp;R36&amp;" "&amp;R37&amp;" is more than F03-01"&amp;CHAR(10),""),IF(S183&gt;S181," * F03-03 for Age "&amp;R36&amp;" "&amp;S37&amp;" is more than F03-01"&amp;CHAR(10),""),IF(T183&gt;T181," * F03-03 for Age "&amp;T36&amp;" "&amp;T37&amp;" is more than F03-01"&amp;CHAR(10),""),IF(U183&gt;U181," * F03-03 for Age "&amp;T36&amp;" "&amp;U37&amp;" is more than F03-01"&amp;CHAR(10),""),IF(V183&gt;V181," * F03-03 for Age "&amp;V36&amp;" "&amp;V37&amp;" is more than F03-01"&amp;CHAR(10),""),IF(W183&gt;W181," * F03-03 for Age "&amp;V36&amp;" "&amp;W37&amp;" is more than F03-01"&amp;CHAR(10),""),IF(X183&gt;X181," * F03-03 for Age "&amp;X36&amp;" "&amp;X37&amp;" is more than F03-01"&amp;CHAR(10),""),IF(Y183&gt;Y181," * F03-03 for Age "&amp;X36&amp;" "&amp;Y37&amp;" is more than F03-01"&amp;CHAR(10),""),IF(Z183&gt;Z181," * F03-03 for Age "&amp;Z36&amp;" "&amp;Z37&amp;" is more than F03-01"&amp;CHAR(10),""),IF(AA183&gt;AA181," * F03-03 for Age "&amp;Z36&amp;" "&amp;AA37&amp;" is more than F03-01"&amp;CHAR(10),""))</f>
        <v/>
      </c>
      <c r="AL183" s="1019"/>
      <c r="AM183" s="31"/>
      <c r="AN183" s="126"/>
      <c r="AO183" s="13">
        <v>102</v>
      </c>
      <c r="AP183" s="74"/>
      <c r="AQ183" s="75"/>
    </row>
    <row r="184" spans="1:43" ht="40.9" customHeight="1" thickBot="1" x14ac:dyDescent="0.45">
      <c r="A184" s="1007"/>
      <c r="B184" s="87" t="s">
        <v>1270</v>
      </c>
      <c r="C184" s="630" t="s">
        <v>1290</v>
      </c>
      <c r="D184" s="144"/>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336"/>
      <c r="AB184" s="386"/>
      <c r="AC184" s="356"/>
      <c r="AD184" s="356"/>
      <c r="AE184" s="356"/>
      <c r="AF184" s="356"/>
      <c r="AG184" s="356"/>
      <c r="AH184" s="356"/>
      <c r="AI184" s="313"/>
      <c r="AJ184" s="192">
        <f t="shared" si="55"/>
        <v>0</v>
      </c>
      <c r="AK184" s="850" t="str">
        <f>CONCATENATE(IF(D184&gt;D182," * Already On ART Completed IPT for Age "&amp;D36&amp;" "&amp;D37&amp;" is more than Already On ART Initiated on Other Forms of  IPT"&amp;CHAR(10),""),IF(E184&gt;E182," * Already On ART Completed IPT for Age "&amp;D36&amp;" "&amp;E37&amp;" is more than Already On ART Initiated on Other Forms of  IPT"&amp;CHAR(10),""),IF(F184&gt;F182," * Already On ART Completed IPT for Age "&amp;F36&amp;" "&amp;F37&amp;" is more than Already On ART Initiated on Other Forms of  IPT"&amp;CHAR(10),""),IF(G184&gt;G182," * Already On ART Completed IPT for Age "&amp;F36&amp;" "&amp;G37&amp;" is more than Already On ART Initiated on Other Forms of  IPT"&amp;CHAR(10),""),IF(H184&gt;H182," * Already On ART Completed IPT for Age "&amp;H36&amp;" "&amp;H37&amp;" is more than Already On ART Initiated on Other Forms of  IPT"&amp;CHAR(10),""),IF(I184&gt;I182," * Already On ART Completed IPT for Age "&amp;H36&amp;" "&amp;I37&amp;" is more than Already On ART Initiated on Other Forms of  IPT"&amp;CHAR(10),""),IF(J184&gt;J182," * Already On ART Completed IPT for Age "&amp;J36&amp;" "&amp;J37&amp;" is more than Already On ART Initiated on Other Forms of  IPT"&amp;CHAR(10),""),IF(K184&gt;K182," * Already On ART Completed IPT for Age "&amp;J36&amp;" "&amp;K37&amp;" is more than Already On ART Initiated on Other Forms of  IPT"&amp;CHAR(10),""),IF(L184&gt;L182," * Already On ART Completed IPT for Age "&amp;L36&amp;" "&amp;L37&amp;" is more than Already On ART Initiated on Other Forms of  IPT"&amp;CHAR(10),""),IF(M184&gt;M182," * Already On ART Completed IPT for Age "&amp;L36&amp;" "&amp;M37&amp;" is more than Already On ART Initiated on Other Forms of  IPT"&amp;CHAR(10),""),IF(N184&gt;N182," * Already On ART Completed IPT for Age "&amp;N36&amp;" "&amp;N37&amp;" is more than Already On ART Initiated on Other Forms of  IPT"&amp;CHAR(10),""),IF(O184&gt;O182," * Already On ART Completed IPT for Age "&amp;N36&amp;" "&amp;O37&amp;" is more than Already On ART Initiated on Other Forms of  IPT"&amp;CHAR(10),""),IF(P184&gt;P182," * Already On ART Completed IPT for Age "&amp;P36&amp;" "&amp;P37&amp;" is more than Already On ART Initiated on Other Forms of  IPT"&amp;CHAR(10),""),IF(Q184&gt;Q182," * Already On ART Completed IPT for Age "&amp;P36&amp;" "&amp;Q37&amp;" is more than Already On ART Initiated on Other Forms of  IPT"&amp;CHAR(10),""),IF(R184&gt;R182," * Already On ART Completed IPT for Age "&amp;R36&amp;" "&amp;R37&amp;" is more than Already On ART Initiated on Other Forms of  IPT"&amp;CHAR(10),""),IF(S184&gt;S182," * Already On ART Completed IPT for Age "&amp;R36&amp;" "&amp;S37&amp;" is more than Already On ART Initiated on Other Forms of  IPT"&amp;CHAR(10),""),IF(T184&gt;T182," * Already On ART Completed IPT for Age "&amp;T36&amp;" "&amp;T37&amp;" is more than Already On ART Initiated on Other Forms of  IPT"&amp;CHAR(10),""),IF(U184&gt;U182," * Already On ART Completed IPT for Age "&amp;T36&amp;" "&amp;U37&amp;" is more than Already On ART Initiated on Other Forms of  IPT"&amp;CHAR(10),""),IF(V184&gt;V182," * Already On ART Completed IPT for Age "&amp;V36&amp;" "&amp;V37&amp;" is more than Already On ART Initiated on Other Forms of  IPT"&amp;CHAR(10),""),IF(W184&gt;W182," * Already On ART Completed IPT for Age "&amp;V36&amp;" "&amp;W37&amp;" is more than Already On ART Initiated on Other Forms of  IPT"&amp;CHAR(10),""),IF(X184&gt;X182," * Already On ART Completed IPT for Age "&amp;X36&amp;" "&amp;X37&amp;" is more than Already On ART Initiated on Other Forms of  IPT"&amp;CHAR(10),""),IF(Y184&gt;Y182," * Already On ART Completed IPT for Age "&amp;X36&amp;" "&amp;Y37&amp;" is more than Already On ART Initiated on Other Forms of  IPT"&amp;CHAR(10),""),IF(Z184&gt;Z182," * Already On ART Completed IPT for Age "&amp;Z36&amp;" "&amp;Z37&amp;" is more than Already On ART Initiated on Other Forms of  IPT"&amp;CHAR(10),""),IF(AA184&gt;AA182," * Already On ART Completed IPT for Age "&amp;Z36&amp;" "&amp;AA37&amp;" is more than Already On ART Initiated on Other Forms of  IPT"&amp;CHAR(10),""))</f>
        <v/>
      </c>
      <c r="AL184" s="1019"/>
      <c r="AM184" s="31"/>
      <c r="AN184" s="126"/>
      <c r="AO184" s="13">
        <v>103</v>
      </c>
      <c r="AP184" s="74"/>
      <c r="AQ184" s="75"/>
    </row>
    <row r="185" spans="1:43" s="14" customFormat="1" ht="44.85" customHeight="1" x14ac:dyDescent="0.4">
      <c r="A185" s="1008" t="s">
        <v>1300</v>
      </c>
      <c r="B185" s="146" t="s">
        <v>660</v>
      </c>
      <c r="C185" s="599" t="s">
        <v>1291</v>
      </c>
      <c r="D185" s="147"/>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337"/>
      <c r="AB185" s="386"/>
      <c r="AC185" s="356"/>
      <c r="AD185" s="356"/>
      <c r="AE185" s="356"/>
      <c r="AF185" s="356"/>
      <c r="AG185" s="356"/>
      <c r="AH185" s="356"/>
      <c r="AI185" s="313"/>
      <c r="AJ185" s="188">
        <f t="shared" si="55"/>
        <v>0</v>
      </c>
      <c r="AK185" s="850" t="str">
        <f>CONCATENATE(IF(D181&lt;&gt;SUM(D183,D185,D187,D189,D191),"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)"&amp;CHAR(10),""),IF(E181&lt;&gt;SUM(E183,E185,E187,E189,E191),"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"&amp;CHAR(10),""),IF(F181&lt;&gt;SUM(F183,F185,F187,F189,F191),"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)"&amp;CHAR(10),""),IF(G181&lt;&gt;SUM(G183,G185,G187,G189,G191),"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"&amp;CHAR(10),""),IF(H181&lt;&gt;SUM(H183,H185,H187,H189,H191),"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)"&amp;CHAR(10),""),IF(I181&lt;&gt;SUM(I183,I185,I187,I189,I191),"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"&amp;CHAR(10),""),IF(J181&lt;&gt;SUM(J183,J185,J187,J189,J191),"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)"&amp;CHAR(10),""),IF(K181&lt;&gt;SUM(K183,K185,K187,K189,K191),"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"&amp;CHAR(10),""),IF(L181&lt;&gt;SUM(L183,L185,L187,L189,L191),"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)"&amp;CHAR(10),""),IF(M181&lt;&gt;SUM(M183,M185,M187,M189,M191),"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"&amp;CHAR(10),""),IF(N181&lt;&gt;SUM(N183,N185,N187,N189,N191),"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)"&amp;CHAR(10),""),IF(O181&lt;&gt;SUM(O183,O185,O187,O189,O191),"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"&amp;CHAR(10),""),IF(P181&lt;&gt;SUM(P183,P185,P187,P189,P191),"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)"&amp;CHAR(10),""),IF(Q181&lt;&gt;SUM(Q183,Q185,Q187,Q189,Q191),"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"&amp;CHAR(10),""),IF(R181&lt;&gt;SUM(R183,R185,R187,R189,R191),"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)"&amp;CHAR(10),""),IF(S181&lt;&gt;SUM(S183,S185,S187,S189,S191),"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"&amp;CHAR(10),""),IF(T181&lt;&gt;SUM(T183,T185,T187,T189,T191),"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)"&amp;CHAR(10),""),IF(U181&lt;&gt;SUM(U183,U185,U187,U189,U191),"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"&amp;CHAR(10),""),IF(V181&lt;&gt;SUM(V183,V185,V187,V189,V191),"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)"&amp;CHAR(10),""),IF(W181&lt;&gt;SUM(W183,W185,W187,W189,W191),"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"&amp;CHAR(10),""),IF(X181&lt;&gt;SUM(X183,X185,X187,X189,X191),"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)"&amp;CHAR(10),""),IF(Y181&lt;&gt;SUM(Y183,Y185,Y187,Y189,Y191),"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"&amp;CHAR(10),""),IF(Z181&lt;&gt;SUM(Z183,Z185,Z187,Z189,Z191),"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)"&amp;CHAR(10),""),IF(AA181&lt;&gt;SUM(AA183,AA185,AA187,AA189,AA191),"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185" s="1019"/>
      <c r="AM185" s="31"/>
      <c r="AN185" s="126"/>
      <c r="AO185" s="13">
        <v>104</v>
      </c>
      <c r="AP185" s="74"/>
      <c r="AQ185" s="149"/>
    </row>
    <row r="186" spans="1:43" s="14" customFormat="1" ht="44.85" customHeight="1" thickBot="1" x14ac:dyDescent="0.45">
      <c r="A186" s="1009"/>
      <c r="B186" s="150" t="s">
        <v>661</v>
      </c>
      <c r="C186" s="630" t="s">
        <v>1292</v>
      </c>
      <c r="D186" s="151"/>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338"/>
      <c r="AB186" s="386"/>
      <c r="AC186" s="356"/>
      <c r="AD186" s="356"/>
      <c r="AE186" s="356"/>
      <c r="AF186" s="356"/>
      <c r="AG186" s="356"/>
      <c r="AH186" s="356"/>
      <c r="AI186" s="313"/>
      <c r="AJ186" s="192">
        <f t="shared" si="55"/>
        <v>0</v>
      </c>
      <c r="AK186" s="850" t="str">
        <f>CONCATENATE(IF(D182&lt;&gt;SUM(D184,D186,D188,D190,D192),"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)"&amp;CHAR(10),""),IF(E182&lt;&gt;SUM(E184,E186,E188,E190,E192),"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"&amp;CHAR(10),""),IF(F182&lt;&gt;SUM(F184,F186,F188,F190,F192),"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)"&amp;CHAR(10),""),IF(G182&lt;&gt;SUM(G184,G186,G188,G190,G192),"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"&amp;CHAR(10),""),IF(H182&lt;&gt;SUM(H184,H186,H188,H190,H192),"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)"&amp;CHAR(10),""),IF(I182&lt;&gt;SUM(I184,I186,I188,I190,I192),"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"&amp;CHAR(10),""),IF(J182&lt;&gt;SUM(J184,J186,J188,J190,J192),"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)"&amp;CHAR(10),""),IF(K182&lt;&gt;SUM(K184,K186,K188,K190,K192),"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"&amp;CHAR(10),""),IF(L182&lt;&gt;SUM(L184,L186,L188,L190,L192),"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)"&amp;CHAR(10),""),IF(M182&lt;&gt;SUM(M184,M186,M188,M190,M192),"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"&amp;CHAR(10),""),IF(N182&lt;&gt;SUM(N184,N186,N188,N190,N192),"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)"&amp;CHAR(10),""),IF(O182&lt;&gt;SUM(O184,O186,O188,O190,O192),"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"&amp;CHAR(10),""),IF(P182&lt;&gt;SUM(P184,P186,P188,P190,P192),"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)"&amp;CHAR(10),""),IF(Q182&lt;&gt;SUM(Q184,Q186,Q188,Q190,Q192),"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"&amp;CHAR(10),""),IF(R182&lt;&gt;SUM(R184,R186,R188,R190,R192),"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)"&amp;CHAR(10),""),IF(S182&lt;&gt;SUM(S184,S186,S188,S190,S192),"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"&amp;CHAR(10),""),IF(T182&lt;&gt;SUM(T184,T186,T188,T190,T192),"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)"&amp;CHAR(10),""),IF(U182&lt;&gt;SUM(U184,U186,U188,U190,U192),"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"&amp;CHAR(10),""),IF(V182&lt;&gt;SUM(V184,V186,V188,V190,V192),"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)"&amp;CHAR(10),""),IF(W182&lt;&gt;SUM(W184,W186,W188,W190,W192),"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"&amp;CHAR(10),""),IF(X182&lt;&gt;SUM(X184,X186,X188,X190,X192),"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)"&amp;CHAR(10),""),IF(Y182&lt;&gt;SUM(Y184,Y186,Y188,Y190,Y192),"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"&amp;CHAR(10),""),IF(Z182&lt;&gt;SUM(Z184,Z186,Z188,Z190,Z192),"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)"&amp;CHAR(10),""),IF(AA182&lt;&gt;SUM(AA184,AA186,AA188,AA190,AA192),"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186" s="1019"/>
      <c r="AM186" s="31"/>
      <c r="AN186" s="126"/>
      <c r="AO186" s="13">
        <v>105</v>
      </c>
      <c r="AP186" s="74"/>
      <c r="AQ186" s="149"/>
    </row>
    <row r="187" spans="1:43" s="14" customFormat="1" ht="44.85" customHeight="1" x14ac:dyDescent="0.4">
      <c r="A187" s="1008" t="s">
        <v>1299</v>
      </c>
      <c r="B187" s="146" t="s">
        <v>660</v>
      </c>
      <c r="C187" s="599" t="s">
        <v>1293</v>
      </c>
      <c r="D187" s="147"/>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337"/>
      <c r="AB187" s="386"/>
      <c r="AC187" s="356"/>
      <c r="AD187" s="356"/>
      <c r="AE187" s="356"/>
      <c r="AF187" s="356"/>
      <c r="AG187" s="356"/>
      <c r="AH187" s="356"/>
      <c r="AI187" s="313"/>
      <c r="AJ187" s="188">
        <f t="shared" si="55"/>
        <v>0</v>
      </c>
      <c r="AK187" s="850"/>
      <c r="AL187" s="1019"/>
      <c r="AM187" s="31"/>
      <c r="AN187" s="126"/>
      <c r="AO187" s="13">
        <v>106</v>
      </c>
      <c r="AP187" s="74"/>
      <c r="AQ187" s="149"/>
    </row>
    <row r="188" spans="1:43" s="14" customFormat="1" ht="44.85" customHeight="1" thickBot="1" x14ac:dyDescent="0.45">
      <c r="A188" s="1009"/>
      <c r="B188" s="150" t="s">
        <v>661</v>
      </c>
      <c r="C188" s="630" t="s">
        <v>1294</v>
      </c>
      <c r="D188" s="151"/>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338"/>
      <c r="AB188" s="386"/>
      <c r="AC188" s="356"/>
      <c r="AD188" s="356"/>
      <c r="AE188" s="356"/>
      <c r="AF188" s="356"/>
      <c r="AG188" s="356"/>
      <c r="AH188" s="356"/>
      <c r="AI188" s="313"/>
      <c r="AJ188" s="192">
        <f t="shared" si="55"/>
        <v>0</v>
      </c>
      <c r="AK188" s="850"/>
      <c r="AL188" s="1019"/>
      <c r="AM188" s="31"/>
      <c r="AN188" s="126"/>
      <c r="AO188" s="13">
        <v>107</v>
      </c>
      <c r="AP188" s="74"/>
      <c r="AQ188" s="149"/>
    </row>
    <row r="189" spans="1:43" s="14" customFormat="1" ht="44.85" customHeight="1" x14ac:dyDescent="0.4">
      <c r="A189" s="1008" t="s">
        <v>1301</v>
      </c>
      <c r="B189" s="146" t="s">
        <v>660</v>
      </c>
      <c r="C189" s="599" t="s">
        <v>1295</v>
      </c>
      <c r="D189" s="147"/>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337"/>
      <c r="AB189" s="386"/>
      <c r="AC189" s="356"/>
      <c r="AD189" s="356"/>
      <c r="AE189" s="356"/>
      <c r="AF189" s="356"/>
      <c r="AG189" s="356"/>
      <c r="AH189" s="356"/>
      <c r="AI189" s="313"/>
      <c r="AJ189" s="188">
        <f t="shared" si="55"/>
        <v>0</v>
      </c>
      <c r="AK189" s="850"/>
      <c r="AL189" s="1019"/>
      <c r="AM189" s="31"/>
      <c r="AN189" s="126"/>
      <c r="AO189" s="13">
        <v>108</v>
      </c>
      <c r="AP189" s="74"/>
      <c r="AQ189" s="149"/>
    </row>
    <row r="190" spans="1:43" s="14" customFormat="1" ht="44.85" customHeight="1" thickBot="1" x14ac:dyDescent="0.45">
      <c r="A190" s="1009"/>
      <c r="B190" s="150" t="s">
        <v>661</v>
      </c>
      <c r="C190" s="630" t="s">
        <v>1296</v>
      </c>
      <c r="D190" s="151"/>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338"/>
      <c r="AB190" s="386"/>
      <c r="AC190" s="356"/>
      <c r="AD190" s="356"/>
      <c r="AE190" s="356"/>
      <c r="AF190" s="356"/>
      <c r="AG190" s="356"/>
      <c r="AH190" s="356"/>
      <c r="AI190" s="313"/>
      <c r="AJ190" s="192">
        <f t="shared" si="55"/>
        <v>0</v>
      </c>
      <c r="AK190" s="850"/>
      <c r="AL190" s="1019"/>
      <c r="AM190" s="31"/>
      <c r="AN190" s="126"/>
      <c r="AO190" s="13">
        <v>109</v>
      </c>
      <c r="AP190" s="74"/>
      <c r="AQ190" s="149"/>
    </row>
    <row r="191" spans="1:43" s="14" customFormat="1" ht="44.85" customHeight="1" x14ac:dyDescent="0.4">
      <c r="A191" s="1008" t="s">
        <v>1302</v>
      </c>
      <c r="B191" s="153" t="s">
        <v>660</v>
      </c>
      <c r="C191" s="804" t="s">
        <v>1297</v>
      </c>
      <c r="D191" s="154"/>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330"/>
      <c r="AB191" s="386"/>
      <c r="AC191" s="356"/>
      <c r="AD191" s="356"/>
      <c r="AE191" s="356"/>
      <c r="AF191" s="356"/>
      <c r="AG191" s="356"/>
      <c r="AH191" s="356"/>
      <c r="AI191" s="313"/>
      <c r="AJ191" s="52">
        <f t="shared" si="55"/>
        <v>0</v>
      </c>
      <c r="AK191" s="850"/>
      <c r="AL191" s="1019"/>
      <c r="AM191" s="31"/>
      <c r="AN191" s="126"/>
      <c r="AO191" s="13">
        <v>110</v>
      </c>
      <c r="AP191" s="74"/>
      <c r="AQ191" s="149"/>
    </row>
    <row r="192" spans="1:43" s="14" customFormat="1" ht="44.85" customHeight="1" thickBot="1" x14ac:dyDescent="0.45">
      <c r="A192" s="1010"/>
      <c r="B192" s="155" t="s">
        <v>661</v>
      </c>
      <c r="C192" s="854" t="s">
        <v>1298</v>
      </c>
      <c r="D192" s="156"/>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339"/>
      <c r="AB192" s="386"/>
      <c r="AC192" s="356"/>
      <c r="AD192" s="356"/>
      <c r="AE192" s="356"/>
      <c r="AF192" s="356"/>
      <c r="AG192" s="356"/>
      <c r="AH192" s="356"/>
      <c r="AI192" s="313"/>
      <c r="AJ192" s="391">
        <f t="shared" si="55"/>
        <v>0</v>
      </c>
      <c r="AK192" s="122"/>
      <c r="AL192" s="1020"/>
      <c r="AM192" s="123"/>
      <c r="AN192" s="126"/>
      <c r="AO192" s="13">
        <v>111</v>
      </c>
      <c r="AP192" s="74"/>
      <c r="AQ192" s="149"/>
    </row>
    <row r="193" spans="1:43" ht="27" thickBot="1" x14ac:dyDescent="0.45">
      <c r="A193" s="1017" t="s">
        <v>125</v>
      </c>
      <c r="B193" s="1015"/>
      <c r="C193" s="1015"/>
      <c r="D193" s="1012"/>
      <c r="E193" s="1012"/>
      <c r="F193" s="1012"/>
      <c r="G193" s="1012"/>
      <c r="H193" s="1012"/>
      <c r="I193" s="1012"/>
      <c r="J193" s="1012"/>
      <c r="K193" s="1012"/>
      <c r="L193" s="1012"/>
      <c r="M193" s="1012"/>
      <c r="N193" s="1012"/>
      <c r="O193" s="1012"/>
      <c r="P193" s="1012"/>
      <c r="Q193" s="1012"/>
      <c r="R193" s="1012"/>
      <c r="S193" s="1012"/>
      <c r="T193" s="1012"/>
      <c r="U193" s="1012"/>
      <c r="V193" s="1012"/>
      <c r="W193" s="1012"/>
      <c r="X193" s="1012"/>
      <c r="Y193" s="1012"/>
      <c r="Z193" s="1012"/>
      <c r="AA193" s="1012"/>
      <c r="AB193" s="1014"/>
      <c r="AC193" s="1014"/>
      <c r="AD193" s="1014"/>
      <c r="AE193" s="1014"/>
      <c r="AF193" s="1014"/>
      <c r="AG193" s="1014"/>
      <c r="AH193" s="1014"/>
      <c r="AI193" s="1014"/>
      <c r="AJ193" s="1015"/>
      <c r="AK193" s="1015"/>
      <c r="AL193" s="1015"/>
      <c r="AM193" s="1015"/>
      <c r="AN193" s="1016"/>
      <c r="AO193" s="13">
        <v>112</v>
      </c>
      <c r="AP193" s="74"/>
      <c r="AQ193" s="75"/>
    </row>
    <row r="194" spans="1:43" ht="26.25" customHeight="1" x14ac:dyDescent="0.4">
      <c r="A194" s="1059" t="s">
        <v>37</v>
      </c>
      <c r="B194" s="1084" t="s">
        <v>344</v>
      </c>
      <c r="C194" s="1145" t="s">
        <v>325</v>
      </c>
      <c r="D194" s="1089"/>
      <c r="E194" s="1090"/>
      <c r="F194" s="1090"/>
      <c r="G194" s="1090"/>
      <c r="H194" s="1090"/>
      <c r="I194" s="1090"/>
      <c r="J194" s="1090"/>
      <c r="K194" s="1090"/>
      <c r="L194" s="1151" t="s">
        <v>4</v>
      </c>
      <c r="M194" s="1037"/>
      <c r="N194" s="1037" t="s">
        <v>5</v>
      </c>
      <c r="O194" s="1037"/>
      <c r="P194" s="1037" t="s">
        <v>6</v>
      </c>
      <c r="Q194" s="1037"/>
      <c r="R194" s="1037" t="s">
        <v>7</v>
      </c>
      <c r="S194" s="1037"/>
      <c r="T194" s="1037" t="s">
        <v>8</v>
      </c>
      <c r="U194" s="1037"/>
      <c r="V194" s="1037" t="s">
        <v>23</v>
      </c>
      <c r="W194" s="1037"/>
      <c r="X194" s="1037" t="s">
        <v>24</v>
      </c>
      <c r="Y194" s="1037"/>
      <c r="Z194" s="1037" t="s">
        <v>9</v>
      </c>
      <c r="AA194" s="1038"/>
      <c r="AB194" s="1038" t="s">
        <v>1017</v>
      </c>
      <c r="AC194" s="1079"/>
      <c r="AD194" s="1038" t="s">
        <v>1018</v>
      </c>
      <c r="AE194" s="1079"/>
      <c r="AF194" s="1038" t="s">
        <v>1188</v>
      </c>
      <c r="AG194" s="1079"/>
      <c r="AH194" s="1038" t="s">
        <v>1189</v>
      </c>
      <c r="AI194" s="1079"/>
      <c r="AJ194" s="1050" t="s">
        <v>19</v>
      </c>
      <c r="AK194" s="1052" t="s">
        <v>378</v>
      </c>
      <c r="AL194" s="1035" t="s">
        <v>384</v>
      </c>
      <c r="AM194" s="1029" t="s">
        <v>385</v>
      </c>
      <c r="AN194" s="1024" t="s">
        <v>385</v>
      </c>
      <c r="AO194" s="13">
        <v>113</v>
      </c>
      <c r="AP194" s="74"/>
      <c r="AQ194" s="75"/>
    </row>
    <row r="195" spans="1:43" ht="27" customHeight="1" thickBot="1" x14ac:dyDescent="0.45">
      <c r="A195" s="1060"/>
      <c r="B195" s="1085"/>
      <c r="C195" s="1146"/>
      <c r="D195" s="1091"/>
      <c r="E195" s="1092"/>
      <c r="F195" s="1092"/>
      <c r="G195" s="1092"/>
      <c r="H195" s="1092"/>
      <c r="I195" s="1092"/>
      <c r="J195" s="1092"/>
      <c r="K195" s="1092"/>
      <c r="L195" s="626" t="s">
        <v>10</v>
      </c>
      <c r="M195" s="68" t="s">
        <v>11</v>
      </c>
      <c r="N195" s="68" t="s">
        <v>10</v>
      </c>
      <c r="O195" s="68" t="s">
        <v>11</v>
      </c>
      <c r="P195" s="68" t="s">
        <v>10</v>
      </c>
      <c r="Q195" s="68" t="s">
        <v>11</v>
      </c>
      <c r="R195" s="68" t="s">
        <v>10</v>
      </c>
      <c r="S195" s="68" t="s">
        <v>11</v>
      </c>
      <c r="T195" s="68" t="s">
        <v>10</v>
      </c>
      <c r="U195" s="68" t="s">
        <v>11</v>
      </c>
      <c r="V195" s="68" t="s">
        <v>10</v>
      </c>
      <c r="W195" s="68" t="s">
        <v>11</v>
      </c>
      <c r="X195" s="68" t="s">
        <v>10</v>
      </c>
      <c r="Y195" s="68" t="s">
        <v>11</v>
      </c>
      <c r="Z195" s="68" t="s">
        <v>10</v>
      </c>
      <c r="AA195" s="368" t="s">
        <v>11</v>
      </c>
      <c r="AB195" s="68" t="s">
        <v>10</v>
      </c>
      <c r="AC195" s="68" t="s">
        <v>11</v>
      </c>
      <c r="AD195" s="68" t="s">
        <v>10</v>
      </c>
      <c r="AE195" s="68" t="s">
        <v>11</v>
      </c>
      <c r="AF195" s="68" t="s">
        <v>10</v>
      </c>
      <c r="AG195" s="68" t="s">
        <v>11</v>
      </c>
      <c r="AH195" s="68" t="s">
        <v>10</v>
      </c>
      <c r="AI195" s="627" t="s">
        <v>11</v>
      </c>
      <c r="AJ195" s="1051"/>
      <c r="AK195" s="1053"/>
      <c r="AL195" s="1036"/>
      <c r="AM195" s="1029"/>
      <c r="AN195" s="1025"/>
      <c r="AO195" s="13">
        <v>114</v>
      </c>
      <c r="AP195" s="74"/>
      <c r="AQ195" s="75"/>
    </row>
    <row r="196" spans="1:43" ht="26.25" x14ac:dyDescent="0.4">
      <c r="A196" s="1157" t="s">
        <v>33</v>
      </c>
      <c r="B196" s="69" t="s">
        <v>662</v>
      </c>
      <c r="C196" s="595" t="s">
        <v>356</v>
      </c>
      <c r="D196" s="70"/>
      <c r="E196" s="71"/>
      <c r="F196" s="71"/>
      <c r="G196" s="71"/>
      <c r="H196" s="71"/>
      <c r="I196" s="71"/>
      <c r="J196" s="71"/>
      <c r="K196" s="71"/>
      <c r="L196" s="71"/>
      <c r="M196" s="72"/>
      <c r="N196" s="71"/>
      <c r="O196" s="72"/>
      <c r="P196" s="71"/>
      <c r="Q196" s="72"/>
      <c r="R196" s="71"/>
      <c r="S196" s="72"/>
      <c r="T196" s="71"/>
      <c r="U196" s="72"/>
      <c r="V196" s="71"/>
      <c r="W196" s="72"/>
      <c r="X196" s="158"/>
      <c r="Y196" s="72"/>
      <c r="Z196" s="616"/>
      <c r="AA196" s="625">
        <f>SUM(AC196,AE196,AG196,AI196)</f>
        <v>0</v>
      </c>
      <c r="AB196" s="620"/>
      <c r="AC196" s="317"/>
      <c r="AD196" s="158"/>
      <c r="AE196" s="317"/>
      <c r="AF196" s="158"/>
      <c r="AG196" s="317"/>
      <c r="AH196" s="158"/>
      <c r="AI196" s="317"/>
      <c r="AJ196" s="52">
        <f>SUM(D196:AA196)</f>
        <v>0</v>
      </c>
      <c r="AK196" s="139"/>
      <c r="AL196" s="1147" t="str">
        <f>CONCATENATE(AK196,AK197,AK198,AK201,AK202,AK203,AK204,AK205,AK206,AK209,AK210,AK211,AK212,AK213,AK214,AK217,AK218,AK219,AK199,AK200,AK207,AK208,AK215,AK216)</f>
        <v/>
      </c>
      <c r="AM196" s="73"/>
      <c r="AN196" s="1030" t="str">
        <f>CONCATENATE(AM196,AM197,AM198,AM201,AM202,AM203,AM204,AM205,AM206,AM209,AM210,AM211,AM212,AM213,AM214,AM217,AM218,AM219)</f>
        <v/>
      </c>
      <c r="AO196" s="13">
        <v>115</v>
      </c>
      <c r="AP196" s="74"/>
      <c r="AQ196" s="75"/>
    </row>
    <row r="197" spans="1:43" ht="26.25" x14ac:dyDescent="0.4">
      <c r="A197" s="1119"/>
      <c r="B197" s="76" t="s">
        <v>150</v>
      </c>
      <c r="C197" s="576" t="s">
        <v>222</v>
      </c>
      <c r="D197" s="77"/>
      <c r="E197" s="78"/>
      <c r="F197" s="78"/>
      <c r="G197" s="78"/>
      <c r="H197" s="78"/>
      <c r="I197" s="78"/>
      <c r="J197" s="78"/>
      <c r="K197" s="78"/>
      <c r="L197" s="78"/>
      <c r="M197" s="79"/>
      <c r="N197" s="78"/>
      <c r="O197" s="79"/>
      <c r="P197" s="78"/>
      <c r="Q197" s="79"/>
      <c r="R197" s="78"/>
      <c r="S197" s="79"/>
      <c r="T197" s="78"/>
      <c r="U197" s="79"/>
      <c r="V197" s="78"/>
      <c r="W197" s="79"/>
      <c r="X197" s="159"/>
      <c r="Y197" s="79"/>
      <c r="Z197" s="617"/>
      <c r="AA197" s="624">
        <f t="shared" ref="AA197:AA219" si="56">SUM(AC197,AE197,AG197,AI197)</f>
        <v>0</v>
      </c>
      <c r="AB197" s="621"/>
      <c r="AC197" s="318"/>
      <c r="AD197" s="159"/>
      <c r="AE197" s="318"/>
      <c r="AF197" s="159"/>
      <c r="AG197" s="318"/>
      <c r="AH197" s="159"/>
      <c r="AI197" s="318"/>
      <c r="AJ197" s="173">
        <f t="shared" ref="AJ197:AJ219" si="57">SUM(D197:AA197)</f>
        <v>0</v>
      </c>
      <c r="AK197" s="116" t="str">
        <f>CONCATENATE(IF(D199&lt;SUM(D200,D201,D202,D203)," * First Time Screening , Total CXCA Screening positive for Age "&amp;D20&amp;" "&amp;D21&amp;" should be greater than or equal to  the sum of (Cryotherapy , Leep , Thermocoagulation and Reffered for treatment)"&amp;CHAR(10),""),IF(E199&lt;SUM(E200,E201,E202,E203)," * First Time Screening , Total CXCA Screening positive for Age "&amp;D20&amp;" "&amp;E21&amp;" should be greater than or equal to  the sum of (Cryotherapy , Leep , Thermocoagulation and Reffered for treatment)"&amp;CHAR(10),""),IF(F199&lt;SUM(F200,F201,F202,F203)," * First Time Screening , Total CXCA Screening positive for Age "&amp;F20&amp;" "&amp;F21&amp;" should be greater than or equal to  the sum of (Cryotherapy , Leep , Thermocoagulation and Reffered for treatment)"&amp;CHAR(10),""),IF(G199&lt;SUM(G200,G201,G202,G203)," * First Time Screening , Total CXCA Screening positive for Age "&amp;F20&amp;" "&amp;G21&amp;" should be greater than or equal to  the sum of (Cryotherapy , Leep , Thermocoagulation and Reffered for treatment)"&amp;CHAR(10),""),IF(H199&lt;SUM(H200,H201,H202,H203)," * First Time Screening , Total CXCA Screening positive for Age "&amp;H20&amp;" "&amp;H21&amp;" should be greater than or equal to  the sum of (Cryotherapy , Leep , Thermocoagulation and Reffered for treatment)"&amp;CHAR(10),""),IF(I199&lt;SUM(I200,I201,I202,I203)," * First Time Screening , Total CXCA Screening positive for Age "&amp;H20&amp;" "&amp;I21&amp;" should be greater than or equal to  the sum of (Cryotherapy , Leep , Thermocoagulation and Reffered for treatment)"&amp;CHAR(10),""),IF(J199&lt;SUM(J200,J201,J202,J203)," * First Time Screening , Total CXCA Screening positive for Age "&amp;J20&amp;" "&amp;J21&amp;" should be greater than or equal to  the sum of (Cryotherapy , Leep , Thermocoagulation and Reffered for treatment)"&amp;CHAR(10),""),IF(K199&lt;SUM(K200,K201,K202,K203)," * First Time Screening , Total CXCA Screening positive for Age "&amp;J20&amp;" "&amp;K21&amp;" should be greater than or equal to  the sum of (Cryotherapy , Leep , Thermocoagulation and Reffered for treatment)"&amp;CHAR(10),""),IF(L199&lt;SUM(L200,L201,L202,L203)," * First Time Screening , Total CXCA Screening positive for Age "&amp;L20&amp;" "&amp;L21&amp;" should be greater than or equal to  the sum of (Cryotherapy , Leep , Thermocoagulation and Reffered for treatment)"&amp;CHAR(10),""),IF(M199&lt;SUM(M200,M201,M202,M203)," * First Time Screening , Total CXCA Screening positive for Age "&amp;L20&amp;" "&amp;M21&amp;" should be greater than or equal to  the sum of (Cryotherapy , Leep , Thermocoagulation and Reffered for treatment)"&amp;CHAR(10),""),IF(N199&lt;SUM(N200,N201,N202,N203)," * First Time Screening , Total CXCA Screening positive for Age "&amp;N20&amp;" "&amp;N21&amp;" should be greater than or equal to  the sum of (Cryotherapy , Leep , Thermocoagulation and Reffered for treatment)"&amp;CHAR(10),""),IF(O199&lt;SUM(O200,O201,O202,O203)," * First Time Screening , Total CXCA Screening positive for Age "&amp;N20&amp;" "&amp;O21&amp;" should be greater than or equal to  the sum of (Cryotherapy , Leep , Thermocoagulation and Reffered for treatment)"&amp;CHAR(10),""),IF(P199&lt;SUM(P200,P201,P202,P203)," * First Time Screening , Total CXCA Screening positive for Age "&amp;P20&amp;" "&amp;P21&amp;" should be greater than or equal to  the sum of (Cryotherapy , Leep , Thermocoagulation and Reffered for treatment)"&amp;CHAR(10),""),IF(Q199&lt;SUM(Q200,Q201,Q202,Q203)," * First Time Screening , Total CXCA Screening positive for Age "&amp;P20&amp;" "&amp;Q21&amp;" should be greater than or equal to  the sum of (Cryotherapy , Leep , Thermocoagulation and Reffered for treatment)"&amp;CHAR(10),""),IF(R199&lt;SUM(R200,R201,R202,R203)," * First Time Screening , Total CXCA Screening positive for Age "&amp;R20&amp;" "&amp;R21&amp;" should be greater than or equal to  the sum of (Cryotherapy , Leep , Thermocoagulation and Reffered for treatment)"&amp;CHAR(10),""),IF(S199&lt;SUM(S200,S201,S202,S203)," * First Time Screening , Total CXCA Screening positive for Age "&amp;R20&amp;" "&amp;S21&amp;" should be greater than or equal to  the sum of (Cryotherapy , Leep , Thermocoagulation and Reffered for treatment)"&amp;CHAR(10),""),IF(T199&lt;SUM(T200,T201,T202,T203)," * First Time Screening , Total CXCA Screening positive for Age "&amp;T20&amp;" "&amp;T21&amp;" should be greater than or equal to  the sum of (Cryotherapy , Leep , Thermocoagulation and Reffered for treatment)"&amp;CHAR(10),""),IF(U199&lt;SUM(U200,U201,U202,U203)," * First Time Screening , Total CXCA Screening positive for Age "&amp;T20&amp;" "&amp;U21&amp;" should be greater than or equal to  the sum of (Cryotherapy , Leep , Thermocoagulation and Reffered for treatment)"&amp;CHAR(10),""),IF(V199&lt;SUM(V200,V201,V202,V203)," * First Time Screening , Total CXCA Screening positive for Age "&amp;V20&amp;" "&amp;V21&amp;" should be greater than or equal to  the sum of (Cryotherapy , Leep , Thermocoagulation and Reffered for treatment)"&amp;CHAR(10),""),IF(W199&lt;SUM(W200,W201,W202,W203)," * First Time Screening , Total CXCA Screening positive for Age "&amp;V20&amp;" "&amp;W21&amp;" should be greater than or equal to  the sum of (Cryotherapy , Leep , Thermocoagulation and Reffered for treatment)"&amp;CHAR(10),""),IF(X199&lt;SUM(X200,X201,X202,X203)," * First Time Screening , Total CXCA Screening positive for Age "&amp;X20&amp;" "&amp;X21&amp;" should be greater than or equal to  the sum of (Cryotherapy , Leep , Thermocoagulation and Reffered for treatment)"&amp;CHAR(10),""),IF(Y199&lt;SUM(Y200,Y201,Y202,Y203)," * First Time Screening , Total CXCA Screening positive for Age "&amp;X20&amp;" "&amp;Y21&amp;" should be greater than or equal to  the sum of (Cryotherapy , Leep , Thermocoagulation and Reffered for treatment)"&amp;CHAR(10),""),IF(Z199&lt;SUM(Z200,Z201,Z202,Z203)," * First Time Screening , Total CXCA Screening positive for Age "&amp;Z20&amp;" "&amp;Z21&amp;" should be greater than or equal to  the sum of (Cryotherapy , Leep , Thermocoagulation and Reffered for treatment)"&amp;CHAR(10),""),IF(AA199&lt;SUM(AA200,AA201,AA202,AA203)," * First Time Screening , Total CXCA Screening positive for Age "&amp;Z20&amp;" "&amp;AA21&amp;" should be greater than or equal to  the sum of (Cryotherapy , Leep , Thermocoagulation and Reffered for treatment)"&amp;CHAR(10),""))</f>
        <v/>
      </c>
      <c r="AL197" s="1148"/>
      <c r="AM197" s="31"/>
      <c r="AN197" s="1031"/>
      <c r="AO197" s="13">
        <v>116</v>
      </c>
      <c r="AP197" s="74"/>
      <c r="AQ197" s="75"/>
    </row>
    <row r="198" spans="1:43" ht="26.25" x14ac:dyDescent="0.4">
      <c r="A198" s="1119"/>
      <c r="B198" s="76" t="s">
        <v>663</v>
      </c>
      <c r="C198" s="576" t="s">
        <v>357</v>
      </c>
      <c r="D198" s="77"/>
      <c r="E198" s="78"/>
      <c r="F198" s="78"/>
      <c r="G198" s="78"/>
      <c r="H198" s="78"/>
      <c r="I198" s="78"/>
      <c r="J198" s="78"/>
      <c r="K198" s="78"/>
      <c r="L198" s="78"/>
      <c r="M198" s="79"/>
      <c r="N198" s="78"/>
      <c r="O198" s="79"/>
      <c r="P198" s="78"/>
      <c r="Q198" s="79"/>
      <c r="R198" s="78"/>
      <c r="S198" s="79"/>
      <c r="T198" s="78"/>
      <c r="U198" s="79"/>
      <c r="V198" s="78"/>
      <c r="W198" s="79"/>
      <c r="X198" s="159"/>
      <c r="Y198" s="79"/>
      <c r="Z198" s="617"/>
      <c r="AA198" s="624">
        <f t="shared" si="56"/>
        <v>0</v>
      </c>
      <c r="AB198" s="621"/>
      <c r="AC198" s="318"/>
      <c r="AD198" s="159"/>
      <c r="AE198" s="318"/>
      <c r="AF198" s="159"/>
      <c r="AG198" s="318"/>
      <c r="AH198" s="159"/>
      <c r="AI198" s="318"/>
      <c r="AJ198" s="173">
        <f t="shared" si="57"/>
        <v>0</v>
      </c>
      <c r="AK198" s="116"/>
      <c r="AL198" s="1148"/>
      <c r="AM198" s="31"/>
      <c r="AN198" s="1031"/>
      <c r="AO198" s="13">
        <v>117</v>
      </c>
      <c r="AP198" s="74"/>
      <c r="AQ198" s="75"/>
    </row>
    <row r="199" spans="1:43" ht="26.25" x14ac:dyDescent="0.4">
      <c r="A199" s="1119"/>
      <c r="B199" s="160" t="s">
        <v>854</v>
      </c>
      <c r="C199" s="576" t="s">
        <v>855</v>
      </c>
      <c r="D199" s="77"/>
      <c r="E199" s="78"/>
      <c r="F199" s="78"/>
      <c r="G199" s="78"/>
      <c r="H199" s="78"/>
      <c r="I199" s="78"/>
      <c r="J199" s="78"/>
      <c r="K199" s="78"/>
      <c r="L199" s="78"/>
      <c r="M199" s="161">
        <f>M198+M197</f>
        <v>0</v>
      </c>
      <c r="N199" s="162"/>
      <c r="O199" s="161">
        <f>O198+O197</f>
        <v>0</v>
      </c>
      <c r="P199" s="78"/>
      <c r="Q199" s="161">
        <f>Q198+Q197</f>
        <v>0</v>
      </c>
      <c r="R199" s="78"/>
      <c r="S199" s="161">
        <f>S198+S197</f>
        <v>0</v>
      </c>
      <c r="T199" s="78"/>
      <c r="U199" s="161">
        <f>U198+U197</f>
        <v>0</v>
      </c>
      <c r="V199" s="78"/>
      <c r="W199" s="161">
        <f>W198+W197</f>
        <v>0</v>
      </c>
      <c r="X199" s="159"/>
      <c r="Y199" s="161">
        <f>Y198+Y197</f>
        <v>0</v>
      </c>
      <c r="Z199" s="617"/>
      <c r="AA199" s="624">
        <f t="shared" si="56"/>
        <v>0</v>
      </c>
      <c r="AB199" s="621"/>
      <c r="AC199" s="340">
        <f>AC198+AC197</f>
        <v>0</v>
      </c>
      <c r="AD199" s="159"/>
      <c r="AE199" s="340">
        <f>AE198+AE197</f>
        <v>0</v>
      </c>
      <c r="AF199" s="159"/>
      <c r="AG199" s="340">
        <f>AG198+AG197</f>
        <v>0</v>
      </c>
      <c r="AH199" s="159"/>
      <c r="AI199" s="340">
        <f>AI198+AI197</f>
        <v>0</v>
      </c>
      <c r="AJ199" s="173">
        <f t="shared" si="57"/>
        <v>0</v>
      </c>
      <c r="AK199" s="116"/>
      <c r="AL199" s="1148"/>
      <c r="AM199" s="31"/>
      <c r="AN199" s="1031"/>
      <c r="AO199" s="13">
        <v>118</v>
      </c>
      <c r="AP199" s="74"/>
      <c r="AQ199" s="75"/>
    </row>
    <row r="200" spans="1:43" ht="26.25" x14ac:dyDescent="0.4">
      <c r="A200" s="1119"/>
      <c r="B200" s="163" t="s">
        <v>1312</v>
      </c>
      <c r="C200" s="576" t="s">
        <v>987</v>
      </c>
      <c r="D200" s="77"/>
      <c r="E200" s="78"/>
      <c r="F200" s="78"/>
      <c r="G200" s="78"/>
      <c r="H200" s="78"/>
      <c r="I200" s="78"/>
      <c r="J200" s="78"/>
      <c r="K200" s="78"/>
      <c r="L200" s="78"/>
      <c r="M200" s="164"/>
      <c r="N200" s="162"/>
      <c r="O200" s="164"/>
      <c r="P200" s="78"/>
      <c r="Q200" s="164"/>
      <c r="R200" s="78"/>
      <c r="S200" s="164"/>
      <c r="T200" s="78"/>
      <c r="U200" s="164"/>
      <c r="V200" s="78"/>
      <c r="W200" s="164"/>
      <c r="X200" s="159"/>
      <c r="Y200" s="164"/>
      <c r="Z200" s="617"/>
      <c r="AA200" s="624">
        <f t="shared" si="56"/>
        <v>0</v>
      </c>
      <c r="AB200" s="621"/>
      <c r="AC200" s="341"/>
      <c r="AD200" s="159"/>
      <c r="AE200" s="341"/>
      <c r="AF200" s="159"/>
      <c r="AG200" s="341"/>
      <c r="AH200" s="159"/>
      <c r="AI200" s="341"/>
      <c r="AJ200" s="173">
        <f t="shared" si="57"/>
        <v>0</v>
      </c>
      <c r="AK200" s="116"/>
      <c r="AL200" s="1148"/>
      <c r="AM200" s="31"/>
      <c r="AN200" s="1031"/>
      <c r="AO200" s="13">
        <v>119</v>
      </c>
      <c r="AP200" s="74"/>
      <c r="AQ200" s="75"/>
    </row>
    <row r="201" spans="1:43" ht="26.25" x14ac:dyDescent="0.4">
      <c r="A201" s="1119"/>
      <c r="B201" s="76" t="s">
        <v>664</v>
      </c>
      <c r="C201" s="576" t="s">
        <v>227</v>
      </c>
      <c r="D201" s="77"/>
      <c r="E201" s="78"/>
      <c r="F201" s="78"/>
      <c r="G201" s="78"/>
      <c r="H201" s="78"/>
      <c r="I201" s="78"/>
      <c r="J201" s="78"/>
      <c r="K201" s="78"/>
      <c r="L201" s="78"/>
      <c r="M201" s="79"/>
      <c r="N201" s="78"/>
      <c r="O201" s="79"/>
      <c r="P201" s="78"/>
      <c r="Q201" s="79"/>
      <c r="R201" s="78"/>
      <c r="S201" s="79"/>
      <c r="T201" s="78"/>
      <c r="U201" s="79"/>
      <c r="V201" s="78"/>
      <c r="W201" s="79"/>
      <c r="X201" s="159"/>
      <c r="Y201" s="79"/>
      <c r="Z201" s="617"/>
      <c r="AA201" s="624">
        <f t="shared" si="56"/>
        <v>0</v>
      </c>
      <c r="AB201" s="621"/>
      <c r="AC201" s="318"/>
      <c r="AD201" s="159"/>
      <c r="AE201" s="318"/>
      <c r="AF201" s="159"/>
      <c r="AG201" s="318"/>
      <c r="AH201" s="159"/>
      <c r="AI201" s="318"/>
      <c r="AJ201" s="173">
        <f t="shared" si="57"/>
        <v>0</v>
      </c>
      <c r="AK201" s="116"/>
      <c r="AL201" s="1148"/>
      <c r="AM201" s="31"/>
      <c r="AN201" s="1031"/>
      <c r="AO201" s="13">
        <v>120</v>
      </c>
      <c r="AP201" s="74"/>
      <c r="AQ201" s="75"/>
    </row>
    <row r="202" spans="1:43" ht="26.25" x14ac:dyDescent="0.4">
      <c r="A202" s="1119"/>
      <c r="B202" s="76" t="s">
        <v>665</v>
      </c>
      <c r="C202" s="576" t="s">
        <v>228</v>
      </c>
      <c r="D202" s="77"/>
      <c r="E202" s="78"/>
      <c r="F202" s="78"/>
      <c r="G202" s="78"/>
      <c r="H202" s="78"/>
      <c r="I202" s="78"/>
      <c r="J202" s="78"/>
      <c r="K202" s="78"/>
      <c r="L202" s="78"/>
      <c r="M202" s="79"/>
      <c r="N202" s="78"/>
      <c r="O202" s="79"/>
      <c r="P202" s="78"/>
      <c r="Q202" s="79"/>
      <c r="R202" s="78"/>
      <c r="S202" s="79"/>
      <c r="T202" s="78"/>
      <c r="U202" s="79"/>
      <c r="V202" s="78"/>
      <c r="W202" s="79"/>
      <c r="X202" s="159"/>
      <c r="Y202" s="79"/>
      <c r="Z202" s="617"/>
      <c r="AA202" s="624">
        <f t="shared" si="56"/>
        <v>0</v>
      </c>
      <c r="AB202" s="621"/>
      <c r="AC202" s="318"/>
      <c r="AD202" s="159"/>
      <c r="AE202" s="318"/>
      <c r="AF202" s="159"/>
      <c r="AG202" s="318"/>
      <c r="AH202" s="159"/>
      <c r="AI202" s="318"/>
      <c r="AJ202" s="173">
        <f t="shared" si="57"/>
        <v>0</v>
      </c>
      <c r="AK202" s="116"/>
      <c r="AL202" s="1148"/>
      <c r="AM202" s="31"/>
      <c r="AN202" s="1031"/>
      <c r="AO202" s="13">
        <v>121</v>
      </c>
      <c r="AP202" s="74"/>
      <c r="AQ202" s="75"/>
    </row>
    <row r="203" spans="1:43" ht="27" thickBot="1" x14ac:dyDescent="0.45">
      <c r="A203" s="1124"/>
      <c r="B203" s="87" t="s">
        <v>666</v>
      </c>
      <c r="C203" s="577" t="s">
        <v>229</v>
      </c>
      <c r="D203" s="103"/>
      <c r="E203" s="102"/>
      <c r="F203" s="102"/>
      <c r="G203" s="102"/>
      <c r="H203" s="102"/>
      <c r="I203" s="102"/>
      <c r="J203" s="102"/>
      <c r="K203" s="102"/>
      <c r="L203" s="102"/>
      <c r="M203" s="89"/>
      <c r="N203" s="102"/>
      <c r="O203" s="89"/>
      <c r="P203" s="102"/>
      <c r="Q203" s="89"/>
      <c r="R203" s="102"/>
      <c r="S203" s="89"/>
      <c r="T203" s="102"/>
      <c r="U203" s="89"/>
      <c r="V203" s="102"/>
      <c r="W203" s="89"/>
      <c r="X203" s="165"/>
      <c r="Y203" s="89"/>
      <c r="Z203" s="618"/>
      <c r="AA203" s="624">
        <f t="shared" si="56"/>
        <v>0</v>
      </c>
      <c r="AB203" s="622"/>
      <c r="AC203" s="320"/>
      <c r="AD203" s="165"/>
      <c r="AE203" s="320"/>
      <c r="AF203" s="165"/>
      <c r="AG203" s="320"/>
      <c r="AH203" s="165"/>
      <c r="AI203" s="320"/>
      <c r="AJ203" s="192">
        <f t="shared" si="57"/>
        <v>0</v>
      </c>
      <c r="AK203" s="116"/>
      <c r="AL203" s="1148"/>
      <c r="AM203" s="31"/>
      <c r="AN203" s="1031"/>
      <c r="AO203" s="13">
        <v>122</v>
      </c>
      <c r="AP203" s="74"/>
      <c r="AQ203" s="75"/>
    </row>
    <row r="204" spans="1:43" ht="26.25" x14ac:dyDescent="0.4">
      <c r="A204" s="994" t="s">
        <v>466</v>
      </c>
      <c r="B204" s="91" t="s">
        <v>662</v>
      </c>
      <c r="C204" s="575" t="s">
        <v>358</v>
      </c>
      <c r="D204" s="98"/>
      <c r="E204" s="99"/>
      <c r="F204" s="99"/>
      <c r="G204" s="99"/>
      <c r="H204" s="99"/>
      <c r="I204" s="99"/>
      <c r="J204" s="99"/>
      <c r="K204" s="99"/>
      <c r="L204" s="99"/>
      <c r="M204" s="94"/>
      <c r="N204" s="99"/>
      <c r="O204" s="94"/>
      <c r="P204" s="99"/>
      <c r="Q204" s="94"/>
      <c r="R204" s="99"/>
      <c r="S204" s="94"/>
      <c r="T204" s="99"/>
      <c r="U204" s="94"/>
      <c r="V204" s="99"/>
      <c r="W204" s="94"/>
      <c r="X204" s="166"/>
      <c r="Y204" s="94"/>
      <c r="Z204" s="619"/>
      <c r="AA204" s="624">
        <f t="shared" si="56"/>
        <v>0</v>
      </c>
      <c r="AB204" s="623"/>
      <c r="AC204" s="321"/>
      <c r="AD204" s="166"/>
      <c r="AE204" s="321"/>
      <c r="AF204" s="166"/>
      <c r="AG204" s="321"/>
      <c r="AH204" s="166"/>
      <c r="AI204" s="321"/>
      <c r="AJ204" s="188">
        <f t="shared" si="57"/>
        <v>0</v>
      </c>
      <c r="AK204" s="116"/>
      <c r="AL204" s="1148"/>
      <c r="AM204" s="31"/>
      <c r="AN204" s="1031"/>
      <c r="AO204" s="13">
        <v>123</v>
      </c>
      <c r="AP204" s="74"/>
      <c r="AQ204" s="75"/>
    </row>
    <row r="205" spans="1:43" ht="26.25" x14ac:dyDescent="0.4">
      <c r="A205" s="1119"/>
      <c r="B205" s="76" t="s">
        <v>150</v>
      </c>
      <c r="C205" s="576" t="s">
        <v>359</v>
      </c>
      <c r="D205" s="77"/>
      <c r="E205" s="78"/>
      <c r="F205" s="78"/>
      <c r="G205" s="78"/>
      <c r="H205" s="78"/>
      <c r="I205" s="78"/>
      <c r="J205" s="78"/>
      <c r="K205" s="78"/>
      <c r="L205" s="78"/>
      <c r="M205" s="79"/>
      <c r="N205" s="78"/>
      <c r="O205" s="79"/>
      <c r="P205" s="78"/>
      <c r="Q205" s="79"/>
      <c r="R205" s="78"/>
      <c r="S205" s="79"/>
      <c r="T205" s="78"/>
      <c r="U205" s="79"/>
      <c r="V205" s="78"/>
      <c r="W205" s="79"/>
      <c r="X205" s="159"/>
      <c r="Y205" s="79"/>
      <c r="Z205" s="617"/>
      <c r="AA205" s="624">
        <f t="shared" si="56"/>
        <v>0</v>
      </c>
      <c r="AB205" s="621"/>
      <c r="AC205" s="318"/>
      <c r="AD205" s="159"/>
      <c r="AE205" s="318"/>
      <c r="AF205" s="159"/>
      <c r="AG205" s="318"/>
      <c r="AH205" s="159"/>
      <c r="AI205" s="318"/>
      <c r="AJ205" s="173">
        <f t="shared" si="57"/>
        <v>0</v>
      </c>
      <c r="AK205" s="565" t="str">
        <f>CONCATENATE(IF(D207&lt;SUM(D208,D209,D210,D211)," * Rescreened and treatment , Total CXCA Screening positive for Age "&amp;D28&amp;" "&amp;D29&amp;" should be greater than or equal to  the sum of (Cryotherapy , Leep , Thermocoagulation and Reffered for treatment)"&amp;CHAR(10),""),IF(E207&lt;SUM(E208,E209,E210,E211)," * Rescreened and treatment , Total CXCA Screening positive for Age "&amp;D28&amp;" "&amp;E29&amp;" should be greater than or equal to  the sum of (Cryotherapy , Leep , Thermocoagulation and Reffered for treatment)"&amp;CHAR(10),""),IF(F207&lt;SUM(F208,F209,F210,F211)," * Rescreened and treatment , Total CXCA Screening positive for Age "&amp;F28&amp;" "&amp;F29&amp;" should be greater than or equal to  the sum of (Cryotherapy , Leep , Thermocoagulation and Reffered for treatment)"&amp;CHAR(10),""),IF(G207&lt;SUM(G208,G209,G210,G211)," * Rescreened and treatment , Total CXCA Screening positive for Age "&amp;F28&amp;" "&amp;G29&amp;" should be greater than or equal to  the sum of (Cryotherapy , Leep , Thermocoagulation and Reffered for treatment)"&amp;CHAR(10),""),IF(H207&lt;SUM(H208,H209,H210,H211)," * Rescreened and treatment , Total CXCA Screening positive for Age "&amp;H28&amp;" "&amp;H29&amp;" should be greater than or equal to  the sum of (Cryotherapy , Leep , Thermocoagulation and Reffered for treatment)"&amp;CHAR(10),""),IF(I207&lt;SUM(I208,I209,I210,I211)," * Rescreened and treatment , Total CXCA Screening positive for Age "&amp;H28&amp;" "&amp;I29&amp;" should be greater than or equal to  the sum of (Cryotherapy , Leep , Thermocoagulation and Reffered for treatment)"&amp;CHAR(10),""),IF(J207&lt;SUM(J208,J209,J210,J211)," * Rescreened and treatment , Total CXCA Screening positive for Age "&amp;J28&amp;" "&amp;J29&amp;" should be greater than or equal to  the sum of (Cryotherapy , Leep , Thermocoagulation and Reffered for treatment)"&amp;CHAR(10),""),IF(K207&lt;SUM(K208,K209,K210,K211)," * Rescreened and treatment , Total CXCA Screening positive for Age "&amp;J28&amp;" "&amp;K29&amp;" should be greater than or equal to  the sum of (Cryotherapy , Leep , Thermocoagulation and Reffered for treatment)"&amp;CHAR(10),""),IF(L207&lt;SUM(L208,L209,L210,L211)," * Rescreened and treatment , Total CXCA Screening positive for Age "&amp;L28&amp;" "&amp;L29&amp;" should be greater than or equal to  the sum of (Cryotherapy , Leep , Thermocoagulation and Reffered for treatment)"&amp;CHAR(10),""),IF(M207&lt;SUM(M208,M209,M210,M211)," * Rescreened and treatment , Total CXCA Screening positive for Age "&amp;L28&amp;" "&amp;M29&amp;" should be greater than or equal to  the sum of (Cryotherapy , Leep , Thermocoagulation and Reffered for treatment)"&amp;CHAR(10),""),IF(N207&lt;SUM(N208,N209,N210,N211)," * Rescreened and treatment , Total CXCA Screening positive for Age "&amp;N28&amp;" "&amp;N29&amp;" should be greater than or equal to  the sum of (Cryotherapy , Leep , Thermocoagulation and Reffered for treatment)"&amp;CHAR(10),""),IF(O207&lt;SUM(O208,O209,O210,O211)," * Rescreened and treatment , Total CXCA Screening positive for Age "&amp;N28&amp;" "&amp;O29&amp;" should be greater than or equal to  the sum of (Cryotherapy , Leep , Thermocoagulation and Reffered for treatment)"&amp;CHAR(10),""),IF(P207&lt;SUM(P208,P209,P210,P211)," * Rescreened and treatment , Total CXCA Screening positive for Age "&amp;P28&amp;" "&amp;P29&amp;" should be greater than or equal to  the sum of (Cryotherapy , Leep , Thermocoagulation and Reffered for treatment)"&amp;CHAR(10),""),IF(Q207&lt;SUM(Q208,Q209,Q210,Q211)," * Rescreened and treatment , Total CXCA Screening positive for Age "&amp;P28&amp;" "&amp;Q29&amp;" should be greater than or equal to  the sum of (Cryotherapy , Leep , Thermocoagulation and Reffered for treatment)"&amp;CHAR(10),""),IF(R207&lt;SUM(R208,R209,R210,R211)," * Rescreened and treatment , Total CXCA Screening positive for Age "&amp;R28&amp;" "&amp;R29&amp;" should be greater than or equal to  the sum of (Cryotherapy , Leep , Thermocoagulation and Reffered for treatment)"&amp;CHAR(10),""),IF(S207&lt;SUM(S208,S209,S210,S211)," * Rescreened and treatment , Total CXCA Screening positive for Age "&amp;R28&amp;" "&amp;S29&amp;" should be greater than or equal to  the sum of (Cryotherapy , Leep , Thermocoagulation and Reffered for treatment)"&amp;CHAR(10),""),IF(T207&lt;SUM(T208,T209,T210,T211)," * Rescreened and treatment , Total CXCA Screening positive for Age "&amp;T28&amp;" "&amp;T29&amp;" should be greater than or equal to  the sum of (Cryotherapy , Leep , Thermocoagulation and Reffered for treatment)"&amp;CHAR(10),""),IF(U207&lt;SUM(U208,U209,U210,U211)," * Rescreened and treatment , Total CXCA Screening positive for Age "&amp;T28&amp;" "&amp;U29&amp;" should be greater than or equal to  the sum of (Cryotherapy , Leep , Thermocoagulation and Reffered for treatment)"&amp;CHAR(10),""),IF(V207&lt;SUM(V208,V209,V210,V211)," * Rescreened and treatment , Total CXCA Screening positive for Age "&amp;V28&amp;" "&amp;V29&amp;" should be greater than or equal to  the sum of (Cryotherapy , Leep , Thermocoagulation and Reffered for treatment)"&amp;CHAR(10),""),IF(W207&lt;SUM(W208,W209,W210,W211)," * Rescreened and treatment , Total CXCA Screening positive for Age "&amp;V28&amp;" "&amp;W29&amp;" should be greater than or equal to  the sum of (Cryotherapy , Leep , Thermocoagulation and Reffered for treatment)"&amp;CHAR(10),""),IF(X207&lt;SUM(X208,X209,X210,X211)," * Rescreened and treatment , Total CXCA Screening positive for Age "&amp;X28&amp;" "&amp;X29&amp;" should be greater than or equal to  the sum of (Cryotherapy , Leep , Thermocoagulation and Reffered for treatment)"&amp;CHAR(10),""),IF(Y207&lt;SUM(Y208,Y209,Y210,Y211)," * Rescreened and treatment , Total CXCA Screening positive for Age "&amp;X28&amp;" "&amp;Y29&amp;" should be greater than or equal to  the sum of (Cryotherapy , Leep , Thermocoagulation and Reffered for treatment)"&amp;CHAR(10),""),IF(Z207&lt;SUM(Z208,Z209,Z210,Z211)," * Rescreened and treatment , Total CXCA Screening positive for Age "&amp;Z28&amp;" "&amp;Z29&amp;" should be greater than or equal to  the sum of (Cryotherapy , Leep , Thermocoagulation and Reffered for treatment)"&amp;CHAR(10),""),IF(AA207&lt;SUM(AA208,AA209,AA210,AA211)," * Rescreened and treatment , Total CXCA Screening positive for Age "&amp;Z28&amp;" "&amp;AA29&amp;" should be greater than or equal to  the sum of (Cryotherapy , Leep , Thermocoagulation and Reffered for treatment)"&amp;CHAR(10),""))</f>
        <v/>
      </c>
      <c r="AL205" s="1148"/>
      <c r="AM205" s="31"/>
      <c r="AN205" s="1031"/>
      <c r="AO205" s="13">
        <v>124</v>
      </c>
      <c r="AP205" s="74"/>
      <c r="AQ205" s="75"/>
    </row>
    <row r="206" spans="1:43" ht="26.25" x14ac:dyDescent="0.4">
      <c r="A206" s="1119"/>
      <c r="B206" s="76" t="s">
        <v>663</v>
      </c>
      <c r="C206" s="576" t="s">
        <v>237</v>
      </c>
      <c r="D206" s="77"/>
      <c r="E206" s="78"/>
      <c r="F206" s="78"/>
      <c r="G206" s="78"/>
      <c r="H206" s="78"/>
      <c r="I206" s="78"/>
      <c r="J206" s="78"/>
      <c r="K206" s="78"/>
      <c r="L206" s="78"/>
      <c r="M206" s="79"/>
      <c r="N206" s="78"/>
      <c r="O206" s="79"/>
      <c r="P206" s="78"/>
      <c r="Q206" s="79"/>
      <c r="R206" s="78"/>
      <c r="S206" s="79"/>
      <c r="T206" s="78"/>
      <c r="U206" s="79"/>
      <c r="V206" s="78"/>
      <c r="W206" s="79"/>
      <c r="X206" s="159"/>
      <c r="Y206" s="79"/>
      <c r="Z206" s="617"/>
      <c r="AA206" s="624">
        <f t="shared" si="56"/>
        <v>0</v>
      </c>
      <c r="AB206" s="621"/>
      <c r="AC206" s="318"/>
      <c r="AD206" s="159"/>
      <c r="AE206" s="318"/>
      <c r="AF206" s="159"/>
      <c r="AG206" s="318"/>
      <c r="AH206" s="159"/>
      <c r="AI206" s="318"/>
      <c r="AJ206" s="173">
        <f t="shared" si="57"/>
        <v>0</v>
      </c>
      <c r="AK206" s="116"/>
      <c r="AL206" s="1148"/>
      <c r="AM206" s="31"/>
      <c r="AN206" s="1031"/>
      <c r="AO206" s="13">
        <v>125</v>
      </c>
      <c r="AP206" s="74"/>
      <c r="AQ206" s="75"/>
    </row>
    <row r="207" spans="1:43" ht="26.25" x14ac:dyDescent="0.4">
      <c r="A207" s="1119"/>
      <c r="B207" s="160" t="s">
        <v>854</v>
      </c>
      <c r="C207" s="576" t="s">
        <v>856</v>
      </c>
      <c r="D207" s="77"/>
      <c r="E207" s="78"/>
      <c r="F207" s="78"/>
      <c r="G207" s="78"/>
      <c r="H207" s="78"/>
      <c r="I207" s="78"/>
      <c r="J207" s="78"/>
      <c r="K207" s="78"/>
      <c r="L207" s="78"/>
      <c r="M207" s="161">
        <f>M206+M205</f>
        <v>0</v>
      </c>
      <c r="N207" s="162"/>
      <c r="O207" s="161">
        <f>O206+O205</f>
        <v>0</v>
      </c>
      <c r="P207" s="78"/>
      <c r="Q207" s="161">
        <f>Q206+Q205</f>
        <v>0</v>
      </c>
      <c r="R207" s="78"/>
      <c r="S207" s="161">
        <f>S206+S205</f>
        <v>0</v>
      </c>
      <c r="T207" s="78"/>
      <c r="U207" s="161">
        <f>U206+U205</f>
        <v>0</v>
      </c>
      <c r="V207" s="78"/>
      <c r="W207" s="161">
        <f>W206+W205</f>
        <v>0</v>
      </c>
      <c r="X207" s="159"/>
      <c r="Y207" s="161">
        <f>Y206+Y205</f>
        <v>0</v>
      </c>
      <c r="Z207" s="617"/>
      <c r="AA207" s="624">
        <f t="shared" si="56"/>
        <v>0</v>
      </c>
      <c r="AB207" s="621"/>
      <c r="AC207" s="340">
        <f>AC206+AC205</f>
        <v>0</v>
      </c>
      <c r="AD207" s="159"/>
      <c r="AE207" s="340">
        <f>AE206+AE205</f>
        <v>0</v>
      </c>
      <c r="AF207" s="159"/>
      <c r="AG207" s="340">
        <f>AG206+AG205</f>
        <v>0</v>
      </c>
      <c r="AH207" s="159"/>
      <c r="AI207" s="340">
        <f>AI206+AI205</f>
        <v>0</v>
      </c>
      <c r="AJ207" s="173">
        <f t="shared" si="57"/>
        <v>0</v>
      </c>
      <c r="AK207" s="116"/>
      <c r="AL207" s="1148"/>
      <c r="AM207" s="31"/>
      <c r="AN207" s="1031"/>
      <c r="AO207" s="13">
        <v>126</v>
      </c>
      <c r="AP207" s="74"/>
      <c r="AQ207" s="75"/>
    </row>
    <row r="208" spans="1:43" ht="26.25" x14ac:dyDescent="0.4">
      <c r="A208" s="1119"/>
      <c r="B208" s="163" t="s">
        <v>1312</v>
      </c>
      <c r="C208" s="576" t="s">
        <v>989</v>
      </c>
      <c r="D208" s="77"/>
      <c r="E208" s="78"/>
      <c r="F208" s="78"/>
      <c r="G208" s="78"/>
      <c r="H208" s="78"/>
      <c r="I208" s="78"/>
      <c r="J208" s="78"/>
      <c r="K208" s="78"/>
      <c r="L208" s="78"/>
      <c r="M208" s="164"/>
      <c r="N208" s="162"/>
      <c r="O208" s="164"/>
      <c r="P208" s="78"/>
      <c r="Q208" s="164"/>
      <c r="R208" s="78"/>
      <c r="S208" s="164"/>
      <c r="T208" s="78"/>
      <c r="U208" s="164"/>
      <c r="V208" s="78"/>
      <c r="W208" s="164"/>
      <c r="X208" s="159"/>
      <c r="Y208" s="164"/>
      <c r="Z208" s="617"/>
      <c r="AA208" s="624">
        <f t="shared" si="56"/>
        <v>0</v>
      </c>
      <c r="AB208" s="621"/>
      <c r="AC208" s="341"/>
      <c r="AD208" s="159"/>
      <c r="AE208" s="341"/>
      <c r="AF208" s="159"/>
      <c r="AG208" s="341"/>
      <c r="AH208" s="159"/>
      <c r="AI208" s="341"/>
      <c r="AJ208" s="173">
        <f t="shared" si="57"/>
        <v>0</v>
      </c>
      <c r="AK208" s="116"/>
      <c r="AL208" s="1148"/>
      <c r="AM208" s="31"/>
      <c r="AN208" s="1031"/>
      <c r="AO208" s="13">
        <v>127</v>
      </c>
      <c r="AP208" s="74"/>
      <c r="AQ208" s="75"/>
    </row>
    <row r="209" spans="1:43" ht="26.25" x14ac:dyDescent="0.4">
      <c r="A209" s="1119"/>
      <c r="B209" s="76" t="s">
        <v>664</v>
      </c>
      <c r="C209" s="576" t="s">
        <v>238</v>
      </c>
      <c r="D209" s="77"/>
      <c r="E209" s="78"/>
      <c r="F209" s="78"/>
      <c r="G209" s="78"/>
      <c r="H209" s="78"/>
      <c r="I209" s="78"/>
      <c r="J209" s="78"/>
      <c r="K209" s="78"/>
      <c r="L209" s="78"/>
      <c r="M209" s="79"/>
      <c r="N209" s="78"/>
      <c r="O209" s="79"/>
      <c r="P209" s="78"/>
      <c r="Q209" s="79"/>
      <c r="R209" s="78"/>
      <c r="S209" s="79"/>
      <c r="T209" s="78"/>
      <c r="U209" s="79"/>
      <c r="V209" s="78"/>
      <c r="W209" s="79"/>
      <c r="X209" s="159"/>
      <c r="Y209" s="79"/>
      <c r="Z209" s="617"/>
      <c r="AA209" s="624">
        <f t="shared" si="56"/>
        <v>0</v>
      </c>
      <c r="AB209" s="621"/>
      <c r="AC209" s="318"/>
      <c r="AD209" s="159"/>
      <c r="AE209" s="318"/>
      <c r="AF209" s="159"/>
      <c r="AG209" s="318"/>
      <c r="AH209" s="159"/>
      <c r="AI209" s="318"/>
      <c r="AJ209" s="173">
        <f t="shared" si="57"/>
        <v>0</v>
      </c>
      <c r="AK209" s="116"/>
      <c r="AL209" s="1148"/>
      <c r="AM209" s="31"/>
      <c r="AN209" s="1031"/>
      <c r="AO209" s="13">
        <v>128</v>
      </c>
      <c r="AP209" s="74"/>
      <c r="AQ209" s="75"/>
    </row>
    <row r="210" spans="1:43" ht="26.25" x14ac:dyDescent="0.4">
      <c r="A210" s="1119"/>
      <c r="B210" s="76" t="s">
        <v>665</v>
      </c>
      <c r="C210" s="576" t="s">
        <v>360</v>
      </c>
      <c r="D210" s="77"/>
      <c r="E210" s="78"/>
      <c r="F210" s="78"/>
      <c r="G210" s="78"/>
      <c r="H210" s="78"/>
      <c r="I210" s="78"/>
      <c r="J210" s="78"/>
      <c r="K210" s="78"/>
      <c r="L210" s="78"/>
      <c r="M210" s="79"/>
      <c r="N210" s="78"/>
      <c r="O210" s="79"/>
      <c r="P210" s="78"/>
      <c r="Q210" s="79"/>
      <c r="R210" s="78"/>
      <c r="S210" s="79"/>
      <c r="T210" s="78"/>
      <c r="U210" s="79"/>
      <c r="V210" s="78"/>
      <c r="W210" s="79"/>
      <c r="X210" s="159"/>
      <c r="Y210" s="79"/>
      <c r="Z210" s="617"/>
      <c r="AA210" s="624">
        <f t="shared" si="56"/>
        <v>0</v>
      </c>
      <c r="AB210" s="621"/>
      <c r="AC210" s="318"/>
      <c r="AD210" s="159"/>
      <c r="AE210" s="318"/>
      <c r="AF210" s="159"/>
      <c r="AG210" s="318"/>
      <c r="AH210" s="159"/>
      <c r="AI210" s="318"/>
      <c r="AJ210" s="173">
        <f t="shared" si="57"/>
        <v>0</v>
      </c>
      <c r="AK210" s="116"/>
      <c r="AL210" s="1148"/>
      <c r="AM210" s="31"/>
      <c r="AN210" s="1031"/>
      <c r="AO210" s="13">
        <v>129</v>
      </c>
      <c r="AP210" s="74"/>
      <c r="AQ210" s="75"/>
    </row>
    <row r="211" spans="1:43" ht="27" thickBot="1" x14ac:dyDescent="0.45">
      <c r="A211" s="1124"/>
      <c r="B211" s="87" t="s">
        <v>666</v>
      </c>
      <c r="C211" s="577" t="s">
        <v>240</v>
      </c>
      <c r="D211" s="103"/>
      <c r="E211" s="102"/>
      <c r="F211" s="102"/>
      <c r="G211" s="102"/>
      <c r="H211" s="102"/>
      <c r="I211" s="102"/>
      <c r="J211" s="102"/>
      <c r="K211" s="102"/>
      <c r="L211" s="102"/>
      <c r="M211" s="89"/>
      <c r="N211" s="102"/>
      <c r="O211" s="89"/>
      <c r="P211" s="102"/>
      <c r="Q211" s="89"/>
      <c r="R211" s="102"/>
      <c r="S211" s="89"/>
      <c r="T211" s="102"/>
      <c r="U211" s="89"/>
      <c r="V211" s="102"/>
      <c r="W211" s="89"/>
      <c r="X211" s="165"/>
      <c r="Y211" s="89"/>
      <c r="Z211" s="618"/>
      <c r="AA211" s="624">
        <f t="shared" si="56"/>
        <v>0</v>
      </c>
      <c r="AB211" s="622"/>
      <c r="AC211" s="320"/>
      <c r="AD211" s="165"/>
      <c r="AE211" s="320"/>
      <c r="AF211" s="165"/>
      <c r="AG211" s="320"/>
      <c r="AH211" s="165"/>
      <c r="AI211" s="320"/>
      <c r="AJ211" s="192">
        <f t="shared" si="57"/>
        <v>0</v>
      </c>
      <c r="AK211" s="116"/>
      <c r="AL211" s="1148"/>
      <c r="AM211" s="31"/>
      <c r="AN211" s="1031"/>
      <c r="AO211" s="13">
        <v>130</v>
      </c>
      <c r="AP211" s="74"/>
      <c r="AQ211" s="75"/>
    </row>
    <row r="212" spans="1:43" ht="26.25" x14ac:dyDescent="0.4">
      <c r="A212" s="994" t="s">
        <v>25</v>
      </c>
      <c r="B212" s="91" t="s">
        <v>662</v>
      </c>
      <c r="C212" s="575" t="s">
        <v>361</v>
      </c>
      <c r="D212" s="98"/>
      <c r="E212" s="99"/>
      <c r="F212" s="99"/>
      <c r="G212" s="99"/>
      <c r="H212" s="99"/>
      <c r="I212" s="99"/>
      <c r="J212" s="99"/>
      <c r="K212" s="99"/>
      <c r="L212" s="99"/>
      <c r="M212" s="94"/>
      <c r="N212" s="99"/>
      <c r="O212" s="94"/>
      <c r="P212" s="99"/>
      <c r="Q212" s="94"/>
      <c r="R212" s="99"/>
      <c r="S212" s="94"/>
      <c r="T212" s="99"/>
      <c r="U212" s="94"/>
      <c r="V212" s="99"/>
      <c r="W212" s="94"/>
      <c r="X212" s="166"/>
      <c r="Y212" s="94"/>
      <c r="Z212" s="619"/>
      <c r="AA212" s="624">
        <f t="shared" si="56"/>
        <v>0</v>
      </c>
      <c r="AB212" s="623"/>
      <c r="AC212" s="321"/>
      <c r="AD212" s="166"/>
      <c r="AE212" s="321"/>
      <c r="AF212" s="166"/>
      <c r="AG212" s="321"/>
      <c r="AH212" s="166"/>
      <c r="AI212" s="321"/>
      <c r="AJ212" s="188">
        <f t="shared" si="57"/>
        <v>0</v>
      </c>
      <c r="AK212" s="116"/>
      <c r="AL212" s="1148"/>
      <c r="AM212" s="31"/>
      <c r="AN212" s="1031"/>
      <c r="AO212" s="13">
        <v>131</v>
      </c>
      <c r="AP212" s="74"/>
      <c r="AQ212" s="75"/>
    </row>
    <row r="213" spans="1:43" ht="26.25" x14ac:dyDescent="0.4">
      <c r="A213" s="1119"/>
      <c r="B213" s="76" t="s">
        <v>150</v>
      </c>
      <c r="C213" s="576" t="s">
        <v>362</v>
      </c>
      <c r="D213" s="77"/>
      <c r="E213" s="78"/>
      <c r="F213" s="78"/>
      <c r="G213" s="78"/>
      <c r="H213" s="78"/>
      <c r="I213" s="78"/>
      <c r="J213" s="78"/>
      <c r="K213" s="78"/>
      <c r="L213" s="78"/>
      <c r="M213" s="79"/>
      <c r="N213" s="78"/>
      <c r="O213" s="79"/>
      <c r="P213" s="78"/>
      <c r="Q213" s="79"/>
      <c r="R213" s="78"/>
      <c r="S213" s="79"/>
      <c r="T213" s="78"/>
      <c r="U213" s="79"/>
      <c r="V213" s="78"/>
      <c r="W213" s="79"/>
      <c r="X213" s="159"/>
      <c r="Y213" s="79"/>
      <c r="Z213" s="617"/>
      <c r="AA213" s="624">
        <f t="shared" si="56"/>
        <v>0</v>
      </c>
      <c r="AB213" s="621"/>
      <c r="AC213" s="318"/>
      <c r="AD213" s="159"/>
      <c r="AE213" s="318"/>
      <c r="AF213" s="159"/>
      <c r="AG213" s="318"/>
      <c r="AH213" s="159"/>
      <c r="AI213" s="318"/>
      <c r="AJ213" s="173">
        <f t="shared" si="57"/>
        <v>0</v>
      </c>
      <c r="AK213" s="565" t="str">
        <f>CONCATENATE(IF(D215&lt;SUM(D216,D217,D218,D219)," * Post Treatment Follow up, Total CXCA Screening positive for Age "&amp;D37&amp;" "&amp;D38&amp;" should be greater than or equal to  the sum of (Cryotherapy , Leep , Thermocoagulation and Reffered for treatment)"&amp;CHAR(10),""),IF(E215&lt;SUM(E216,E217,E218,E219)," * Post Treatment Follow up, Total CXCA Screening positive for Age "&amp;D37&amp;" "&amp;E38&amp;" should be greater than or equal to  the sum of (Cryotherapy , Leep , Thermocoagulation and Reffered for treatment)"&amp;CHAR(10),""),IF(F215&lt;SUM(F216,F217,F218,F219)," * Post Treatment Follow up, Total CXCA Screening positive for Age "&amp;F37&amp;" "&amp;F38&amp;" should be greater than or equal to  the sum of (Cryotherapy , Leep , Thermocoagulation and Reffered for treatment)"&amp;CHAR(10),""),IF(G215&lt;SUM(G216,G217,G218,G219)," * Post Treatment Follow up, Total CXCA Screening positive for Age "&amp;F37&amp;" "&amp;G38&amp;" should be greater than or equal to  the sum of (Cryotherapy , Leep , Thermocoagulation and Reffered for treatment)"&amp;CHAR(10),""),IF(H215&lt;SUM(H216,H217,H218,H219)," * Post Treatment Follow up, Total CXCA Screening positive for Age "&amp;H37&amp;" "&amp;H38&amp;" should be greater than or equal to  the sum of (Cryotherapy , Leep , Thermocoagulation and Reffered for treatment)"&amp;CHAR(10),""),IF(I215&lt;SUM(I216,I217,I218,I219)," * Post Treatment Follow up, Total CXCA Screening positive for Age "&amp;H37&amp;" "&amp;I38&amp;" should be greater than or equal to  the sum of (Cryotherapy , Leep , Thermocoagulation and Reffered for treatment)"&amp;CHAR(10),""),IF(J215&lt;SUM(J216,J217,J218,J219)," * Post Treatment Follow up, Total CXCA Screening positive for Age "&amp;J37&amp;" "&amp;J38&amp;" should be greater than or equal to  the sum of (Cryotherapy , Leep , Thermocoagulation and Reffered for treatment)"&amp;CHAR(10),""),IF(K215&lt;SUM(K216,K217,K218,K219)," * Post Treatment Follow up, Total CXCA Screening positive for Age "&amp;J37&amp;" "&amp;K38&amp;" should be greater than or equal to  the sum of (Cryotherapy , Leep , Thermocoagulation and Reffered for treatment)"&amp;CHAR(10),""),IF(L215&lt;SUM(L216,L217,L218,L219)," * Post Treatment Follow up, Total CXCA Screening positive for Age "&amp;L37&amp;" "&amp;L38&amp;" should be greater than or equal to  the sum of (Cryotherapy , Leep , Thermocoagulation and Reffered for treatment)"&amp;CHAR(10),""),IF(M215&lt;SUM(M216,M217,M218,M219)," * Post Treatment Follow up, Total CXCA Screening positive for Age "&amp;L37&amp;" "&amp;M38&amp;" should be greater than or equal to  the sum of (Cryotherapy , Leep , Thermocoagulation and Reffered for treatment)"&amp;CHAR(10),""),IF(N215&lt;SUM(N216,N217,N218,N219)," * Post Treatment Follow up, Total CXCA Screening positive for Age "&amp;N37&amp;" "&amp;N38&amp;" should be greater than or equal to  the sum of (Cryotherapy , Leep , Thermocoagulation and Reffered for treatment)"&amp;CHAR(10),""),IF(O215&lt;SUM(O216,O217,O218,O219)," * Post Treatment Follow up, Total CXCA Screening positive for Age "&amp;N37&amp;" "&amp;O38&amp;" should be greater than or equal to  the sum of (Cryotherapy , Leep , Thermocoagulation and Reffered for treatment)"&amp;CHAR(10),""),IF(P215&lt;SUM(P216,P217,P218,P219)," * Post Treatment Follow up, Total CXCA Screening positive for Age "&amp;P37&amp;" "&amp;P38&amp;" should be greater than or equal to  the sum of (Cryotherapy , Leep , Thermocoagulation and Reffered for treatment)"&amp;CHAR(10),""),IF(Q215&lt;SUM(Q216,Q217,Q218,Q219)," * Post Treatment Follow up, Total CXCA Screening positive for Age "&amp;P37&amp;" "&amp;Q38&amp;" should be greater than or equal to  the sum of (Cryotherapy , Leep , Thermocoagulation and Reffered for treatment)"&amp;CHAR(10),""),IF(R215&lt;SUM(R216,R217,R218,R219)," * Post Treatment Follow up, Total CXCA Screening positive for Age "&amp;R37&amp;" "&amp;R38&amp;" should be greater than or equal to  the sum of (Cryotherapy , Leep , Thermocoagulation and Reffered for treatment)"&amp;CHAR(10),""),IF(S215&lt;SUM(S216,S217,S218,S219)," * Post Treatment Follow up, Total CXCA Screening positive for Age "&amp;R37&amp;" "&amp;S38&amp;" should be greater than or equal to  the sum of (Cryotherapy , Leep , Thermocoagulation and Reffered for treatment)"&amp;CHAR(10),""),IF(T215&lt;SUM(T216,T217,T218,T219)," * Post Treatment Follow up, Total CXCA Screening positive for Age "&amp;T37&amp;" "&amp;T38&amp;" should be greater than or equal to  the sum of (Cryotherapy , Leep , Thermocoagulation and Reffered for treatment)"&amp;CHAR(10),""),IF(U215&lt;SUM(U216,U217,U218,U219)," * Post Treatment Follow up, Total CXCA Screening positive for Age "&amp;T37&amp;" "&amp;U38&amp;" should be greater than or equal to  the sum of (Cryotherapy , Leep , Thermocoagulation and Reffered for treatment)"&amp;CHAR(10),""),IF(V215&lt;SUM(V216,V217,V218,V219)," * Post Treatment Follow up, Total CXCA Screening positive for Age "&amp;V37&amp;" "&amp;V38&amp;" should be greater than or equal to  the sum of (Cryotherapy , Leep , Thermocoagulation and Reffered for treatment)"&amp;CHAR(10),""),IF(W215&lt;SUM(W216,W217,W218,W219)," * Post Treatment Follow up, Total CXCA Screening positive for Age "&amp;V37&amp;" "&amp;W38&amp;" should be greater than or equal to  the sum of (Cryotherapy , Leep , Thermocoagulation and Reffered for treatment)"&amp;CHAR(10),""),IF(X215&lt;SUM(X216,X217,X218,X219)," * Post Treatment Follow up, Total CXCA Screening positive for Age "&amp;X37&amp;" "&amp;X38&amp;" should be greater than or equal to  the sum of (Cryotherapy , Leep , Thermocoagulation and Reffered for treatment)"&amp;CHAR(10),""),IF(Y215&lt;SUM(Y216,Y217,Y218,Y219)," * Post Treatment Follow up, Total CXCA Screening positive for Age "&amp;X37&amp;" "&amp;Y38&amp;" should be greater than or equal to  the sum of (Cryotherapy , Leep , Thermocoagulation and Reffered for treatment)"&amp;CHAR(10),""),IF(Z215&lt;SUM(Z216,Z217,Z218,Z219)," * Post Treatment Follow up, Total CXCA Screening positive for Age "&amp;Z37&amp;" "&amp;Z38&amp;" should be greater than or equal to  the sum of (Cryotherapy , Leep , Thermocoagulation and Reffered for treatment)"&amp;CHAR(10),""),IF(AA215&lt;SUM(AA216,AA217,AA218,AA219)," * Post Treatment Follow up, Total CXCA Screening positive for Age "&amp;Z37&amp;" "&amp;AA38&amp;" should be greater than or equal to  the sum of (Cryotherapy , Leep , Thermocoagulation and Reffered for treatment)"&amp;CHAR(10),""))</f>
        <v/>
      </c>
      <c r="AL213" s="1148"/>
      <c r="AM213" s="31"/>
      <c r="AN213" s="1031"/>
      <c r="AO213" s="13">
        <v>132</v>
      </c>
      <c r="AP213" s="74"/>
      <c r="AQ213" s="75"/>
    </row>
    <row r="214" spans="1:43" ht="26.25" x14ac:dyDescent="0.4">
      <c r="A214" s="1119"/>
      <c r="B214" s="76" t="s">
        <v>663</v>
      </c>
      <c r="C214" s="576" t="s">
        <v>363</v>
      </c>
      <c r="D214" s="77"/>
      <c r="E214" s="78"/>
      <c r="F214" s="78"/>
      <c r="G214" s="78"/>
      <c r="H214" s="78"/>
      <c r="I214" s="78"/>
      <c r="J214" s="78"/>
      <c r="K214" s="78"/>
      <c r="L214" s="78"/>
      <c r="M214" s="79"/>
      <c r="N214" s="78"/>
      <c r="O214" s="79"/>
      <c r="P214" s="78"/>
      <c r="Q214" s="79"/>
      <c r="R214" s="78"/>
      <c r="S214" s="79"/>
      <c r="T214" s="78"/>
      <c r="U214" s="79"/>
      <c r="V214" s="78"/>
      <c r="W214" s="79"/>
      <c r="X214" s="159"/>
      <c r="Y214" s="79"/>
      <c r="Z214" s="617"/>
      <c r="AA214" s="624">
        <f t="shared" si="56"/>
        <v>0</v>
      </c>
      <c r="AB214" s="621"/>
      <c r="AC214" s="318"/>
      <c r="AD214" s="159"/>
      <c r="AE214" s="318"/>
      <c r="AF214" s="159"/>
      <c r="AG214" s="318"/>
      <c r="AH214" s="159"/>
      <c r="AI214" s="318"/>
      <c r="AJ214" s="173">
        <f t="shared" si="57"/>
        <v>0</v>
      </c>
      <c r="AK214" s="116"/>
      <c r="AL214" s="1148"/>
      <c r="AM214" s="31"/>
      <c r="AN214" s="1031"/>
      <c r="AO214" s="13">
        <v>133</v>
      </c>
      <c r="AP214" s="74"/>
      <c r="AQ214" s="75"/>
    </row>
    <row r="215" spans="1:43" ht="26.25" x14ac:dyDescent="0.4">
      <c r="A215" s="1119"/>
      <c r="B215" s="160" t="s">
        <v>854</v>
      </c>
      <c r="C215" s="576" t="s">
        <v>857</v>
      </c>
      <c r="D215" s="77"/>
      <c r="E215" s="78"/>
      <c r="F215" s="78"/>
      <c r="G215" s="78"/>
      <c r="H215" s="78"/>
      <c r="I215" s="78"/>
      <c r="J215" s="78"/>
      <c r="K215" s="78"/>
      <c r="L215" s="78"/>
      <c r="M215" s="161">
        <f>M214+M213</f>
        <v>0</v>
      </c>
      <c r="N215" s="162"/>
      <c r="O215" s="161">
        <f>O214+O213</f>
        <v>0</v>
      </c>
      <c r="P215" s="78"/>
      <c r="Q215" s="161">
        <f>Q214+Q213</f>
        <v>0</v>
      </c>
      <c r="R215" s="78"/>
      <c r="S215" s="161">
        <f>S214+S213</f>
        <v>0</v>
      </c>
      <c r="T215" s="78"/>
      <c r="U215" s="161">
        <f>U214+U213</f>
        <v>0</v>
      </c>
      <c r="V215" s="78"/>
      <c r="W215" s="161">
        <f>W214+W213</f>
        <v>0</v>
      </c>
      <c r="X215" s="159"/>
      <c r="Y215" s="161">
        <f>Y214+Y213</f>
        <v>0</v>
      </c>
      <c r="Z215" s="617"/>
      <c r="AA215" s="624">
        <f t="shared" si="56"/>
        <v>0</v>
      </c>
      <c r="AB215" s="621"/>
      <c r="AC215" s="340">
        <f>AC214+AC213</f>
        <v>0</v>
      </c>
      <c r="AD215" s="159"/>
      <c r="AE215" s="340">
        <f>AE214+AE213</f>
        <v>0</v>
      </c>
      <c r="AF215" s="159"/>
      <c r="AG215" s="340">
        <f>AG214+AG213</f>
        <v>0</v>
      </c>
      <c r="AH215" s="159"/>
      <c r="AI215" s="340">
        <f>AI214+AI213</f>
        <v>0</v>
      </c>
      <c r="AJ215" s="173">
        <f t="shared" si="57"/>
        <v>0</v>
      </c>
      <c r="AK215" s="116"/>
      <c r="AL215" s="1148"/>
      <c r="AM215" s="31"/>
      <c r="AN215" s="1031"/>
      <c r="AO215" s="13">
        <v>134</v>
      </c>
      <c r="AP215" s="74"/>
      <c r="AQ215" s="75"/>
    </row>
    <row r="216" spans="1:43" ht="26.25" x14ac:dyDescent="0.4">
      <c r="A216" s="1119"/>
      <c r="B216" s="163" t="s">
        <v>1312</v>
      </c>
      <c r="C216" s="576" t="s">
        <v>988</v>
      </c>
      <c r="D216" s="77"/>
      <c r="E216" s="78"/>
      <c r="F216" s="78"/>
      <c r="G216" s="78"/>
      <c r="H216" s="78"/>
      <c r="I216" s="78"/>
      <c r="J216" s="78"/>
      <c r="K216" s="78"/>
      <c r="L216" s="78"/>
      <c r="M216" s="164"/>
      <c r="N216" s="162"/>
      <c r="O216" s="164"/>
      <c r="P216" s="78"/>
      <c r="Q216" s="164"/>
      <c r="R216" s="78"/>
      <c r="S216" s="164"/>
      <c r="T216" s="78"/>
      <c r="U216" s="164"/>
      <c r="V216" s="78"/>
      <c r="W216" s="164"/>
      <c r="X216" s="159"/>
      <c r="Y216" s="164"/>
      <c r="Z216" s="617"/>
      <c r="AA216" s="624">
        <f t="shared" si="56"/>
        <v>0</v>
      </c>
      <c r="AB216" s="621"/>
      <c r="AC216" s="341"/>
      <c r="AD216" s="159"/>
      <c r="AE216" s="341"/>
      <c r="AF216" s="159"/>
      <c r="AG216" s="341"/>
      <c r="AH216" s="159"/>
      <c r="AI216" s="341"/>
      <c r="AJ216" s="173">
        <f t="shared" si="57"/>
        <v>0</v>
      </c>
      <c r="AK216" s="116"/>
      <c r="AL216" s="1148"/>
      <c r="AM216" s="31"/>
      <c r="AN216" s="1031"/>
      <c r="AO216" s="13">
        <v>135</v>
      </c>
      <c r="AP216" s="74"/>
      <c r="AQ216" s="75"/>
    </row>
    <row r="217" spans="1:43" ht="26.25" x14ac:dyDescent="0.4">
      <c r="A217" s="1119"/>
      <c r="B217" s="76" t="s">
        <v>664</v>
      </c>
      <c r="C217" s="576" t="s">
        <v>248</v>
      </c>
      <c r="D217" s="77"/>
      <c r="E217" s="78"/>
      <c r="F217" s="78"/>
      <c r="G217" s="78"/>
      <c r="H217" s="78"/>
      <c r="I217" s="78"/>
      <c r="J217" s="78"/>
      <c r="K217" s="78"/>
      <c r="L217" s="78"/>
      <c r="M217" s="79"/>
      <c r="N217" s="78"/>
      <c r="O217" s="79"/>
      <c r="P217" s="78"/>
      <c r="Q217" s="79"/>
      <c r="R217" s="78"/>
      <c r="S217" s="79"/>
      <c r="T217" s="78"/>
      <c r="U217" s="79"/>
      <c r="V217" s="78"/>
      <c r="W217" s="79"/>
      <c r="X217" s="159"/>
      <c r="Y217" s="79"/>
      <c r="Z217" s="617"/>
      <c r="AA217" s="624">
        <f t="shared" si="56"/>
        <v>0</v>
      </c>
      <c r="AB217" s="621"/>
      <c r="AC217" s="318"/>
      <c r="AD217" s="159"/>
      <c r="AE217" s="318"/>
      <c r="AF217" s="159"/>
      <c r="AG217" s="318"/>
      <c r="AH217" s="159"/>
      <c r="AI217" s="318"/>
      <c r="AJ217" s="173">
        <f t="shared" si="57"/>
        <v>0</v>
      </c>
      <c r="AK217" s="116"/>
      <c r="AL217" s="1148"/>
      <c r="AM217" s="31"/>
      <c r="AN217" s="1031"/>
      <c r="AO217" s="13">
        <v>136</v>
      </c>
      <c r="AP217" s="74"/>
      <c r="AQ217" s="75"/>
    </row>
    <row r="218" spans="1:43" ht="26.25" x14ac:dyDescent="0.4">
      <c r="A218" s="1119"/>
      <c r="B218" s="76" t="s">
        <v>665</v>
      </c>
      <c r="C218" s="576" t="s">
        <v>364</v>
      </c>
      <c r="D218" s="77"/>
      <c r="E218" s="78"/>
      <c r="F218" s="78"/>
      <c r="G218" s="78"/>
      <c r="H218" s="78"/>
      <c r="I218" s="78"/>
      <c r="J218" s="78"/>
      <c r="K218" s="78"/>
      <c r="L218" s="78"/>
      <c r="M218" s="79"/>
      <c r="N218" s="78"/>
      <c r="O218" s="79"/>
      <c r="P218" s="78"/>
      <c r="Q218" s="79"/>
      <c r="R218" s="78"/>
      <c r="S218" s="79"/>
      <c r="T218" s="78"/>
      <c r="U218" s="79"/>
      <c r="V218" s="78"/>
      <c r="W218" s="79"/>
      <c r="X218" s="159"/>
      <c r="Y218" s="79"/>
      <c r="Z218" s="617"/>
      <c r="AA218" s="624">
        <f t="shared" si="56"/>
        <v>0</v>
      </c>
      <c r="AB218" s="621"/>
      <c r="AC218" s="318"/>
      <c r="AD218" s="159"/>
      <c r="AE218" s="318"/>
      <c r="AF218" s="159"/>
      <c r="AG218" s="318"/>
      <c r="AH218" s="159"/>
      <c r="AI218" s="318"/>
      <c r="AJ218" s="173">
        <f t="shared" si="57"/>
        <v>0</v>
      </c>
      <c r="AK218" s="116"/>
      <c r="AL218" s="1148"/>
      <c r="AM218" s="31"/>
      <c r="AN218" s="1031"/>
      <c r="AO218" s="13">
        <v>137</v>
      </c>
      <c r="AP218" s="74"/>
      <c r="AQ218" s="75"/>
    </row>
    <row r="219" spans="1:43" ht="27" thickBot="1" x14ac:dyDescent="0.45">
      <c r="A219" s="995"/>
      <c r="B219" s="118" t="s">
        <v>666</v>
      </c>
      <c r="C219" s="577" t="s">
        <v>365</v>
      </c>
      <c r="D219" s="133"/>
      <c r="E219" s="120"/>
      <c r="F219" s="120"/>
      <c r="G219" s="120"/>
      <c r="H219" s="120"/>
      <c r="I219" s="120"/>
      <c r="J219" s="120"/>
      <c r="K219" s="120"/>
      <c r="L219" s="120"/>
      <c r="M219" s="89"/>
      <c r="N219" s="102"/>
      <c r="O219" s="89"/>
      <c r="P219" s="102"/>
      <c r="Q219" s="89"/>
      <c r="R219" s="102"/>
      <c r="S219" s="89"/>
      <c r="T219" s="102"/>
      <c r="U219" s="89"/>
      <c r="V219" s="102"/>
      <c r="W219" s="89"/>
      <c r="X219" s="165"/>
      <c r="Y219" s="89"/>
      <c r="Z219" s="618"/>
      <c r="AA219" s="624">
        <f t="shared" si="56"/>
        <v>0</v>
      </c>
      <c r="AB219" s="622"/>
      <c r="AC219" s="320"/>
      <c r="AD219" s="165"/>
      <c r="AE219" s="320"/>
      <c r="AF219" s="165"/>
      <c r="AG219" s="320"/>
      <c r="AH219" s="165"/>
      <c r="AI219" s="320"/>
      <c r="AJ219" s="391">
        <f t="shared" si="57"/>
        <v>0</v>
      </c>
      <c r="AK219" s="122"/>
      <c r="AL219" s="1149"/>
      <c r="AM219" s="123"/>
      <c r="AN219" s="1032"/>
      <c r="AO219" s="13">
        <v>138</v>
      </c>
      <c r="AP219" s="74"/>
      <c r="AQ219" s="75"/>
    </row>
    <row r="220" spans="1:43" ht="27" thickBot="1" x14ac:dyDescent="0.45">
      <c r="A220" s="1011" t="s">
        <v>126</v>
      </c>
      <c r="B220" s="1015"/>
      <c r="C220" s="1015"/>
      <c r="D220" s="1015"/>
      <c r="E220" s="1015"/>
      <c r="F220" s="1015"/>
      <c r="G220" s="1015"/>
      <c r="H220" s="1015"/>
      <c r="I220" s="1015"/>
      <c r="J220" s="1015"/>
      <c r="K220" s="1015"/>
      <c r="L220" s="1015"/>
      <c r="M220" s="1015"/>
      <c r="N220" s="1015"/>
      <c r="O220" s="1015"/>
      <c r="P220" s="1015"/>
      <c r="Q220" s="1015"/>
      <c r="R220" s="1015"/>
      <c r="S220" s="1015"/>
      <c r="T220" s="1015"/>
      <c r="U220" s="1015"/>
      <c r="V220" s="1015"/>
      <c r="W220" s="1015"/>
      <c r="X220" s="1015"/>
      <c r="Y220" s="1015"/>
      <c r="Z220" s="1015"/>
      <c r="AA220" s="1013"/>
      <c r="AB220" s="1014"/>
      <c r="AC220" s="1014"/>
      <c r="AD220" s="1014"/>
      <c r="AE220" s="1014"/>
      <c r="AF220" s="1014"/>
      <c r="AG220" s="1014"/>
      <c r="AH220" s="1014"/>
      <c r="AI220" s="1014"/>
      <c r="AJ220" s="1015"/>
      <c r="AK220" s="1015"/>
      <c r="AL220" s="1015"/>
      <c r="AM220" s="1015"/>
      <c r="AN220" s="1016"/>
      <c r="AO220" s="13">
        <v>139</v>
      </c>
      <c r="AP220" s="74"/>
      <c r="AQ220" s="75"/>
    </row>
    <row r="221" spans="1:43" ht="26.25" customHeight="1" x14ac:dyDescent="0.4">
      <c r="A221" s="1059" t="s">
        <v>37</v>
      </c>
      <c r="B221" s="1225" t="s">
        <v>344</v>
      </c>
      <c r="C221" s="1057" t="s">
        <v>325</v>
      </c>
      <c r="D221" s="1037" t="s">
        <v>0</v>
      </c>
      <c r="E221" s="1037"/>
      <c r="F221" s="1037" t="s">
        <v>1</v>
      </c>
      <c r="G221" s="1037"/>
      <c r="H221" s="1037" t="s">
        <v>2</v>
      </c>
      <c r="I221" s="1037"/>
      <c r="J221" s="1037" t="s">
        <v>3</v>
      </c>
      <c r="K221" s="1037"/>
      <c r="L221" s="1037" t="s">
        <v>4</v>
      </c>
      <c r="M221" s="1037"/>
      <c r="N221" s="1037" t="s">
        <v>5</v>
      </c>
      <c r="O221" s="1037"/>
      <c r="P221" s="1037" t="s">
        <v>6</v>
      </c>
      <c r="Q221" s="1037"/>
      <c r="R221" s="1037" t="s">
        <v>7</v>
      </c>
      <c r="S221" s="1037"/>
      <c r="T221" s="1037" t="s">
        <v>8</v>
      </c>
      <c r="U221" s="1037"/>
      <c r="V221" s="1037" t="s">
        <v>23</v>
      </c>
      <c r="W221" s="1037"/>
      <c r="X221" s="1037" t="s">
        <v>24</v>
      </c>
      <c r="Y221" s="1037"/>
      <c r="Z221" s="1037" t="s">
        <v>9</v>
      </c>
      <c r="AA221" s="1038"/>
      <c r="AB221" s="1042"/>
      <c r="AC221" s="1043"/>
      <c r="AD221" s="1043"/>
      <c r="AE221" s="1043"/>
      <c r="AF221" s="1043"/>
      <c r="AG221" s="1043"/>
      <c r="AH221" s="1043"/>
      <c r="AI221" s="1284"/>
      <c r="AJ221" s="1050" t="s">
        <v>19</v>
      </c>
      <c r="AK221" s="1052" t="s">
        <v>378</v>
      </c>
      <c r="AL221" s="1035" t="s">
        <v>384</v>
      </c>
      <c r="AM221" s="1029" t="s">
        <v>385</v>
      </c>
      <c r="AN221" s="1024" t="s">
        <v>385</v>
      </c>
      <c r="AO221" s="13">
        <v>140</v>
      </c>
      <c r="AP221" s="74"/>
      <c r="AQ221" s="75"/>
    </row>
    <row r="222" spans="1:43" ht="27" customHeight="1" thickBot="1" x14ac:dyDescent="0.45">
      <c r="A222" s="1060"/>
      <c r="B222" s="1226"/>
      <c r="C222" s="1058"/>
      <c r="D222" s="294" t="s">
        <v>10</v>
      </c>
      <c r="E222" s="294" t="s">
        <v>11</v>
      </c>
      <c r="F222" s="294" t="s">
        <v>10</v>
      </c>
      <c r="G222" s="294" t="s">
        <v>11</v>
      </c>
      <c r="H222" s="294" t="s">
        <v>10</v>
      </c>
      <c r="I222" s="294" t="s">
        <v>11</v>
      </c>
      <c r="J222" s="294" t="s">
        <v>10</v>
      </c>
      <c r="K222" s="294" t="s">
        <v>11</v>
      </c>
      <c r="L222" s="294" t="s">
        <v>10</v>
      </c>
      <c r="M222" s="294" t="s">
        <v>11</v>
      </c>
      <c r="N222" s="294" t="s">
        <v>10</v>
      </c>
      <c r="O222" s="294" t="s">
        <v>11</v>
      </c>
      <c r="P222" s="294" t="s">
        <v>10</v>
      </c>
      <c r="Q222" s="294" t="s">
        <v>11</v>
      </c>
      <c r="R222" s="294" t="s">
        <v>10</v>
      </c>
      <c r="S222" s="294" t="s">
        <v>11</v>
      </c>
      <c r="T222" s="294" t="s">
        <v>10</v>
      </c>
      <c r="U222" s="294" t="s">
        <v>11</v>
      </c>
      <c r="V222" s="294" t="s">
        <v>10</v>
      </c>
      <c r="W222" s="294" t="s">
        <v>11</v>
      </c>
      <c r="X222" s="294" t="s">
        <v>10</v>
      </c>
      <c r="Y222" s="294" t="s">
        <v>11</v>
      </c>
      <c r="Z222" s="294" t="s">
        <v>10</v>
      </c>
      <c r="AA222" s="503" t="s">
        <v>11</v>
      </c>
      <c r="AB222" s="370"/>
      <c r="AC222" s="371"/>
      <c r="AD222" s="371"/>
      <c r="AE222" s="371"/>
      <c r="AF222" s="371"/>
      <c r="AG222" s="371"/>
      <c r="AH222" s="371"/>
      <c r="AI222" s="372"/>
      <c r="AJ222" s="1150"/>
      <c r="AK222" s="1053"/>
      <c r="AL222" s="1036"/>
      <c r="AM222" s="1029"/>
      <c r="AN222" s="1025"/>
      <c r="AO222" s="13">
        <v>141</v>
      </c>
      <c r="AP222" s="74"/>
      <c r="AQ222" s="75"/>
    </row>
    <row r="223" spans="1:43" ht="30.75" hidden="1" customHeight="1" x14ac:dyDescent="0.4">
      <c r="A223" s="931" t="s">
        <v>947</v>
      </c>
      <c r="B223" s="167" t="s">
        <v>667</v>
      </c>
      <c r="C223" s="574" t="s">
        <v>517</v>
      </c>
      <c r="D223" s="168">
        <f t="shared" ref="D223:AA223" si="58">D8</f>
        <v>0</v>
      </c>
      <c r="E223" s="168">
        <f t="shared" si="58"/>
        <v>0</v>
      </c>
      <c r="F223" s="168">
        <f t="shared" si="58"/>
        <v>0</v>
      </c>
      <c r="G223" s="168">
        <f t="shared" si="58"/>
        <v>0</v>
      </c>
      <c r="H223" s="168">
        <f t="shared" si="58"/>
        <v>0</v>
      </c>
      <c r="I223" s="168">
        <f t="shared" si="58"/>
        <v>0</v>
      </c>
      <c r="J223" s="168">
        <f t="shared" si="58"/>
        <v>0</v>
      </c>
      <c r="K223" s="168">
        <f t="shared" si="58"/>
        <v>0</v>
      </c>
      <c r="L223" s="168">
        <f t="shared" si="58"/>
        <v>0</v>
      </c>
      <c r="M223" s="168">
        <f t="shared" si="58"/>
        <v>0</v>
      </c>
      <c r="N223" s="168">
        <f t="shared" si="58"/>
        <v>0</v>
      </c>
      <c r="O223" s="168">
        <f t="shared" si="58"/>
        <v>0</v>
      </c>
      <c r="P223" s="168">
        <f t="shared" si="58"/>
        <v>0</v>
      </c>
      <c r="Q223" s="168">
        <f t="shared" si="58"/>
        <v>0</v>
      </c>
      <c r="R223" s="168">
        <f t="shared" si="58"/>
        <v>0</v>
      </c>
      <c r="S223" s="168">
        <f t="shared" si="58"/>
        <v>0</v>
      </c>
      <c r="T223" s="168">
        <f t="shared" si="58"/>
        <v>0</v>
      </c>
      <c r="U223" s="168">
        <f t="shared" si="58"/>
        <v>0</v>
      </c>
      <c r="V223" s="168">
        <f t="shared" si="58"/>
        <v>0</v>
      </c>
      <c r="W223" s="168">
        <f t="shared" si="58"/>
        <v>0</v>
      </c>
      <c r="X223" s="168">
        <f t="shared" si="58"/>
        <v>0</v>
      </c>
      <c r="Y223" s="168">
        <f t="shared" si="58"/>
        <v>0</v>
      </c>
      <c r="Z223" s="168">
        <f t="shared" si="58"/>
        <v>0</v>
      </c>
      <c r="AA223" s="168">
        <f t="shared" si="58"/>
        <v>0</v>
      </c>
      <c r="AB223" s="504"/>
      <c r="AC223" s="504"/>
      <c r="AD223" s="504"/>
      <c r="AE223" s="504"/>
      <c r="AF223" s="504"/>
      <c r="AG223" s="504"/>
      <c r="AH223" s="504"/>
      <c r="AI223" s="504"/>
      <c r="AJ223" s="168">
        <f>AJ8</f>
        <v>0</v>
      </c>
      <c r="AK223" s="30" t="str">
        <f>CONCATENATE(IF(D224&gt;D223," * No Screened for GBV "&amp;$D$20&amp;" "&amp;$D$21&amp;" is more than Clients Seen at OPD"&amp;CHAR(10),""),IF(E224&gt;E223," * No Screened For GBV "&amp;$D$20&amp;" "&amp;$E$21&amp;" is more than Clients Seen at OPD"&amp;CHAR(10),""),IF(F224&gt;F223," * No Screened For GBV "&amp;$F$20&amp;" "&amp;$F$21&amp;" is more than Clients Seen at OPD"&amp;CHAR(10),""),IF(G224&gt;G223," * No Screened For GBV "&amp;$F$20&amp;" "&amp;$G$21&amp;" is more than Clients Seen at OPD"&amp;CHAR(10),""),IF(H224&gt;H223," * No Screened For GBV "&amp;$H$20&amp;" "&amp;$H$21&amp;" is more than Clients Seen at OPD"&amp;CHAR(10),""),IF(I224&gt;I223," * No Screened For GBV "&amp;$H$20&amp;" "&amp;$I$21&amp;" is more than Clients Seen at OPD"&amp;CHAR(10),""),IF(J224&gt;J223," * No Screened For GBV "&amp;$J$20&amp;" "&amp;$J$21&amp;" is more than Clients Seen at OPD"&amp;CHAR(10),""),IF(K224&gt;K223," * No Screened For GBV "&amp;$J$20&amp;" "&amp;$K$21&amp;" is more than Clients Seen at OPD"&amp;CHAR(10),""),IF(L224&gt;L223," * No Screened For GBV "&amp;$L$20&amp;" "&amp;$L$21&amp;" is more than Clients Seen at OPD"&amp;CHAR(10),""),IF(M224&gt;M223," * No Screened For GBV "&amp;$L$20&amp;" "&amp;$M$21&amp;" is more than Clients Seen at OPD"&amp;CHAR(10),""),IF(N224&gt;N223," * No Screened For GBV "&amp;$N$20&amp;" "&amp;$N$21&amp;" is more than Clients Seen at OPD"&amp;CHAR(10),""),IF(O224&gt;O223," * No Screened For GBV "&amp;$N$20&amp;" "&amp;$O$21&amp;" is more than Clients Seen at OPD"&amp;CHAR(10),""),IF(P224&gt;P223," * No Screened For GBV "&amp;$P$20&amp;" "&amp;$P$21&amp;" is more than Clients Seen at OPD"&amp;CHAR(10),""),IF(Q224&gt;Q223," * No Screened For GBV "&amp;$P$20&amp;" "&amp;$Q$21&amp;" is more than Clients Seen at OPD"&amp;CHAR(10),""),IF(R224&gt;R223," * No Screened For GBV "&amp;$R$20&amp;" "&amp;$R$21&amp;" is more than Clients Seen at OPD"&amp;CHAR(10),""),IF(S224&gt;S223," * No Screened For GBV "&amp;$R$20&amp;" "&amp;$S$21&amp;" is more than Clients Seen at OPD"&amp;CHAR(10),""),IF(T224&gt;T223," * No Screened For GBV "&amp;$T$20&amp;" "&amp;$T$21&amp;" is more than Clients Seen at OPD"&amp;CHAR(10),""),IF(U224&gt;U223," * No Screened For GBV "&amp;$T$20&amp;" "&amp;$U$21&amp;" is more than Clients Seen at OPD"&amp;CHAR(10),""),IF(V224&gt;V223," * No Screened For GBV "&amp;$V$20&amp;" "&amp;$V$21&amp;" is more than Clients Seen at OPD"&amp;CHAR(10),""),IF(W224&gt;W223," * No Screened For GBV "&amp;$V$20&amp;" "&amp;$W$21&amp;" is more than Clients Seen at OPD"&amp;CHAR(10),""),IF(X224&gt;X223," * No Screened For GBV "&amp;$X$20&amp;" "&amp;$X$21&amp;" is more than Clients Seen at OPD"&amp;CHAR(10),""),IF(Y224&gt;Y223," * No Screened For GBV "&amp;$X$20&amp;" "&amp;$Y$21&amp;" is more than Clients Seen at OPD"&amp;CHAR(10),""),IF(Z224&gt;Z223," * No Screened For GBV "&amp;$Z$20&amp;" "&amp;$Z$21&amp;" is more than Clients Seen at OPD"&amp;CHAR(10),""),IF(AA224&gt;AA223," * No Screened For GBV "&amp;$Z$20&amp;" "&amp;$AA$21&amp;" is more than Clients Seen at OPD"&amp;CHAR(10),""))</f>
        <v/>
      </c>
      <c r="AL223" s="1039" t="str">
        <f>CONCATENATE(AK223,AK224,AK225,AK226,AK227,AK228,AK229,AK230,AK231)</f>
        <v/>
      </c>
      <c r="AM223" s="73"/>
      <c r="AN223" s="1026" t="str">
        <f>CONCATENATE(AM223,AM260,AM261,AM262,AM263,AM264,AM265,AM266,AM267,AM268,AM269,AM270,AM271,AM272,AM273)</f>
        <v/>
      </c>
      <c r="AO223" s="13">
        <v>142</v>
      </c>
      <c r="AP223" s="74"/>
      <c r="AQ223" s="75"/>
    </row>
    <row r="224" spans="1:43" ht="27" hidden="1" thickBot="1" x14ac:dyDescent="0.45">
      <c r="A224" s="931"/>
      <c r="B224" s="169" t="s">
        <v>902</v>
      </c>
      <c r="C224" s="572" t="s">
        <v>518</v>
      </c>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c r="AB224" s="342"/>
      <c r="AC224" s="342"/>
      <c r="AD224" s="342"/>
      <c r="AE224" s="342"/>
      <c r="AF224" s="342"/>
      <c r="AG224" s="342"/>
      <c r="AH224" s="342"/>
      <c r="AI224" s="342"/>
      <c r="AJ224" s="29">
        <f>SUM(D224:AA224)</f>
        <v>0</v>
      </c>
      <c r="AK224" s="130"/>
      <c r="AL224" s="1040"/>
      <c r="AM224" s="31"/>
      <c r="AN224" s="1027"/>
      <c r="AO224" s="13">
        <v>143</v>
      </c>
      <c r="AP224" s="74"/>
      <c r="AQ224" s="75"/>
    </row>
    <row r="225" spans="1:43" ht="27" hidden="1" thickBot="1" x14ac:dyDescent="0.45">
      <c r="A225" s="931"/>
      <c r="B225" s="171" t="s">
        <v>906</v>
      </c>
      <c r="C225" s="572" t="s">
        <v>867</v>
      </c>
      <c r="D225" s="172">
        <f>D226+D228+D230+D231</f>
        <v>0</v>
      </c>
      <c r="E225" s="172">
        <f t="shared" ref="E225:AA225" si="59">E226+E228+E230+E231</f>
        <v>0</v>
      </c>
      <c r="F225" s="172">
        <f t="shared" si="59"/>
        <v>0</v>
      </c>
      <c r="G225" s="172">
        <f t="shared" si="59"/>
        <v>0</v>
      </c>
      <c r="H225" s="172">
        <f t="shared" si="59"/>
        <v>0</v>
      </c>
      <c r="I225" s="172">
        <f t="shared" si="59"/>
        <v>0</v>
      </c>
      <c r="J225" s="172">
        <f t="shared" si="59"/>
        <v>0</v>
      </c>
      <c r="K225" s="172">
        <f t="shared" si="59"/>
        <v>0</v>
      </c>
      <c r="L225" s="172">
        <f t="shared" si="59"/>
        <v>0</v>
      </c>
      <c r="M225" s="172">
        <f t="shared" si="59"/>
        <v>0</v>
      </c>
      <c r="N225" s="172">
        <f t="shared" si="59"/>
        <v>0</v>
      </c>
      <c r="O225" s="172">
        <f t="shared" si="59"/>
        <v>0</v>
      </c>
      <c r="P225" s="172">
        <f t="shared" si="59"/>
        <v>0</v>
      </c>
      <c r="Q225" s="172">
        <f t="shared" si="59"/>
        <v>0</v>
      </c>
      <c r="R225" s="172">
        <f t="shared" si="59"/>
        <v>0</v>
      </c>
      <c r="S225" s="172">
        <f t="shared" si="59"/>
        <v>0</v>
      </c>
      <c r="T225" s="172">
        <f t="shared" si="59"/>
        <v>0</v>
      </c>
      <c r="U225" s="172">
        <f t="shared" si="59"/>
        <v>0</v>
      </c>
      <c r="V225" s="172">
        <f t="shared" si="59"/>
        <v>0</v>
      </c>
      <c r="W225" s="172">
        <f t="shared" si="59"/>
        <v>0</v>
      </c>
      <c r="X225" s="172">
        <f t="shared" si="59"/>
        <v>0</v>
      </c>
      <c r="Y225" s="172">
        <f t="shared" si="59"/>
        <v>0</v>
      </c>
      <c r="Z225" s="172">
        <f t="shared" si="59"/>
        <v>0</v>
      </c>
      <c r="AA225" s="172">
        <f t="shared" si="59"/>
        <v>0</v>
      </c>
      <c r="AB225" s="343"/>
      <c r="AC225" s="343"/>
      <c r="AD225" s="343"/>
      <c r="AE225" s="343"/>
      <c r="AF225" s="343"/>
      <c r="AG225" s="343"/>
      <c r="AH225" s="343"/>
      <c r="AI225" s="343"/>
      <c r="AJ225" s="173">
        <f t="shared" ref="AJ225:AJ231" si="60">SUM(D225:AA225)</f>
        <v>0</v>
      </c>
      <c r="AK225" s="130"/>
      <c r="AL225" s="1040"/>
      <c r="AM225" s="31"/>
      <c r="AN225" s="1027"/>
      <c r="AO225" s="13">
        <v>144</v>
      </c>
      <c r="AP225" s="74"/>
      <c r="AQ225" s="75"/>
    </row>
    <row r="226" spans="1:43" ht="27" hidden="1" thickBot="1" x14ac:dyDescent="0.45">
      <c r="A226" s="931"/>
      <c r="B226" s="169" t="s">
        <v>858</v>
      </c>
      <c r="C226" s="572" t="s">
        <v>868</v>
      </c>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344"/>
      <c r="AC226" s="344"/>
      <c r="AD226" s="344"/>
      <c r="AE226" s="344"/>
      <c r="AF226" s="344"/>
      <c r="AG226" s="344"/>
      <c r="AH226" s="344"/>
      <c r="AI226" s="344"/>
      <c r="AJ226" s="29">
        <f t="shared" si="60"/>
        <v>0</v>
      </c>
      <c r="AK226" s="30" t="str">
        <f>CONCATENATE(IF(D227&gt;D226," * OPD Sexual Violence Initiated Pep "&amp;$D$20&amp;" "&amp;$D$21&amp;" is more than OPD Sexual Violence Rape Survivors"&amp;CHAR(10),""),IF(E227&gt;E226," * OPD Sexual Violence Initiated Pep "&amp;$D$20&amp;" "&amp;$E$21&amp;" is more than OPD Sexual Violence Rape Survivors"&amp;CHAR(10),""),IF(F227&gt;F226," * OPD Sexual Violence Initiated Pep "&amp;$F$20&amp;" "&amp;$F$21&amp;" is more than OPD Sexual Violence Rape Survivors"&amp;CHAR(10),""),IF(G227&gt;G226," * OPD Sexual Violence Initiated Pep "&amp;$F$20&amp;" "&amp;$G$21&amp;" is more than OPD Sexual Violence Rape Survivors"&amp;CHAR(10),""),IF(H227&gt;H226," * OPD Sexual Violence Initiated Pep "&amp;$H$20&amp;" "&amp;$H$21&amp;" is more than OPD Sexual Violence Rape Survivors"&amp;CHAR(10),""),IF(I227&gt;I226," * OPD Sexual Violence Initiated Pep "&amp;$H$20&amp;" "&amp;$I$21&amp;" is more than OPD Sexual Violence Rape Survivors"&amp;CHAR(10),""),IF(J227&gt;J226," * OPD Sexual Violence Initiated Pep "&amp;$J$20&amp;" "&amp;$J$21&amp;" is more than OPD Sexual Violence Rape Survivors"&amp;CHAR(10),""),IF(K227&gt;K226," * OPD Sexual Violence Initiated Pep "&amp;$J$20&amp;" "&amp;$K$21&amp;" is more than OPD Sexual Violence Rape Survivors"&amp;CHAR(10),""),IF(L227&gt;L226," * OPD Sexual Violence Initiated Pep "&amp;$L$20&amp;" "&amp;$L$21&amp;" is more than OPD Sexual Violence Rape Survivors"&amp;CHAR(10),""),IF(M227&gt;M226," * OPD Sexual Violence Initiated Pep "&amp;$L$20&amp;" "&amp;$M$21&amp;" is more than OPD Sexual Violence Rape Survivors"&amp;CHAR(10),""),IF(N227&gt;N226," * OPD Sexual Violence Initiated Pep "&amp;$N$20&amp;" "&amp;$N$21&amp;" is more than OPD Sexual Violence Rape Survivors"&amp;CHAR(10),""),IF(O227&gt;O226," * OPD Sexual Violence Initiated Pep "&amp;$N$20&amp;" "&amp;$O$21&amp;" is more than OPD Sexual Violence Rape Survivors"&amp;CHAR(10),""),IF(P227&gt;P226," * OPD Sexual Violence Initiated Pep "&amp;$P$20&amp;" "&amp;$P$21&amp;" is more than OPD Sexual Violence Rape Survivors"&amp;CHAR(10),""),IF(Q227&gt;Q226," * OPD Sexual Violence Initiated Pep "&amp;$P$20&amp;" "&amp;$Q$21&amp;" is more than OPD Sexual Violence Rape Survivors"&amp;CHAR(10),""),IF(R227&gt;R226," * OPD Sexual Violence Initiated Pep "&amp;$R$20&amp;" "&amp;$R$21&amp;" is more than OPD Sexual Violence Rape Survivors"&amp;CHAR(10),""),IF(S227&gt;S226," * OPD Sexual Violence Initiated Pep "&amp;$R$20&amp;" "&amp;$S$21&amp;" is more than OPD Sexual Violence Rape Survivors"&amp;CHAR(10),""),IF(T227&gt;T226," * OPD Sexual Violence Initiated Pep "&amp;$T$20&amp;" "&amp;$T$21&amp;" is more than OPD Sexual Violence Rape Survivors"&amp;CHAR(10),""),IF(U227&gt;U226," * OPD Sexual Violence Initiated Pep "&amp;$T$20&amp;" "&amp;$U$21&amp;" is more than OPD Sexual Violence Rape Survivors"&amp;CHAR(10),""),IF(V227&gt;V226," * OPD Sexual Violence Initiated Pep "&amp;$V$20&amp;" "&amp;$V$21&amp;" is more than OPD Sexual Violence Rape Survivors"&amp;CHAR(10),""),IF(W227&gt;W226," * OPD Sexual Violence Initiated Pep "&amp;$V$20&amp;" "&amp;$W$21&amp;" is more than OPD Sexual Violence Rape Survivors"&amp;CHAR(10),""),IF(X227&gt;X226," * OPD Sexual Violence Initiated Pep "&amp;$X$20&amp;" "&amp;$X$21&amp;" is more than OPD Sexual Violence Rape Survivors"&amp;CHAR(10),""),IF(Y227&gt;Y226," * OPD Sexual Violence Initiated Pep "&amp;$X$20&amp;" "&amp;$Y$21&amp;" is more than OPD Sexual Violence Rape Survivors"&amp;CHAR(10),""),IF(Z227&gt;Z226," * OPD Sexual Violence Initiated Pep "&amp;$Z$20&amp;" "&amp;$Z$21&amp;" is more than OPD Sexual Violence Rape Survivors"&amp;CHAR(10),""),IF(AA227&gt;AA226," * OPD Sexual Violence Initiated Pep "&amp;$Z$20&amp;" "&amp;$AA$21&amp;" is more than OPD Sexual Violence Rape Survivors"&amp;CHAR(10),""))</f>
        <v/>
      </c>
      <c r="AL226" s="1040"/>
      <c r="AM226" s="31"/>
      <c r="AN226" s="1027"/>
      <c r="AO226" s="13">
        <v>145</v>
      </c>
      <c r="AP226" s="74"/>
      <c r="AQ226" s="75"/>
    </row>
    <row r="227" spans="1:43" ht="27" hidden="1" thickBot="1" x14ac:dyDescent="0.45">
      <c r="A227" s="931"/>
      <c r="B227" s="169" t="s">
        <v>859</v>
      </c>
      <c r="C227" s="572" t="s">
        <v>869</v>
      </c>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c r="AA227" s="175"/>
      <c r="AB227" s="344"/>
      <c r="AC227" s="344"/>
      <c r="AD227" s="344"/>
      <c r="AE227" s="344"/>
      <c r="AF227" s="344"/>
      <c r="AG227" s="344"/>
      <c r="AH227" s="344"/>
      <c r="AI227" s="344"/>
      <c r="AJ227" s="29">
        <f t="shared" si="60"/>
        <v>0</v>
      </c>
      <c r="AK227" s="130"/>
      <c r="AL227" s="1040"/>
      <c r="AM227" s="31"/>
      <c r="AN227" s="1027"/>
      <c r="AO227" s="13">
        <v>146</v>
      </c>
      <c r="AP227" s="74"/>
      <c r="AQ227" s="75"/>
    </row>
    <row r="228" spans="1:43" ht="27" hidden="1" thickBot="1" x14ac:dyDescent="0.45">
      <c r="A228" s="931"/>
      <c r="B228" s="169" t="s">
        <v>860</v>
      </c>
      <c r="C228" s="572" t="s">
        <v>870</v>
      </c>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344"/>
      <c r="AC228" s="344"/>
      <c r="AD228" s="344"/>
      <c r="AE228" s="344"/>
      <c r="AF228" s="344"/>
      <c r="AG228" s="344"/>
      <c r="AH228" s="344"/>
      <c r="AI228" s="344"/>
      <c r="AJ228" s="29">
        <f t="shared" si="60"/>
        <v>0</v>
      </c>
      <c r="AK228" s="30" t="str">
        <f>CONCATENATE(IF(D229&gt;D228," * OPD  Physical Violence Initiated Pep "&amp;$D$20&amp;" "&amp;$D$21&amp;" is more than OPD Physical Violence Rape Survivors"&amp;CHAR(10),""),IF(E229&gt;E228," * OPD  Physical Violence Initiated Pep "&amp;$D$20&amp;" "&amp;$E$21&amp;" is more than OPD Physical Violence Rape Survivors"&amp;CHAR(10),""),IF(F229&gt;F228," * OPD  Physical Violence Initiated Pep "&amp;$F$20&amp;" "&amp;$F$21&amp;" is more than OPD Physical Violence Rape Survivors"&amp;CHAR(10),""),IF(G229&gt;G228," * OPD  Physical Violence Initiated Pep "&amp;$F$20&amp;" "&amp;$G$21&amp;" is more than OPD Physical Violence Rape Survivors"&amp;CHAR(10),""),IF(H229&gt;H228," * OPD  Physical Violence Initiated Pep "&amp;$H$20&amp;" "&amp;$H$21&amp;" is more than OPD Physical Violence Rape Survivors"&amp;CHAR(10),""),IF(I229&gt;I228," * OPD  Physical Violence Initiated Pep "&amp;$H$20&amp;" "&amp;$I$21&amp;" is more than OPD Physical Violence Rape Survivors"&amp;CHAR(10),""),IF(J229&gt;J228," * OPD  Physical Violence Initiated Pep "&amp;$J$20&amp;" "&amp;$J$21&amp;" is more than OPD Physical Violence Rape Survivors"&amp;CHAR(10),""),IF(K229&gt;K228," * OPD  Physical Violence Initiated Pep "&amp;$J$20&amp;" "&amp;$K$21&amp;" is more than OPD Physical Violence Rape Survivors"&amp;CHAR(10),""),IF(L229&gt;L228," * OPD  Physical Violence Initiated Pep "&amp;$L$20&amp;" "&amp;$L$21&amp;" is more than OPD Physical Violence Rape Survivors"&amp;CHAR(10),""),IF(M229&gt;M228," * OPD  Physical Violence Initiated Pep "&amp;$L$20&amp;" "&amp;$M$21&amp;" is more than OPD Physical Violence Rape Survivors"&amp;CHAR(10),""),IF(N229&gt;N228," * OPD  Physical Violence Initiated Pep "&amp;$N$20&amp;" "&amp;$N$21&amp;" is more than OPD Physical Violence Rape Survivors"&amp;CHAR(10),""),IF(O229&gt;O228," * OPD  Physical Violence Initiated Pep "&amp;$N$20&amp;" "&amp;$O$21&amp;" is more than OPD Physical Violence Rape Survivors"&amp;CHAR(10),""),IF(P229&gt;P228," * OPD  Physical Violence Initiated Pep "&amp;$P$20&amp;" "&amp;$P$21&amp;" is more than OPD Physical Violence Rape Survivors"&amp;CHAR(10),""),IF(Q229&gt;Q228," * OPD  Physical Violence Initiated Pep "&amp;$P$20&amp;" "&amp;$Q$21&amp;" is more than OPD Physical Violence Rape Survivors"&amp;CHAR(10),""),IF(R229&gt;R228," * OPD  Physical Violence Initiated Pep "&amp;$R$20&amp;" "&amp;$R$21&amp;" is more than OPD Physical Violence Rape Survivors"&amp;CHAR(10),""),IF(S229&gt;S228," * OPD  Physical Violence Initiated Pep "&amp;$R$20&amp;" "&amp;$S$21&amp;" is more than OPD Physical Violence Rape Survivors"&amp;CHAR(10),""),IF(T229&gt;T228," * OPD  Physical Violence Initiated Pep "&amp;$T$20&amp;" "&amp;$T$21&amp;" is more than OPD Physical Violence Rape Survivors"&amp;CHAR(10),""),IF(U229&gt;U228," * OPD  Physical Violence Initiated Pep "&amp;$T$20&amp;" "&amp;$U$21&amp;" is more than OPD Physical Violence Rape Survivors"&amp;CHAR(10),""),IF(V229&gt;V228," * OPD  Physical Violence Initiated Pep "&amp;$V$20&amp;" "&amp;$V$21&amp;" is more than OPD Physical Violence Rape Survivors"&amp;CHAR(10),""),IF(W229&gt;W228," * OPD  Physical Violence Initiated Pep "&amp;$V$20&amp;" "&amp;$W$21&amp;" is more than OPD Physical Violence Rape Survivors"&amp;CHAR(10),""),IF(X229&gt;X228," * OPD  Physical Violence Initiated Pep "&amp;$X$20&amp;" "&amp;$X$21&amp;" is more than OPD Physical Violence Rape Survivors"&amp;CHAR(10),""),IF(Y229&gt;Y228," * OPD  Physical Violence Initiated Pep "&amp;$X$20&amp;" "&amp;$Y$21&amp;" is more than OPD Physical Violence Rape Survivors"&amp;CHAR(10),""),IF(Z229&gt;Z228," * OPD  Physical Violence Initiated Pep "&amp;$Z$20&amp;" "&amp;$Z$21&amp;" is more than OPD Physical Violence Rape Survivors"&amp;CHAR(10),""),IF(AA229&gt;AA228," * OPD  Physical Violence Initiated Pep "&amp;$Z$20&amp;" "&amp;$AA$21&amp;" is more than OPD Physical Violence Rape Survivors"&amp;CHAR(10),""))</f>
        <v/>
      </c>
      <c r="AL228" s="1040"/>
      <c r="AM228" s="31"/>
      <c r="AN228" s="1027"/>
      <c r="AO228" s="13">
        <v>147</v>
      </c>
      <c r="AP228" s="74"/>
      <c r="AQ228" s="75"/>
    </row>
    <row r="229" spans="1:43" ht="27" hidden="1" thickBot="1" x14ac:dyDescent="0.45">
      <c r="A229" s="931"/>
      <c r="B229" s="169" t="s">
        <v>861</v>
      </c>
      <c r="C229" s="572" t="s">
        <v>871</v>
      </c>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c r="AA229" s="175"/>
      <c r="AB229" s="344"/>
      <c r="AC229" s="344"/>
      <c r="AD229" s="344"/>
      <c r="AE229" s="344"/>
      <c r="AF229" s="344"/>
      <c r="AG229" s="344"/>
      <c r="AH229" s="344"/>
      <c r="AI229" s="344"/>
      <c r="AJ229" s="29">
        <f t="shared" si="60"/>
        <v>0</v>
      </c>
      <c r="AK229" s="130"/>
      <c r="AL229" s="1040"/>
      <c r="AM229" s="31"/>
      <c r="AN229" s="1027"/>
      <c r="AO229" s="13">
        <v>148</v>
      </c>
      <c r="AP229" s="74"/>
      <c r="AQ229" s="75"/>
    </row>
    <row r="230" spans="1:43" ht="27" hidden="1" thickBot="1" x14ac:dyDescent="0.45">
      <c r="A230" s="931"/>
      <c r="B230" s="169" t="s">
        <v>862</v>
      </c>
      <c r="C230" s="572" t="s">
        <v>872</v>
      </c>
      <c r="D230" s="176"/>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c r="AA230" s="177"/>
      <c r="AB230" s="344"/>
      <c r="AC230" s="344"/>
      <c r="AD230" s="344"/>
      <c r="AE230" s="344"/>
      <c r="AF230" s="344"/>
      <c r="AG230" s="344"/>
      <c r="AH230" s="344"/>
      <c r="AI230" s="344"/>
      <c r="AJ230" s="29">
        <f t="shared" si="60"/>
        <v>0</v>
      </c>
      <c r="AK230" s="130"/>
      <c r="AL230" s="1040"/>
      <c r="AM230" s="31"/>
      <c r="AN230" s="1027"/>
      <c r="AO230" s="13">
        <v>149</v>
      </c>
      <c r="AP230" s="74"/>
      <c r="AQ230" s="75"/>
    </row>
    <row r="231" spans="1:43" ht="27" hidden="1" thickBot="1" x14ac:dyDescent="0.45">
      <c r="A231" s="932"/>
      <c r="B231" s="178" t="s">
        <v>897</v>
      </c>
      <c r="C231" s="573" t="s">
        <v>873</v>
      </c>
      <c r="D231" s="179"/>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c r="AA231" s="181"/>
      <c r="AB231" s="344"/>
      <c r="AC231" s="344"/>
      <c r="AD231" s="344"/>
      <c r="AE231" s="344"/>
      <c r="AF231" s="344"/>
      <c r="AG231" s="344"/>
      <c r="AH231" s="344"/>
      <c r="AI231" s="344"/>
      <c r="AJ231" s="29">
        <f t="shared" si="60"/>
        <v>0</v>
      </c>
      <c r="AK231" s="130"/>
      <c r="AL231" s="1041"/>
      <c r="AM231" s="73"/>
      <c r="AN231" s="1027"/>
      <c r="AO231" s="13">
        <v>150</v>
      </c>
      <c r="AP231" s="74"/>
      <c r="AQ231" s="75"/>
    </row>
    <row r="232" spans="1:43" ht="27" hidden="1" thickBot="1" x14ac:dyDescent="0.45">
      <c r="A232" s="930" t="s">
        <v>864</v>
      </c>
      <c r="B232" s="167" t="s">
        <v>908</v>
      </c>
      <c r="C232" s="574" t="s">
        <v>874</v>
      </c>
      <c r="D232" s="168">
        <f t="shared" ref="D232:AA232" si="61">D11</f>
        <v>0</v>
      </c>
      <c r="E232" s="168">
        <f t="shared" si="61"/>
        <v>0</v>
      </c>
      <c r="F232" s="168">
        <f t="shared" si="61"/>
        <v>0</v>
      </c>
      <c r="G232" s="168">
        <f t="shared" si="61"/>
        <v>0</v>
      </c>
      <c r="H232" s="168">
        <f t="shared" si="61"/>
        <v>0</v>
      </c>
      <c r="I232" s="168">
        <f t="shared" si="61"/>
        <v>0</v>
      </c>
      <c r="J232" s="168">
        <f t="shared" si="61"/>
        <v>0</v>
      </c>
      <c r="K232" s="168">
        <f t="shared" si="61"/>
        <v>0</v>
      </c>
      <c r="L232" s="168">
        <f t="shared" si="61"/>
        <v>0</v>
      </c>
      <c r="M232" s="168">
        <f t="shared" si="61"/>
        <v>0</v>
      </c>
      <c r="N232" s="168">
        <f t="shared" si="61"/>
        <v>0</v>
      </c>
      <c r="O232" s="168">
        <f t="shared" si="61"/>
        <v>0</v>
      </c>
      <c r="P232" s="168">
        <f t="shared" si="61"/>
        <v>0</v>
      </c>
      <c r="Q232" s="168">
        <f t="shared" si="61"/>
        <v>0</v>
      </c>
      <c r="R232" s="168">
        <f t="shared" si="61"/>
        <v>0</v>
      </c>
      <c r="S232" s="168">
        <f t="shared" si="61"/>
        <v>0</v>
      </c>
      <c r="T232" s="168">
        <f t="shared" si="61"/>
        <v>0</v>
      </c>
      <c r="U232" s="168">
        <f t="shared" si="61"/>
        <v>0</v>
      </c>
      <c r="V232" s="168">
        <f t="shared" si="61"/>
        <v>0</v>
      </c>
      <c r="W232" s="168">
        <f t="shared" si="61"/>
        <v>0</v>
      </c>
      <c r="X232" s="168">
        <f t="shared" si="61"/>
        <v>0</v>
      </c>
      <c r="Y232" s="168">
        <f t="shared" si="61"/>
        <v>0</v>
      </c>
      <c r="Z232" s="168">
        <f t="shared" si="61"/>
        <v>0</v>
      </c>
      <c r="AA232" s="168">
        <f t="shared" si="61"/>
        <v>0</v>
      </c>
      <c r="AB232" s="168"/>
      <c r="AC232" s="168"/>
      <c r="AD232" s="168"/>
      <c r="AE232" s="168"/>
      <c r="AF232" s="168"/>
      <c r="AG232" s="168"/>
      <c r="AH232" s="168"/>
      <c r="AI232" s="168"/>
      <c r="AJ232" s="168">
        <f>AJ11</f>
        <v>0</v>
      </c>
      <c r="AK232" s="30" t="str">
        <f>CONCATENATE(IF(D233&gt;D232," * No Screened for GBV "&amp;$D$20&amp;" "&amp;$D$21&amp;" is more than Clients Seen at IPD"&amp;CHAR(10),""),IF(E233&gt;E232," * No Screened For GBV "&amp;$D$20&amp;" "&amp;$E$21&amp;" is more than Clients Seen at IPD"&amp;CHAR(10),""),IF(F233&gt;F232," * No Screened For GBV "&amp;$F$20&amp;" "&amp;$F$21&amp;" is more than Clients Seen at IPD"&amp;CHAR(10),""),IF(G233&gt;G232," * No Screened For GBV "&amp;$F$20&amp;" "&amp;$G$21&amp;" is more than Clients Seen at IPD"&amp;CHAR(10),""),IF(H233&gt;H232," * No Screened For GBV "&amp;$H$20&amp;" "&amp;$H$21&amp;" is more than Clients Seen at IPD"&amp;CHAR(10),""),IF(I233&gt;I232," * No Screened For GBV "&amp;$H$20&amp;" "&amp;$I$21&amp;" is more than Clients Seen at IPD"&amp;CHAR(10),""),IF(J233&gt;J232," * No Screened For GBV "&amp;$J$20&amp;" "&amp;$J$21&amp;" is more than Clients Seen at IPD"&amp;CHAR(10),""),IF(K233&gt;K232," * No Screened For GBV "&amp;$J$20&amp;" "&amp;$K$21&amp;" is more than Clients Seen at IPD"&amp;CHAR(10),""),IF(L233&gt;L232," * No Screened For GBV "&amp;$L$20&amp;" "&amp;$L$21&amp;" is more than Clients Seen at IPD"&amp;CHAR(10),""),IF(M233&gt;M232," * No Screened For GBV "&amp;$L$20&amp;" "&amp;$M$21&amp;" is more than Clients Seen at IPD"&amp;CHAR(10),""),IF(N233&gt;N232," * No Screened For GBV "&amp;$N$20&amp;" "&amp;$N$21&amp;" is more than Clients Seen at IPD"&amp;CHAR(10),""),IF(O233&gt;O232," * No Screened For GBV "&amp;$N$20&amp;" "&amp;$O$21&amp;" is more than Clients Seen at IPD"&amp;CHAR(10),""),IF(P233&gt;P232," * No Screened For GBV "&amp;$P$20&amp;" "&amp;$P$21&amp;" is more than Clients Seen at IPD"&amp;CHAR(10),""),IF(Q233&gt;Q232," * No Screened For GBV "&amp;$P$20&amp;" "&amp;$Q$21&amp;" is more than Clients Seen at IPD"&amp;CHAR(10),""),IF(R233&gt;R232," * No Screened For GBV "&amp;$R$20&amp;" "&amp;$R$21&amp;" is more than Clients Seen at IPD"&amp;CHAR(10),""),IF(S233&gt;S232," * No Screened For GBV "&amp;$R$20&amp;" "&amp;$S$21&amp;" is more than Clients Seen at IPD"&amp;CHAR(10),""),IF(T233&gt;T232," * No Screened For GBV "&amp;$T$20&amp;" "&amp;$T$21&amp;" is more than Clients Seen at IPD"&amp;CHAR(10),""),IF(U233&gt;U232," * No Screened For GBV "&amp;$T$20&amp;" "&amp;$U$21&amp;" is more than Clients Seen at IPD"&amp;CHAR(10),""),IF(V233&gt;V232," * No Screened For GBV "&amp;$V$20&amp;" "&amp;$V$21&amp;" is more than Clients Seen at IPD"&amp;CHAR(10),""),IF(W233&gt;W232," * No Screened For GBV "&amp;$V$20&amp;" "&amp;$W$21&amp;" is more than Clients Seen at IPD"&amp;CHAR(10),""),IF(X233&gt;X232," * No Screened For GBV "&amp;$X$20&amp;" "&amp;$X$21&amp;" is more than Clients Seen at IPD"&amp;CHAR(10),""),IF(Y233&gt;Y232," * No Screened For GBV "&amp;$X$20&amp;" "&amp;$Y$21&amp;" is more than Clients Seen at IPD"&amp;CHAR(10),""),IF(Z233&gt;Z232," * No Screened For GBV "&amp;$Z$20&amp;" "&amp;$Z$21&amp;" is more than Clients Seen at IPD"&amp;CHAR(10),""),IF(AA233&gt;AA232," * No Screened For GBV "&amp;$Z$20&amp;" "&amp;$AA$21&amp;" is more than Clients Seen at IPD"&amp;CHAR(10),""))</f>
        <v/>
      </c>
      <c r="AL232" s="1018" t="str">
        <f>CONCATENATE(AK232,AK233,AK234,AK235,AK236,AK237,AK238,AK239,AK240)</f>
        <v/>
      </c>
      <c r="AM232" s="73"/>
      <c r="AN232" s="1027"/>
      <c r="AO232" s="13">
        <v>151</v>
      </c>
      <c r="AP232" s="74"/>
      <c r="AQ232" s="75"/>
    </row>
    <row r="233" spans="1:43" ht="27" hidden="1" thickBot="1" x14ac:dyDescent="0.45">
      <c r="A233" s="931"/>
      <c r="B233" s="169" t="s">
        <v>903</v>
      </c>
      <c r="C233" s="572" t="s">
        <v>875</v>
      </c>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c r="AB233" s="344"/>
      <c r="AC233" s="344"/>
      <c r="AD233" s="344"/>
      <c r="AE233" s="344"/>
      <c r="AF233" s="344"/>
      <c r="AG233" s="344"/>
      <c r="AH233" s="344"/>
      <c r="AI233" s="344"/>
      <c r="AJ233" s="66">
        <f t="shared" ref="AJ233:AJ258" si="62">SUM(D233:AA233)</f>
        <v>0</v>
      </c>
      <c r="AK233" s="130"/>
      <c r="AL233" s="1019"/>
      <c r="AM233" s="31"/>
      <c r="AN233" s="1027"/>
      <c r="AO233" s="13">
        <v>152</v>
      </c>
      <c r="AP233" s="74"/>
      <c r="AQ233" s="75"/>
    </row>
    <row r="234" spans="1:43" ht="27" hidden="1" thickBot="1" x14ac:dyDescent="0.45">
      <c r="A234" s="931"/>
      <c r="B234" s="171" t="s">
        <v>911</v>
      </c>
      <c r="C234" s="572" t="s">
        <v>876</v>
      </c>
      <c r="D234" s="172">
        <f>D235+D237+D239+D240</f>
        <v>0</v>
      </c>
      <c r="E234" s="172">
        <f t="shared" ref="E234" si="63">E235+E237+E239+E240</f>
        <v>0</v>
      </c>
      <c r="F234" s="172">
        <f t="shared" ref="F234" si="64">F235+F237+F239+F240</f>
        <v>0</v>
      </c>
      <c r="G234" s="172">
        <f t="shared" ref="G234" si="65">G235+G237+G239+G240</f>
        <v>0</v>
      </c>
      <c r="H234" s="172">
        <f t="shared" ref="H234" si="66">H235+H237+H239+H240</f>
        <v>0</v>
      </c>
      <c r="I234" s="172">
        <f t="shared" ref="I234" si="67">I235+I237+I239+I240</f>
        <v>0</v>
      </c>
      <c r="J234" s="172">
        <f t="shared" ref="J234" si="68">J235+J237+J239+J240</f>
        <v>0</v>
      </c>
      <c r="K234" s="172">
        <f t="shared" ref="K234" si="69">K235+K237+K239+K240</f>
        <v>0</v>
      </c>
      <c r="L234" s="172">
        <f t="shared" ref="L234" si="70">L235+L237+L239+L240</f>
        <v>0</v>
      </c>
      <c r="M234" s="172">
        <f t="shared" ref="M234" si="71">M235+M237+M239+M240</f>
        <v>0</v>
      </c>
      <c r="N234" s="172">
        <f t="shared" ref="N234" si="72">N235+N237+N239+N240</f>
        <v>0</v>
      </c>
      <c r="O234" s="172">
        <f t="shared" ref="O234" si="73">O235+O237+O239+O240</f>
        <v>0</v>
      </c>
      <c r="P234" s="172">
        <f t="shared" ref="P234" si="74">P235+P237+P239+P240</f>
        <v>0</v>
      </c>
      <c r="Q234" s="172">
        <f t="shared" ref="Q234" si="75">Q235+Q237+Q239+Q240</f>
        <v>0</v>
      </c>
      <c r="R234" s="172">
        <f t="shared" ref="R234" si="76">R235+R237+R239+R240</f>
        <v>0</v>
      </c>
      <c r="S234" s="172">
        <f t="shared" ref="S234" si="77">S235+S237+S239+S240</f>
        <v>0</v>
      </c>
      <c r="T234" s="172">
        <f t="shared" ref="T234" si="78">T235+T237+T239+T240</f>
        <v>0</v>
      </c>
      <c r="U234" s="172">
        <f t="shared" ref="U234" si="79">U235+U237+U239+U240</f>
        <v>0</v>
      </c>
      <c r="V234" s="172">
        <f t="shared" ref="V234" si="80">V235+V237+V239+V240</f>
        <v>0</v>
      </c>
      <c r="W234" s="172">
        <f t="shared" ref="W234" si="81">W235+W237+W239+W240</f>
        <v>0</v>
      </c>
      <c r="X234" s="172">
        <f t="shared" ref="X234" si="82">X235+X237+X239+X240</f>
        <v>0</v>
      </c>
      <c r="Y234" s="172">
        <f t="shared" ref="Y234" si="83">Y235+Y237+Y239+Y240</f>
        <v>0</v>
      </c>
      <c r="Z234" s="172">
        <f t="shared" ref="Z234" si="84">Z235+Z237+Z239+Z240</f>
        <v>0</v>
      </c>
      <c r="AA234" s="172">
        <f t="shared" ref="AA234" si="85">AA235+AA237+AA239+AA240</f>
        <v>0</v>
      </c>
      <c r="AB234" s="343"/>
      <c r="AC234" s="343"/>
      <c r="AD234" s="343"/>
      <c r="AE234" s="343"/>
      <c r="AF234" s="343"/>
      <c r="AG234" s="343"/>
      <c r="AH234" s="343"/>
      <c r="AI234" s="343"/>
      <c r="AJ234" s="66">
        <f t="shared" si="62"/>
        <v>0</v>
      </c>
      <c r="AK234" s="130"/>
      <c r="AL234" s="1019"/>
      <c r="AM234" s="31"/>
      <c r="AN234" s="1027"/>
      <c r="AO234" s="13">
        <v>153</v>
      </c>
      <c r="AP234" s="74"/>
      <c r="AQ234" s="75"/>
    </row>
    <row r="235" spans="1:43" ht="27" hidden="1" thickBot="1" x14ac:dyDescent="0.45">
      <c r="A235" s="931"/>
      <c r="B235" s="169" t="s">
        <v>858</v>
      </c>
      <c r="C235" s="572" t="s">
        <v>877</v>
      </c>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344"/>
      <c r="AC235" s="344"/>
      <c r="AD235" s="344"/>
      <c r="AE235" s="344"/>
      <c r="AF235" s="344"/>
      <c r="AG235" s="344"/>
      <c r="AH235" s="344"/>
      <c r="AI235" s="344"/>
      <c r="AJ235" s="66">
        <f t="shared" si="62"/>
        <v>0</v>
      </c>
      <c r="AK235" s="30" t="str">
        <f>CONCATENATE(IF(D236&gt;D235," * IPD Sexual Violence Initiated Pep "&amp;$D$20&amp;" "&amp;$D$21&amp;" is more than IPD Sexual Violence Rape Survivors"&amp;CHAR(10),""),IF(E236&gt;E235," * IPD Sexual Violence Initiated Pep "&amp;$D$20&amp;" "&amp;$E$21&amp;" is more than IPD Sexual Violence Rape Survivors"&amp;CHAR(10),""),IF(F236&gt;F235," * IPD Sexual Violence Initiated Pep "&amp;$F$20&amp;" "&amp;$F$21&amp;" is more than IPD Sexual Violence Rape Survivors"&amp;CHAR(10),""),IF(G236&gt;G235," * IPD Sexual Violence Initiated Pep "&amp;$F$20&amp;" "&amp;$G$21&amp;" is more than IPD Sexual Violence Rape Survivors"&amp;CHAR(10),""),IF(H236&gt;H235," * IPD Sexual Violence Initiated Pep "&amp;$H$20&amp;" "&amp;$H$21&amp;" is more than IPD Sexual Violence Rape Survivors"&amp;CHAR(10),""),IF(I236&gt;I235," * IPD Sexual Violence Initiated Pep "&amp;$H$20&amp;" "&amp;$I$21&amp;" is more than IPD Sexual Violence Rape Survivors"&amp;CHAR(10),""),IF(J236&gt;J235," * IPD Sexual Violence Initiated Pep "&amp;$J$20&amp;" "&amp;$J$21&amp;" is more than IPD Sexual Violence Rape Survivors"&amp;CHAR(10),""),IF(K236&gt;K235," * IPD Sexual Violence Initiated Pep "&amp;$J$20&amp;" "&amp;$K$21&amp;" is more than IPD Sexual Violence Rape Survivors"&amp;CHAR(10),""),IF(L236&gt;L235," * IPD Sexual Violence Initiated Pep "&amp;$L$20&amp;" "&amp;$L$21&amp;" is more than IPD Sexual Violence Rape Survivors"&amp;CHAR(10),""),IF(M236&gt;M235," * IPD Sexual Violence Initiated Pep "&amp;$L$20&amp;" "&amp;$M$21&amp;" is more than IPD Sexual Violence Rape Survivors"&amp;CHAR(10),""),IF(N236&gt;N235," * IPD Sexual Violence Initiated Pep "&amp;$N$20&amp;" "&amp;$N$21&amp;" is more than IPD Sexual Violence Rape Survivors"&amp;CHAR(10),""),IF(O236&gt;O235," * IPD Sexual Violence Initiated Pep "&amp;$N$20&amp;" "&amp;$O$21&amp;" is more than IPD Sexual Violence Rape Survivors"&amp;CHAR(10),""),IF(P236&gt;P235," * IPD Sexual Violence Initiated Pep "&amp;$P$20&amp;" "&amp;$P$21&amp;" is more than IPD Sexual Violence Rape Survivors"&amp;CHAR(10),""),IF(Q236&gt;Q235," * IPD Sexual Violence Initiated Pep "&amp;$P$20&amp;" "&amp;$Q$21&amp;" is more than IPD Sexual Violence Rape Survivors"&amp;CHAR(10),""),IF(R236&gt;R235," * IPD Sexual Violence Initiated Pep "&amp;$R$20&amp;" "&amp;$R$21&amp;" is more than IPD Sexual Violence Rape Survivors"&amp;CHAR(10),""),IF(S236&gt;S235," * IPD Sexual Violence Initiated Pep "&amp;$R$20&amp;" "&amp;$S$21&amp;" is more than IPD Sexual Violence Rape Survivors"&amp;CHAR(10),""),IF(T236&gt;T235," * IPD Sexual Violence Initiated Pep "&amp;$T$20&amp;" "&amp;$T$21&amp;" is more than IPD Sexual Violence Rape Survivors"&amp;CHAR(10),""),IF(U236&gt;U235," * IPD Sexual Violence Initiated Pep "&amp;$T$20&amp;" "&amp;$U$21&amp;" is more than IPD Sexual Violence Rape Survivors"&amp;CHAR(10),""),IF(V236&gt;V235," * IPD Sexual Violence Initiated Pep "&amp;$V$20&amp;" "&amp;$V$21&amp;" is more than IPD Sexual Violence Rape Survivors"&amp;CHAR(10),""),IF(W236&gt;W235," * IPD Sexual Violence Initiated Pep "&amp;$V$20&amp;" "&amp;$W$21&amp;" is more than IPD Sexual Violence Rape Survivors"&amp;CHAR(10),""),IF(X236&gt;X235," * IPD Sexual Violence Initiated Pep "&amp;$X$20&amp;" "&amp;$X$21&amp;" is more than IPD Sexual Violence Rape Survivors"&amp;CHAR(10),""),IF(Y236&gt;Y235," * IPD Sexual Violence Initiated Pep "&amp;$X$20&amp;" "&amp;$Y$21&amp;" is more than IPD Sexual Violence Rape Survivors"&amp;CHAR(10),""),IF(Z236&gt;Z235," * IPD Sexual Violence Initiated Pep "&amp;$Z$20&amp;" "&amp;$Z$21&amp;" is more than IPD Sexual Violence Rape Survivors"&amp;CHAR(10),""),IF(AA236&gt;AA235," * IPD Sexual Violence Initiated Pep "&amp;$Z$20&amp;" "&amp;$AA$21&amp;" is more than IPD Sexual Violence Rape Survivors"&amp;CHAR(10),""))</f>
        <v/>
      </c>
      <c r="AL235" s="1019"/>
      <c r="AM235" s="31"/>
      <c r="AN235" s="1027"/>
      <c r="AO235" s="13">
        <v>154</v>
      </c>
      <c r="AP235" s="74"/>
      <c r="AQ235" s="75"/>
    </row>
    <row r="236" spans="1:43" ht="27" hidden="1" thickBot="1" x14ac:dyDescent="0.45">
      <c r="A236" s="931"/>
      <c r="B236" s="169" t="s">
        <v>859</v>
      </c>
      <c r="C236" s="572" t="s">
        <v>878</v>
      </c>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c r="AA236" s="175"/>
      <c r="AB236" s="344"/>
      <c r="AC236" s="344"/>
      <c r="AD236" s="344"/>
      <c r="AE236" s="344"/>
      <c r="AF236" s="344"/>
      <c r="AG236" s="344"/>
      <c r="AH236" s="344"/>
      <c r="AI236" s="344"/>
      <c r="AJ236" s="66">
        <f t="shared" si="62"/>
        <v>0</v>
      </c>
      <c r="AK236" s="130"/>
      <c r="AL236" s="1019"/>
      <c r="AM236" s="31"/>
      <c r="AN236" s="1027"/>
      <c r="AO236" s="13">
        <v>155</v>
      </c>
      <c r="AP236" s="74"/>
      <c r="AQ236" s="75"/>
    </row>
    <row r="237" spans="1:43" ht="27" hidden="1" thickBot="1" x14ac:dyDescent="0.45">
      <c r="A237" s="931"/>
      <c r="B237" s="169" t="s">
        <v>860</v>
      </c>
      <c r="C237" s="572" t="s">
        <v>879</v>
      </c>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344"/>
      <c r="AC237" s="344"/>
      <c r="AD237" s="344"/>
      <c r="AE237" s="344"/>
      <c r="AF237" s="344"/>
      <c r="AG237" s="344"/>
      <c r="AH237" s="344"/>
      <c r="AI237" s="344"/>
      <c r="AJ237" s="66">
        <f t="shared" si="62"/>
        <v>0</v>
      </c>
      <c r="AK237" s="30" t="str">
        <f>CONCATENATE(IF(D238&gt;D237," * IPD  Physical Violence Initiated Pep "&amp;$D$20&amp;" "&amp;$D$21&amp;" is more than IPD Physical Violence Rape Survivors"&amp;CHAR(10),""),IF(E238&gt;E237," * IPD  Physical Violence Initiated Pep "&amp;$D$20&amp;" "&amp;$E$21&amp;" is more than IPD Physical Violence Rape Survivors"&amp;CHAR(10),""),IF(F238&gt;F237," * IPD  Physical Violence Initiated Pep "&amp;$F$20&amp;" "&amp;$F$21&amp;" is more than IPD Physical Violence Rape Survivors"&amp;CHAR(10),""),IF(G238&gt;G237," * IPD  Physical Violence Initiated Pep "&amp;$F$20&amp;" "&amp;$G$21&amp;" is more than IPD Physical Violence Rape Survivors"&amp;CHAR(10),""),IF(H238&gt;H237," * IPD  Physical Violence Initiated Pep "&amp;$H$20&amp;" "&amp;$H$21&amp;" is more than IPD Physical Violence Rape Survivors"&amp;CHAR(10),""),IF(I238&gt;I237," * IPD  Physical Violence Initiated Pep "&amp;$H$20&amp;" "&amp;$I$21&amp;" is more than IPD Physical Violence Rape Survivors"&amp;CHAR(10),""),IF(J238&gt;J237," * IPD  Physical Violence Initiated Pep "&amp;$J$20&amp;" "&amp;$J$21&amp;" is more than IPD Physical Violence Rape Survivors"&amp;CHAR(10),""),IF(K238&gt;K237," * IPD  Physical Violence Initiated Pep "&amp;$J$20&amp;" "&amp;$K$21&amp;" is more than IPD Physical Violence Rape Survivors"&amp;CHAR(10),""),IF(L238&gt;L237," * IPD  Physical Violence Initiated Pep "&amp;$L$20&amp;" "&amp;$L$21&amp;" is more than IPD Physical Violence Rape Survivors"&amp;CHAR(10),""),IF(M238&gt;M237," * IPD  Physical Violence Initiated Pep "&amp;$L$20&amp;" "&amp;$M$21&amp;" is more than IPD Physical Violence Rape Survivors"&amp;CHAR(10),""),IF(N238&gt;N237," * IPD  Physical Violence Initiated Pep "&amp;$N$20&amp;" "&amp;$N$21&amp;" is more than IPD Physical Violence Rape Survivors"&amp;CHAR(10),""),IF(O238&gt;O237," * IPD  Physical Violence Initiated Pep "&amp;$N$20&amp;" "&amp;$O$21&amp;" is more than IPD Physical Violence Rape Survivors"&amp;CHAR(10),""),IF(P238&gt;P237," * IPD  Physical Violence Initiated Pep "&amp;$P$20&amp;" "&amp;$P$21&amp;" is more than IPD Physical Violence Rape Survivors"&amp;CHAR(10),""),IF(Q238&gt;Q237," * IPD  Physical Violence Initiated Pep "&amp;$P$20&amp;" "&amp;$Q$21&amp;" is more than IPD Physical Violence Rape Survivors"&amp;CHAR(10),""),IF(R238&gt;R237," * IPD  Physical Violence Initiated Pep "&amp;$R$20&amp;" "&amp;$R$21&amp;" is more than IPD Physical Violence Rape Survivors"&amp;CHAR(10),""),IF(S238&gt;S237," * IPD  Physical Violence Initiated Pep "&amp;$R$20&amp;" "&amp;$S$21&amp;" is more than IPD Physical Violence Rape Survivors"&amp;CHAR(10),""),IF(T238&gt;T237," * IPD  Physical Violence Initiated Pep "&amp;$T$20&amp;" "&amp;$T$21&amp;" is more than IPD Physical Violence Rape Survivors"&amp;CHAR(10),""),IF(U238&gt;U237," * IPD  Physical Violence Initiated Pep "&amp;$T$20&amp;" "&amp;$U$21&amp;" is more than IPD Physical Violence Rape Survivors"&amp;CHAR(10),""),IF(V238&gt;V237," * IPD  Physical Violence Initiated Pep "&amp;$V$20&amp;" "&amp;$V$21&amp;" is more than IPD Physical Violence Rape Survivors"&amp;CHAR(10),""),IF(W238&gt;W237," * IPD  Physical Violence Initiated Pep "&amp;$V$20&amp;" "&amp;$W$21&amp;" is more than IPD Physical Violence Rape Survivors"&amp;CHAR(10),""),IF(X238&gt;X237," * IPD  Physical Violence Initiated Pep "&amp;$X$20&amp;" "&amp;$X$21&amp;" is more than IPD Physical Violence Rape Survivors"&amp;CHAR(10),""),IF(Y238&gt;Y237," * IPD  Physical Violence Initiated Pep "&amp;$X$20&amp;" "&amp;$Y$21&amp;" is more than IPD Physical Violence Rape Survivors"&amp;CHAR(10),""),IF(Z238&gt;Z237," * IPD  Physical Violence Initiated Pep "&amp;$Z$20&amp;" "&amp;$Z$21&amp;" is more than IPD Physical Violence Rape Survivors"&amp;CHAR(10),""),IF(AA238&gt;AA237," * IPD  Physical Violence Initiated Pep "&amp;$Z$20&amp;" "&amp;$AA$21&amp;" is more than IPD Physical Violence Rape Survivors"&amp;CHAR(10),""))</f>
        <v/>
      </c>
      <c r="AL237" s="1019"/>
      <c r="AM237" s="31"/>
      <c r="AN237" s="1027"/>
      <c r="AO237" s="13">
        <v>156</v>
      </c>
      <c r="AP237" s="74"/>
      <c r="AQ237" s="75"/>
    </row>
    <row r="238" spans="1:43" ht="27" hidden="1" thickBot="1" x14ac:dyDescent="0.45">
      <c r="A238" s="931"/>
      <c r="B238" s="169" t="s">
        <v>861</v>
      </c>
      <c r="C238" s="572" t="s">
        <v>880</v>
      </c>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c r="AA238" s="175"/>
      <c r="AB238" s="344"/>
      <c r="AC238" s="344"/>
      <c r="AD238" s="344"/>
      <c r="AE238" s="344"/>
      <c r="AF238" s="344"/>
      <c r="AG238" s="344"/>
      <c r="AH238" s="344"/>
      <c r="AI238" s="344"/>
      <c r="AJ238" s="66">
        <f t="shared" si="62"/>
        <v>0</v>
      </c>
      <c r="AK238" s="130"/>
      <c r="AL238" s="1019"/>
      <c r="AM238" s="31"/>
      <c r="AN238" s="1027"/>
      <c r="AO238" s="13">
        <v>157</v>
      </c>
      <c r="AP238" s="74"/>
      <c r="AQ238" s="75"/>
    </row>
    <row r="239" spans="1:43" ht="27" hidden="1" thickBot="1" x14ac:dyDescent="0.45">
      <c r="A239" s="931"/>
      <c r="B239" s="169" t="s">
        <v>862</v>
      </c>
      <c r="C239" s="572" t="s">
        <v>881</v>
      </c>
      <c r="D239" s="176"/>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c r="AA239" s="177"/>
      <c r="AB239" s="344"/>
      <c r="AC239" s="344"/>
      <c r="AD239" s="344"/>
      <c r="AE239" s="344"/>
      <c r="AF239" s="344"/>
      <c r="AG239" s="344"/>
      <c r="AH239" s="344"/>
      <c r="AI239" s="344"/>
      <c r="AJ239" s="52">
        <f t="shared" si="62"/>
        <v>0</v>
      </c>
      <c r="AK239" s="130"/>
      <c r="AL239" s="1019"/>
      <c r="AM239" s="31"/>
      <c r="AN239" s="1027"/>
      <c r="AO239" s="13">
        <v>158</v>
      </c>
      <c r="AP239" s="74"/>
      <c r="AQ239" s="75"/>
    </row>
    <row r="240" spans="1:43" ht="27" hidden="1" thickBot="1" x14ac:dyDescent="0.45">
      <c r="A240" s="932"/>
      <c r="B240" s="178" t="s">
        <v>897</v>
      </c>
      <c r="C240" s="573" t="s">
        <v>882</v>
      </c>
      <c r="D240" s="179"/>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c r="AA240" s="181"/>
      <c r="AB240" s="344"/>
      <c r="AC240" s="344"/>
      <c r="AD240" s="344"/>
      <c r="AE240" s="344"/>
      <c r="AF240" s="344"/>
      <c r="AG240" s="344"/>
      <c r="AH240" s="344"/>
      <c r="AI240" s="344"/>
      <c r="AJ240" s="52">
        <f t="shared" si="62"/>
        <v>0</v>
      </c>
      <c r="AK240" s="130"/>
      <c r="AL240" s="1044"/>
      <c r="AM240" s="73"/>
      <c r="AN240" s="1027"/>
      <c r="AO240" s="13">
        <v>159</v>
      </c>
      <c r="AP240" s="74"/>
      <c r="AQ240" s="75"/>
    </row>
    <row r="241" spans="1:43" ht="27" hidden="1" thickBot="1" x14ac:dyDescent="0.45">
      <c r="A241" s="930" t="s">
        <v>866</v>
      </c>
      <c r="B241" s="167" t="s">
        <v>909</v>
      </c>
      <c r="C241" s="574" t="s">
        <v>883</v>
      </c>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345"/>
      <c r="AC241" s="345"/>
      <c r="AD241" s="345"/>
      <c r="AE241" s="345"/>
      <c r="AF241" s="345"/>
      <c r="AG241" s="345"/>
      <c r="AH241" s="345"/>
      <c r="AI241" s="345"/>
      <c r="AJ241" s="52">
        <f t="shared" si="62"/>
        <v>0</v>
      </c>
      <c r="AK241" s="30" t="str">
        <f>CONCATENATE(IF(D242&gt;D241," * No Screened for GBV "&amp;$D$20&amp;" "&amp;$D$21&amp;" is more than Clients Seen at CCC"&amp;CHAR(10),""),IF(E242&gt;E241," * No Screened For GBV "&amp;$D$20&amp;" "&amp;$E$21&amp;" is more than Clients Seen at CCC"&amp;CHAR(10),""),IF(F242&gt;F241," * No Screened For GBV "&amp;$F$20&amp;" "&amp;$F$21&amp;" is more than Clients Seen at CCC"&amp;CHAR(10),""),IF(G242&gt;G241," * No Screened For GBV "&amp;$F$20&amp;" "&amp;$G$21&amp;" is more than Clients Seen at CCC"&amp;CHAR(10),""),IF(H242&gt;H241," * No Screened For GBV "&amp;$H$20&amp;" "&amp;$H$21&amp;" is more than Clients Seen at CCC"&amp;CHAR(10),""),IF(I242&gt;I241," * No Screened For GBV "&amp;$H$20&amp;" "&amp;$I$21&amp;" is more than Clients Seen at CCC"&amp;CHAR(10),""),IF(J242&gt;J241," * No Screened For GBV "&amp;$J$20&amp;" "&amp;$J$21&amp;" is more than Clients Seen at CCC"&amp;CHAR(10),""),IF(K242&gt;K241," * No Screened For GBV "&amp;$J$20&amp;" "&amp;$K$21&amp;" is more than Clients Seen at CCC"&amp;CHAR(10),""),IF(L242&gt;L241," * No Screened For GBV "&amp;$L$20&amp;" "&amp;$L$21&amp;" is more than Clients Seen at CCC"&amp;CHAR(10),""),IF(M242&gt;M241," * No Screened For GBV "&amp;$L$20&amp;" "&amp;$M$21&amp;" is more than Clients Seen at CCC"&amp;CHAR(10),""),IF(N242&gt;N241," * No Screened For GBV "&amp;$N$20&amp;" "&amp;$N$21&amp;" is more than Clients Seen at CCC"&amp;CHAR(10),""),IF(O242&gt;O241," * No Screened For GBV "&amp;$N$20&amp;" "&amp;$O$21&amp;" is more than Clients Seen at CCC"&amp;CHAR(10),""),IF(P242&gt;P241," * No Screened For GBV "&amp;$P$20&amp;" "&amp;$P$21&amp;" is more than Clients Seen at CCC"&amp;CHAR(10),""),IF(Q242&gt;Q241," * No Screened For GBV "&amp;$P$20&amp;" "&amp;$Q$21&amp;" is more than Clients Seen at CCC"&amp;CHAR(10),""),IF(R242&gt;R241," * No Screened For GBV "&amp;$R$20&amp;" "&amp;$R$21&amp;" is more than Clients Seen at CCC"&amp;CHAR(10),""),IF(S242&gt;S241," * No Screened For GBV "&amp;$R$20&amp;" "&amp;$S$21&amp;" is more than Clients Seen at CCC"&amp;CHAR(10),""),IF(T242&gt;T241," * No Screened For GBV "&amp;$T$20&amp;" "&amp;$T$21&amp;" is more than Clients Seen at CCC"&amp;CHAR(10),""),IF(U242&gt;U241," * No Screened For GBV "&amp;$T$20&amp;" "&amp;$U$21&amp;" is more than Clients Seen at CCC"&amp;CHAR(10),""),IF(V242&gt;V241," * No Screened For GBV "&amp;$V$20&amp;" "&amp;$V$21&amp;" is more than Clients Seen at CCC"&amp;CHAR(10),""),IF(W242&gt;W241," * No Screened For GBV "&amp;$V$20&amp;" "&amp;$W$21&amp;" is more than Clients Seen at CCC"&amp;CHAR(10),""),IF(X242&gt;X241," * No Screened For GBV "&amp;$X$20&amp;" "&amp;$X$21&amp;" is more than Clients Seen at CCC"&amp;CHAR(10),""),IF(Y242&gt;Y241," * No Screened For GBV "&amp;$X$20&amp;" "&amp;$Y$21&amp;" is more than Clients Seen at CCC"&amp;CHAR(10),""),IF(Z242&gt;Z241," * No Screened For GBV "&amp;$Z$20&amp;" "&amp;$Z$21&amp;" is more than Clients Seen at CCC"&amp;CHAR(10),""),IF(AA242&gt;AA241," * No Screened For GBV "&amp;$Z$20&amp;" "&amp;$AA$21&amp;" is more than Clients Seen at CCC"&amp;CHAR(10),""))</f>
        <v/>
      </c>
      <c r="AL241" s="1018" t="str">
        <f>CONCATENATE(AK241,AK242,AK243,AK244,AK245,AK246,AK247,AK248,AK249)</f>
        <v/>
      </c>
      <c r="AM241" s="73"/>
      <c r="AN241" s="1027"/>
      <c r="AO241" s="13">
        <v>160</v>
      </c>
      <c r="AP241" s="74"/>
      <c r="AQ241" s="75"/>
    </row>
    <row r="242" spans="1:43" ht="27" hidden="1" thickBot="1" x14ac:dyDescent="0.45">
      <c r="A242" s="931"/>
      <c r="B242" s="169" t="s">
        <v>904</v>
      </c>
      <c r="C242" s="572" t="s">
        <v>884</v>
      </c>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c r="AB242" s="344"/>
      <c r="AC242" s="344"/>
      <c r="AD242" s="344"/>
      <c r="AE242" s="344"/>
      <c r="AF242" s="344"/>
      <c r="AG242" s="344"/>
      <c r="AH242" s="344"/>
      <c r="AI242" s="344"/>
      <c r="AJ242" s="52">
        <f t="shared" si="62"/>
        <v>0</v>
      </c>
      <c r="AK242" s="130"/>
      <c r="AL242" s="1019"/>
      <c r="AM242" s="31"/>
      <c r="AN242" s="1027"/>
      <c r="AO242" s="13">
        <v>161</v>
      </c>
      <c r="AP242" s="74"/>
      <c r="AQ242" s="75"/>
    </row>
    <row r="243" spans="1:43" ht="27" hidden="1" thickBot="1" x14ac:dyDescent="0.45">
      <c r="A243" s="931"/>
      <c r="B243" s="171" t="s">
        <v>912</v>
      </c>
      <c r="C243" s="572" t="s">
        <v>885</v>
      </c>
      <c r="D243" s="172">
        <f>D244+D246+D248+D249</f>
        <v>0</v>
      </c>
      <c r="E243" s="172">
        <f t="shared" ref="E243" si="86">E244+E246+E248+E249</f>
        <v>0</v>
      </c>
      <c r="F243" s="172">
        <f t="shared" ref="F243" si="87">F244+F246+F248+F249</f>
        <v>0</v>
      </c>
      <c r="G243" s="172">
        <f t="shared" ref="G243" si="88">G244+G246+G248+G249</f>
        <v>0</v>
      </c>
      <c r="H243" s="172">
        <f t="shared" ref="H243" si="89">H244+H246+H248+H249</f>
        <v>0</v>
      </c>
      <c r="I243" s="172">
        <f t="shared" ref="I243" si="90">I244+I246+I248+I249</f>
        <v>0</v>
      </c>
      <c r="J243" s="172">
        <f t="shared" ref="J243" si="91">J244+J246+J248+J249</f>
        <v>0</v>
      </c>
      <c r="K243" s="172">
        <f t="shared" ref="K243" si="92">K244+K246+K248+K249</f>
        <v>0</v>
      </c>
      <c r="L243" s="172">
        <f t="shared" ref="L243" si="93">L244+L246+L248+L249</f>
        <v>0</v>
      </c>
      <c r="M243" s="172">
        <f t="shared" ref="M243" si="94">M244+M246+M248+M249</f>
        <v>0</v>
      </c>
      <c r="N243" s="172">
        <f t="shared" ref="N243" si="95">N244+N246+N248+N249</f>
        <v>0</v>
      </c>
      <c r="O243" s="172">
        <f t="shared" ref="O243" si="96">O244+O246+O248+O249</f>
        <v>0</v>
      </c>
      <c r="P243" s="172">
        <f t="shared" ref="P243" si="97">P244+P246+P248+P249</f>
        <v>0</v>
      </c>
      <c r="Q243" s="172">
        <f t="shared" ref="Q243" si="98">Q244+Q246+Q248+Q249</f>
        <v>0</v>
      </c>
      <c r="R243" s="172">
        <f t="shared" ref="R243" si="99">R244+R246+R248+R249</f>
        <v>0</v>
      </c>
      <c r="S243" s="172">
        <f t="shared" ref="S243" si="100">S244+S246+S248+S249</f>
        <v>0</v>
      </c>
      <c r="T243" s="172">
        <f t="shared" ref="T243" si="101">T244+T246+T248+T249</f>
        <v>0</v>
      </c>
      <c r="U243" s="172">
        <f t="shared" ref="U243" si="102">U244+U246+U248+U249</f>
        <v>0</v>
      </c>
      <c r="V243" s="172">
        <f t="shared" ref="V243" si="103">V244+V246+V248+V249</f>
        <v>0</v>
      </c>
      <c r="W243" s="172">
        <f t="shared" ref="W243" si="104">W244+W246+W248+W249</f>
        <v>0</v>
      </c>
      <c r="X243" s="172">
        <f t="shared" ref="X243" si="105">X244+X246+X248+X249</f>
        <v>0</v>
      </c>
      <c r="Y243" s="172">
        <f t="shared" ref="Y243" si="106">Y244+Y246+Y248+Y249</f>
        <v>0</v>
      </c>
      <c r="Z243" s="172">
        <f t="shared" ref="Z243" si="107">Z244+Z246+Z248+Z249</f>
        <v>0</v>
      </c>
      <c r="AA243" s="172">
        <f t="shared" ref="AA243" si="108">AA244+AA246+AA248+AA249</f>
        <v>0</v>
      </c>
      <c r="AB243" s="343"/>
      <c r="AC243" s="343"/>
      <c r="AD243" s="343"/>
      <c r="AE243" s="343"/>
      <c r="AF243" s="343"/>
      <c r="AG243" s="343"/>
      <c r="AH243" s="343"/>
      <c r="AI243" s="343"/>
      <c r="AJ243" s="52">
        <f t="shared" si="62"/>
        <v>0</v>
      </c>
      <c r="AK243" s="130"/>
      <c r="AL243" s="1019"/>
      <c r="AM243" s="31"/>
      <c r="AN243" s="1027"/>
      <c r="AO243" s="13">
        <v>162</v>
      </c>
      <c r="AP243" s="74"/>
      <c r="AQ243" s="75"/>
    </row>
    <row r="244" spans="1:43" ht="27" hidden="1" thickBot="1" x14ac:dyDescent="0.45">
      <c r="A244" s="931"/>
      <c r="B244" s="169" t="s">
        <v>858</v>
      </c>
      <c r="C244" s="572" t="s">
        <v>886</v>
      </c>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344"/>
      <c r="AC244" s="344"/>
      <c r="AD244" s="344"/>
      <c r="AE244" s="344"/>
      <c r="AF244" s="344"/>
      <c r="AG244" s="344"/>
      <c r="AH244" s="344"/>
      <c r="AI244" s="344"/>
      <c r="AJ244" s="52">
        <f t="shared" si="62"/>
        <v>0</v>
      </c>
      <c r="AK244" s="30" t="str">
        <f>CONCATENATE(IF(D245&gt;D244," * CCC Sexual Violence Initiated Pep "&amp;$D$20&amp;" "&amp;$D$21&amp;" is more than CCC Sexual Violence Rape Survivors"&amp;CHAR(10),""),IF(E245&gt;E244," * CCC Sexual Violence Initiated Pep "&amp;$D$20&amp;" "&amp;$E$21&amp;" is more than CCC Sexual Violence Rape Survivors"&amp;CHAR(10),""),IF(F245&gt;F244," * CCC Sexual Violence Initiated Pep "&amp;$F$20&amp;" "&amp;$F$21&amp;" is more than CCC Sexual Violence Rape Survivors"&amp;CHAR(10),""),IF(G245&gt;G244," * CCC Sexual Violence Initiated Pep "&amp;$F$20&amp;" "&amp;$G$21&amp;" is more than CCC Sexual Violence Rape Survivors"&amp;CHAR(10),""),IF(H245&gt;H244," * CCC Sexual Violence Initiated Pep "&amp;$H$20&amp;" "&amp;$H$21&amp;" is more than CCC Sexual Violence Rape Survivors"&amp;CHAR(10),""),IF(I245&gt;I244," * CCC Sexual Violence Initiated Pep "&amp;$H$20&amp;" "&amp;$I$21&amp;" is more than CCC Sexual Violence Rape Survivors"&amp;CHAR(10),""),IF(J245&gt;J244," * CCC Sexual Violence Initiated Pep "&amp;$J$20&amp;" "&amp;$J$21&amp;" is more than CCC Sexual Violence Rape Survivors"&amp;CHAR(10),""),IF(K245&gt;K244," * CCC Sexual Violence Initiated Pep "&amp;$J$20&amp;" "&amp;$K$21&amp;" is more than CCC Sexual Violence Rape Survivors"&amp;CHAR(10),""),IF(L245&gt;L244," * CCC Sexual Violence Initiated Pep "&amp;$L$20&amp;" "&amp;$L$21&amp;" is more than CCC Sexual Violence Rape Survivors"&amp;CHAR(10),""),IF(M245&gt;M244," * CCC Sexual Violence Initiated Pep "&amp;$L$20&amp;" "&amp;$M$21&amp;" is more than CCC Sexual Violence Rape Survivors"&amp;CHAR(10),""),IF(N245&gt;N244," * CCC Sexual Violence Initiated Pep "&amp;$N$20&amp;" "&amp;$N$21&amp;" is more than CCC Sexual Violence Rape Survivors"&amp;CHAR(10),""),IF(O245&gt;O244," * CCC Sexual Violence Initiated Pep "&amp;$N$20&amp;" "&amp;$O$21&amp;" is more than CCC Sexual Violence Rape Survivors"&amp;CHAR(10),""),IF(P245&gt;P244," * CCC Sexual Violence Initiated Pep "&amp;$P$20&amp;" "&amp;$P$21&amp;" is more than CCC Sexual Violence Rape Survivors"&amp;CHAR(10),""),IF(Q245&gt;Q244," * CCC Sexual Violence Initiated Pep "&amp;$P$20&amp;" "&amp;$Q$21&amp;" is more than CCC Sexual Violence Rape Survivors"&amp;CHAR(10),""),IF(R245&gt;R244," * CCC Sexual Violence Initiated Pep "&amp;$R$20&amp;" "&amp;$R$21&amp;" is more than CCC Sexual Violence Rape Survivors"&amp;CHAR(10),""),IF(S245&gt;S244," * CCC Sexual Violence Initiated Pep "&amp;$R$20&amp;" "&amp;$S$21&amp;" is more than CCC Sexual Violence Rape Survivors"&amp;CHAR(10),""),IF(T245&gt;T244," * CCC Sexual Violence Initiated Pep "&amp;$T$20&amp;" "&amp;$T$21&amp;" is more than CCC Sexual Violence Rape Survivors"&amp;CHAR(10),""),IF(U245&gt;U244," * CCC Sexual Violence Initiated Pep "&amp;$T$20&amp;" "&amp;$U$21&amp;" is more than CCC Sexual Violence Rape Survivors"&amp;CHAR(10),""),IF(V245&gt;V244," * CCC Sexual Violence Initiated Pep "&amp;$V$20&amp;" "&amp;$V$21&amp;" is more than CCC Sexual Violence Rape Survivors"&amp;CHAR(10),""),IF(W245&gt;W244," * CCC Sexual Violence Initiated Pep "&amp;$V$20&amp;" "&amp;$W$21&amp;" is more than CCC Sexual Violence Rape Survivors"&amp;CHAR(10),""),IF(X245&gt;X244," * CCC Sexual Violence Initiated Pep "&amp;$X$20&amp;" "&amp;$X$21&amp;" is more than CCC Sexual Violence Rape Survivors"&amp;CHAR(10),""),IF(Y245&gt;Y244," * CCC Sexual Violence Initiated Pep "&amp;$X$20&amp;" "&amp;$Y$21&amp;" is more than CCC Sexual Violence Rape Survivors"&amp;CHAR(10),""),IF(Z245&gt;Z244," * CCC Sexual Violence Initiated Pep "&amp;$Z$20&amp;" "&amp;$Z$21&amp;" is more than CCC Sexual Violence Rape Survivors"&amp;CHAR(10),""),IF(AA245&gt;AA244," * CCC Sexual Violence Initiated Pep "&amp;$Z$20&amp;" "&amp;$AA$21&amp;" is more than CCC Sexual Violence Rape Survivors"&amp;CHAR(10),""))</f>
        <v/>
      </c>
      <c r="AL244" s="1019"/>
      <c r="AM244" s="31"/>
      <c r="AN244" s="1027"/>
      <c r="AO244" s="13">
        <v>163</v>
      </c>
      <c r="AP244" s="74"/>
      <c r="AQ244" s="75"/>
    </row>
    <row r="245" spans="1:43" ht="27" hidden="1" thickBot="1" x14ac:dyDescent="0.45">
      <c r="A245" s="931"/>
      <c r="B245" s="169" t="s">
        <v>859</v>
      </c>
      <c r="C245" s="572" t="s">
        <v>887</v>
      </c>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5"/>
      <c r="AB245" s="344"/>
      <c r="AC245" s="344"/>
      <c r="AD245" s="344"/>
      <c r="AE245" s="344"/>
      <c r="AF245" s="344"/>
      <c r="AG245" s="344"/>
      <c r="AH245" s="344"/>
      <c r="AI245" s="344"/>
      <c r="AJ245" s="52">
        <f t="shared" si="62"/>
        <v>0</v>
      </c>
      <c r="AK245" s="130"/>
      <c r="AL245" s="1019"/>
      <c r="AM245" s="31"/>
      <c r="AN245" s="1027"/>
      <c r="AO245" s="13">
        <v>164</v>
      </c>
      <c r="AP245" s="74"/>
      <c r="AQ245" s="75"/>
    </row>
    <row r="246" spans="1:43" ht="27" hidden="1" thickBot="1" x14ac:dyDescent="0.45">
      <c r="A246" s="931"/>
      <c r="B246" s="169" t="s">
        <v>860</v>
      </c>
      <c r="C246" s="572" t="s">
        <v>888</v>
      </c>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344"/>
      <c r="AC246" s="344"/>
      <c r="AD246" s="344"/>
      <c r="AE246" s="344"/>
      <c r="AF246" s="344"/>
      <c r="AG246" s="344"/>
      <c r="AH246" s="344"/>
      <c r="AI246" s="344"/>
      <c r="AJ246" s="52">
        <f t="shared" si="62"/>
        <v>0</v>
      </c>
      <c r="AK246" s="30" t="str">
        <f>CONCATENATE(IF(D247&gt;D246," * CCC  Physical Violence Initiated Pep "&amp;$D$20&amp;" "&amp;$D$21&amp;" is more than CCC Physical Violence Rape Survivors"&amp;CHAR(10),""),IF(E247&gt;E246," * CCC  Physical Violence Initiated Pep "&amp;$D$20&amp;" "&amp;$E$21&amp;" is more than CCC Physical Violence Rape Survivors"&amp;CHAR(10),""),IF(F247&gt;F246," * CCC  Physical Violence Initiated Pep "&amp;$F$20&amp;" "&amp;$F$21&amp;" is more than CCC Physical Violence Rape Survivors"&amp;CHAR(10),""),IF(G247&gt;G246," * CCC  Physical Violence Initiated Pep "&amp;$F$20&amp;" "&amp;$G$21&amp;" is more than CCC Physical Violence Rape Survivors"&amp;CHAR(10),""),IF(H247&gt;H246," * CCC  Physical Violence Initiated Pep "&amp;$H$20&amp;" "&amp;$H$21&amp;" is more than CCC Physical Violence Rape Survivors"&amp;CHAR(10),""),IF(I247&gt;I246," * CCC  Physical Violence Initiated Pep "&amp;$H$20&amp;" "&amp;$I$21&amp;" is more than CCC Physical Violence Rape Survivors"&amp;CHAR(10),""),IF(J247&gt;J246," * CCC  Physical Violence Initiated Pep "&amp;$J$20&amp;" "&amp;$J$21&amp;" is more than CCC Physical Violence Rape Survivors"&amp;CHAR(10),""),IF(K247&gt;K246," * CCC  Physical Violence Initiated Pep "&amp;$J$20&amp;" "&amp;$K$21&amp;" is more than CCC Physical Violence Rape Survivors"&amp;CHAR(10),""),IF(L247&gt;L246," * CCC  Physical Violence Initiated Pep "&amp;$L$20&amp;" "&amp;$L$21&amp;" is more than CCC Physical Violence Rape Survivors"&amp;CHAR(10),""),IF(M247&gt;M246," * CCC  Physical Violence Initiated Pep "&amp;$L$20&amp;" "&amp;$M$21&amp;" is more than CCC Physical Violence Rape Survivors"&amp;CHAR(10),""),IF(N247&gt;N246," * CCC  Physical Violence Initiated Pep "&amp;$N$20&amp;" "&amp;$N$21&amp;" is more than CCC Physical Violence Rape Survivors"&amp;CHAR(10),""),IF(O247&gt;O246," * CCC  Physical Violence Initiated Pep "&amp;$N$20&amp;" "&amp;$O$21&amp;" is more than CCC Physical Violence Rape Survivors"&amp;CHAR(10),""),IF(P247&gt;P246," * CCC  Physical Violence Initiated Pep "&amp;$P$20&amp;" "&amp;$P$21&amp;" is more than CCC Physical Violence Rape Survivors"&amp;CHAR(10),""),IF(Q247&gt;Q246," * CCC  Physical Violence Initiated Pep "&amp;$P$20&amp;" "&amp;$Q$21&amp;" is more than CCC Physical Violence Rape Survivors"&amp;CHAR(10),""),IF(R247&gt;R246," * CCC  Physical Violence Initiated Pep "&amp;$R$20&amp;" "&amp;$R$21&amp;" is more than CCC Physical Violence Rape Survivors"&amp;CHAR(10),""),IF(S247&gt;S246," * CCC  Physical Violence Initiated Pep "&amp;$R$20&amp;" "&amp;$S$21&amp;" is more than CCC Physical Violence Rape Survivors"&amp;CHAR(10),""),IF(T247&gt;T246," * CCC  Physical Violence Initiated Pep "&amp;$T$20&amp;" "&amp;$T$21&amp;" is more than CCC Physical Violence Rape Survivors"&amp;CHAR(10),""),IF(U247&gt;U246," * CCC  Physical Violence Initiated Pep "&amp;$T$20&amp;" "&amp;$U$21&amp;" is more than CCC Physical Violence Rape Survivors"&amp;CHAR(10),""),IF(V247&gt;V246," * CCC  Physical Violence Initiated Pep "&amp;$V$20&amp;" "&amp;$V$21&amp;" is more than CCC Physical Violence Rape Survivors"&amp;CHAR(10),""),IF(W247&gt;W246," * CCC  Physical Violence Initiated Pep "&amp;$V$20&amp;" "&amp;$W$21&amp;" is more than CCC Physical Violence Rape Survivors"&amp;CHAR(10),""),IF(X247&gt;X246," * CCC  Physical Violence Initiated Pep "&amp;$X$20&amp;" "&amp;$X$21&amp;" is more than CCC Physical Violence Rape Survivors"&amp;CHAR(10),""),IF(Y247&gt;Y246," * CCC  Physical Violence Initiated Pep "&amp;$X$20&amp;" "&amp;$Y$21&amp;" is more than CCC Physical Violence Rape Survivors"&amp;CHAR(10),""),IF(Z247&gt;Z246," * CCC  Physical Violence Initiated Pep "&amp;$Z$20&amp;" "&amp;$Z$21&amp;" is more than CCC Physical Violence Rape Survivors"&amp;CHAR(10),""),IF(AA247&gt;AA246," * CCC  Physical Violence Initiated Pep "&amp;$Z$20&amp;" "&amp;$AA$21&amp;" is more than CCC Physical Violence Rape Survivors"&amp;CHAR(10),""))</f>
        <v/>
      </c>
      <c r="AL246" s="1019"/>
      <c r="AM246" s="31"/>
      <c r="AN246" s="1027"/>
      <c r="AO246" s="13">
        <v>165</v>
      </c>
      <c r="AP246" s="74"/>
      <c r="AQ246" s="75"/>
    </row>
    <row r="247" spans="1:43" ht="27" hidden="1" thickBot="1" x14ac:dyDescent="0.45">
      <c r="A247" s="931"/>
      <c r="B247" s="169" t="s">
        <v>861</v>
      </c>
      <c r="C247" s="572" t="s">
        <v>889</v>
      </c>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c r="AA247" s="175"/>
      <c r="AB247" s="344"/>
      <c r="AC247" s="344"/>
      <c r="AD247" s="344"/>
      <c r="AE247" s="344"/>
      <c r="AF247" s="344"/>
      <c r="AG247" s="344"/>
      <c r="AH247" s="344"/>
      <c r="AI247" s="344"/>
      <c r="AJ247" s="52">
        <f t="shared" si="62"/>
        <v>0</v>
      </c>
      <c r="AK247" s="130"/>
      <c r="AL247" s="1019"/>
      <c r="AM247" s="31"/>
      <c r="AN247" s="1027"/>
      <c r="AO247" s="13">
        <v>166</v>
      </c>
      <c r="AP247" s="74"/>
      <c r="AQ247" s="75"/>
    </row>
    <row r="248" spans="1:43" ht="27" hidden="1" thickBot="1" x14ac:dyDescent="0.45">
      <c r="A248" s="931"/>
      <c r="B248" s="169" t="s">
        <v>862</v>
      </c>
      <c r="C248" s="572" t="s">
        <v>890</v>
      </c>
      <c r="D248" s="176"/>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c r="AA248" s="177"/>
      <c r="AB248" s="344"/>
      <c r="AC248" s="344"/>
      <c r="AD248" s="344"/>
      <c r="AE248" s="344"/>
      <c r="AF248" s="344"/>
      <c r="AG248" s="344"/>
      <c r="AH248" s="344"/>
      <c r="AI248" s="344"/>
      <c r="AJ248" s="52">
        <f t="shared" si="62"/>
        <v>0</v>
      </c>
      <c r="AK248" s="130"/>
      <c r="AL248" s="1019"/>
      <c r="AM248" s="31"/>
      <c r="AN248" s="1027"/>
      <c r="AO248" s="13">
        <v>167</v>
      </c>
      <c r="AP248" s="74"/>
      <c r="AQ248" s="75"/>
    </row>
    <row r="249" spans="1:43" ht="27" hidden="1" thickBot="1" x14ac:dyDescent="0.45">
      <c r="A249" s="932"/>
      <c r="B249" s="178" t="s">
        <v>897</v>
      </c>
      <c r="C249" s="573" t="s">
        <v>891</v>
      </c>
      <c r="D249" s="179"/>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c r="AA249" s="181"/>
      <c r="AB249" s="344"/>
      <c r="AC249" s="344"/>
      <c r="AD249" s="344"/>
      <c r="AE249" s="344"/>
      <c r="AF249" s="344"/>
      <c r="AG249" s="344"/>
      <c r="AH249" s="344"/>
      <c r="AI249" s="344"/>
      <c r="AJ249" s="52">
        <f t="shared" si="62"/>
        <v>0</v>
      </c>
      <c r="AK249" s="130"/>
      <c r="AL249" s="1044"/>
      <c r="AM249" s="73"/>
      <c r="AN249" s="1027"/>
      <c r="AO249" s="13">
        <v>168</v>
      </c>
      <c r="AP249" s="74"/>
      <c r="AQ249" s="75"/>
    </row>
    <row r="250" spans="1:43" ht="27" hidden="1" thickBot="1" x14ac:dyDescent="0.45">
      <c r="A250" s="930" t="s">
        <v>865</v>
      </c>
      <c r="B250" s="167" t="s">
        <v>910</v>
      </c>
      <c r="C250" s="574" t="s">
        <v>892</v>
      </c>
      <c r="D250" s="168">
        <f t="shared" ref="D250:AA250" si="109">D15</f>
        <v>0</v>
      </c>
      <c r="E250" s="168">
        <f t="shared" si="109"/>
        <v>0</v>
      </c>
      <c r="F250" s="168">
        <f t="shared" si="109"/>
        <v>0</v>
      </c>
      <c r="G250" s="168">
        <f t="shared" si="109"/>
        <v>0</v>
      </c>
      <c r="H250" s="168">
        <f t="shared" si="109"/>
        <v>0</v>
      </c>
      <c r="I250" s="168">
        <f t="shared" si="109"/>
        <v>0</v>
      </c>
      <c r="J250" s="168">
        <f t="shared" si="109"/>
        <v>0</v>
      </c>
      <c r="K250" s="168">
        <f t="shared" si="109"/>
        <v>0</v>
      </c>
      <c r="L250" s="168">
        <f t="shared" si="109"/>
        <v>0</v>
      </c>
      <c r="M250" s="168">
        <f t="shared" si="109"/>
        <v>0</v>
      </c>
      <c r="N250" s="168">
        <f t="shared" si="109"/>
        <v>0</v>
      </c>
      <c r="O250" s="168">
        <f t="shared" si="109"/>
        <v>0</v>
      </c>
      <c r="P250" s="168">
        <f t="shared" si="109"/>
        <v>0</v>
      </c>
      <c r="Q250" s="168">
        <f t="shared" si="109"/>
        <v>0</v>
      </c>
      <c r="R250" s="168">
        <f t="shared" si="109"/>
        <v>0</v>
      </c>
      <c r="S250" s="168">
        <f t="shared" si="109"/>
        <v>0</v>
      </c>
      <c r="T250" s="168">
        <f t="shared" si="109"/>
        <v>0</v>
      </c>
      <c r="U250" s="168">
        <f t="shared" si="109"/>
        <v>0</v>
      </c>
      <c r="V250" s="168">
        <f t="shared" si="109"/>
        <v>0</v>
      </c>
      <c r="W250" s="168">
        <f t="shared" si="109"/>
        <v>0</v>
      </c>
      <c r="X250" s="168">
        <f t="shared" si="109"/>
        <v>0</v>
      </c>
      <c r="Y250" s="168">
        <f t="shared" si="109"/>
        <v>0</v>
      </c>
      <c r="Z250" s="168">
        <f t="shared" si="109"/>
        <v>0</v>
      </c>
      <c r="AA250" s="168">
        <f t="shared" si="109"/>
        <v>0</v>
      </c>
      <c r="AB250" s="346"/>
      <c r="AC250" s="346"/>
      <c r="AD250" s="346"/>
      <c r="AE250" s="346"/>
      <c r="AF250" s="346"/>
      <c r="AG250" s="346"/>
      <c r="AH250" s="346"/>
      <c r="AI250" s="346"/>
      <c r="AJ250" s="52">
        <f t="shared" si="62"/>
        <v>0</v>
      </c>
      <c r="AK250" s="30" t="str">
        <f>CONCATENATE(IF(D251&gt;D250," * No Screened for GBV "&amp;$D$20&amp;" "&amp;$D$21&amp;" is more than Clients Seen at MCH"&amp;CHAR(10),""),IF(E251&gt;E250," * No Screened For GBV "&amp;$D$20&amp;" "&amp;$E$21&amp;" is more than Clients Seen at MCH"&amp;CHAR(10),""),IF(F251&gt;F250," * No Screened For GBV "&amp;$F$20&amp;" "&amp;$F$21&amp;" is more than Clients Seen at MCH"&amp;CHAR(10),""),IF(G251&gt;G250," * No Screened For GBV "&amp;$F$20&amp;" "&amp;$G$21&amp;" is more than Clients Seen at MCH"&amp;CHAR(10),""),IF(H251&gt;H250," * No Screened For GBV "&amp;$H$20&amp;" "&amp;$H$21&amp;" is more than Clients Seen at MCH"&amp;CHAR(10),""),IF(I251&gt;I250," * No Screened For GBV "&amp;$H$20&amp;" "&amp;$I$21&amp;" is more than Clients Seen at MCH"&amp;CHAR(10),""),IF(J251&gt;J250," * No Screened For GBV "&amp;$J$20&amp;" "&amp;$J$21&amp;" is more than Clients Seen at MCH"&amp;CHAR(10),""),IF(K251&gt;K250," * No Screened For GBV "&amp;$J$20&amp;" "&amp;$K$21&amp;" is more than Clients Seen at MCH"&amp;CHAR(10),""),IF(L251&gt;L250," * No Screened For GBV "&amp;$L$20&amp;" "&amp;$L$21&amp;" is more than Clients Seen at MCH"&amp;CHAR(10),""),IF(M251&gt;M250," * No Screened For GBV "&amp;$L$20&amp;" "&amp;$M$21&amp;" is more than Clients Seen at MCH"&amp;CHAR(10),""),IF(N251&gt;N250," * No Screened For GBV "&amp;$N$20&amp;" "&amp;$N$21&amp;" is more than Clients Seen at MCH"&amp;CHAR(10),""),IF(O251&gt;O250," * No Screened For GBV "&amp;$N$20&amp;" "&amp;$O$21&amp;" is more than Clients Seen at MCH"&amp;CHAR(10),""),IF(P251&gt;P250," * No Screened For GBV "&amp;$P$20&amp;" "&amp;$P$21&amp;" is more than Clients Seen at MCH"&amp;CHAR(10),""),IF(Q251&gt;Q250," * No Screened For GBV "&amp;$P$20&amp;" "&amp;$Q$21&amp;" is more than Clients Seen at MCH"&amp;CHAR(10),""),IF(R251&gt;R250," * No Screened For GBV "&amp;$R$20&amp;" "&amp;$R$21&amp;" is more than Clients Seen at MCH"&amp;CHAR(10),""),IF(S251&gt;S250," * No Screened For GBV "&amp;$R$20&amp;" "&amp;$S$21&amp;" is more than Clients Seen at MCH"&amp;CHAR(10),""),IF(T251&gt;T250," * No Screened For GBV "&amp;$T$20&amp;" "&amp;$T$21&amp;" is more than Clients Seen at MCH"&amp;CHAR(10),""),IF(U251&gt;U250," * No Screened For GBV "&amp;$T$20&amp;" "&amp;$U$21&amp;" is more than Clients Seen at MCH"&amp;CHAR(10),""),IF(V251&gt;V250," * No Screened For GBV "&amp;$V$20&amp;" "&amp;$V$21&amp;" is more than Clients Seen at MCH"&amp;CHAR(10),""),IF(W251&gt;W250," * No Screened For GBV "&amp;$V$20&amp;" "&amp;$W$21&amp;" is more than Clients Seen at MCH"&amp;CHAR(10),""),IF(X251&gt;X250," * No Screened For GBV "&amp;$X$20&amp;" "&amp;$X$21&amp;" is more than Clients Seen at MCH"&amp;CHAR(10),""),IF(Y251&gt;Y250," * No Screened For GBV "&amp;$X$20&amp;" "&amp;$Y$21&amp;" is more than Clients Seen at MCH"&amp;CHAR(10),""),IF(Z251&gt;Z250," * No Screened For GBV "&amp;$Z$20&amp;" "&amp;$Z$21&amp;" is more than Clients Seen at MCH"&amp;CHAR(10),""),IF(AA251&gt;AA250," * No Screened For GBV "&amp;$Z$20&amp;" "&amp;$AA$21&amp;" is more than Clients Seen at MCH"&amp;CHAR(10),""))</f>
        <v/>
      </c>
      <c r="AL250" s="1018" t="str">
        <f>CONCATENATE(AK250,AK251,AK252,AK253,AK254,AK255,AK256,AK257,AK258)</f>
        <v/>
      </c>
      <c r="AM250" s="73"/>
      <c r="AN250" s="1027"/>
      <c r="AO250" s="13">
        <v>169</v>
      </c>
      <c r="AP250" s="74"/>
      <c r="AQ250" s="75"/>
    </row>
    <row r="251" spans="1:43" ht="27" hidden="1" thickBot="1" x14ac:dyDescent="0.45">
      <c r="A251" s="931"/>
      <c r="B251" s="169" t="s">
        <v>905</v>
      </c>
      <c r="C251" s="572" t="s">
        <v>893</v>
      </c>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c r="AB251" s="344"/>
      <c r="AC251" s="344"/>
      <c r="AD251" s="344"/>
      <c r="AE251" s="344"/>
      <c r="AF251" s="344"/>
      <c r="AG251" s="344"/>
      <c r="AH251" s="344"/>
      <c r="AI251" s="344"/>
      <c r="AJ251" s="52">
        <f t="shared" si="62"/>
        <v>0</v>
      </c>
      <c r="AK251" s="130"/>
      <c r="AL251" s="1019"/>
      <c r="AM251" s="31"/>
      <c r="AN251" s="1027"/>
      <c r="AO251" s="13">
        <v>170</v>
      </c>
      <c r="AP251" s="74"/>
      <c r="AQ251" s="75"/>
    </row>
    <row r="252" spans="1:43" ht="27" hidden="1" thickBot="1" x14ac:dyDescent="0.45">
      <c r="A252" s="931"/>
      <c r="B252" s="171" t="s">
        <v>913</v>
      </c>
      <c r="C252" s="572" t="s">
        <v>894</v>
      </c>
      <c r="D252" s="172">
        <f>D253+D255+D257+D258</f>
        <v>0</v>
      </c>
      <c r="E252" s="172">
        <f t="shared" ref="E252" si="110">E253+E255+E257+E258</f>
        <v>0</v>
      </c>
      <c r="F252" s="172">
        <f t="shared" ref="F252" si="111">F253+F255+F257+F258</f>
        <v>0</v>
      </c>
      <c r="G252" s="172">
        <f t="shared" ref="G252" si="112">G253+G255+G257+G258</f>
        <v>0</v>
      </c>
      <c r="H252" s="172">
        <f t="shared" ref="H252" si="113">H253+H255+H257+H258</f>
        <v>0</v>
      </c>
      <c r="I252" s="172">
        <f t="shared" ref="I252" si="114">I253+I255+I257+I258</f>
        <v>0</v>
      </c>
      <c r="J252" s="172">
        <f t="shared" ref="J252" si="115">J253+J255+J257+J258</f>
        <v>0</v>
      </c>
      <c r="K252" s="172">
        <f t="shared" ref="K252" si="116">K253+K255+K257+K258</f>
        <v>0</v>
      </c>
      <c r="L252" s="172">
        <f t="shared" ref="L252" si="117">L253+L255+L257+L258</f>
        <v>0</v>
      </c>
      <c r="M252" s="172">
        <f t="shared" ref="M252" si="118">M253+M255+M257+M258</f>
        <v>0</v>
      </c>
      <c r="N252" s="172">
        <f t="shared" ref="N252" si="119">N253+N255+N257+N258</f>
        <v>0</v>
      </c>
      <c r="O252" s="172">
        <f t="shared" ref="O252" si="120">O253+O255+O257+O258</f>
        <v>0</v>
      </c>
      <c r="P252" s="172">
        <f t="shared" ref="P252" si="121">P253+P255+P257+P258</f>
        <v>0</v>
      </c>
      <c r="Q252" s="172">
        <f t="shared" ref="Q252" si="122">Q253+Q255+Q257+Q258</f>
        <v>0</v>
      </c>
      <c r="R252" s="172">
        <f t="shared" ref="R252" si="123">R253+R255+R257+R258</f>
        <v>0</v>
      </c>
      <c r="S252" s="172">
        <f t="shared" ref="S252" si="124">S253+S255+S257+S258</f>
        <v>0</v>
      </c>
      <c r="T252" s="172">
        <f t="shared" ref="T252" si="125">T253+T255+T257+T258</f>
        <v>0</v>
      </c>
      <c r="U252" s="172">
        <f t="shared" ref="U252" si="126">U253+U255+U257+U258</f>
        <v>0</v>
      </c>
      <c r="V252" s="172">
        <f t="shared" ref="V252" si="127">V253+V255+V257+V258</f>
        <v>0</v>
      </c>
      <c r="W252" s="172">
        <f t="shared" ref="W252" si="128">W253+W255+W257+W258</f>
        <v>0</v>
      </c>
      <c r="X252" s="172">
        <f t="shared" ref="X252" si="129">X253+X255+X257+X258</f>
        <v>0</v>
      </c>
      <c r="Y252" s="172">
        <f t="shared" ref="Y252" si="130">Y253+Y255+Y257+Y258</f>
        <v>0</v>
      </c>
      <c r="Z252" s="172">
        <f t="shared" ref="Z252" si="131">Z253+Z255+Z257+Z258</f>
        <v>0</v>
      </c>
      <c r="AA252" s="172">
        <f t="shared" ref="AA252" si="132">AA253+AA255+AA257+AA258</f>
        <v>0</v>
      </c>
      <c r="AB252" s="343"/>
      <c r="AC252" s="343"/>
      <c r="AD252" s="343"/>
      <c r="AE252" s="343"/>
      <c r="AF252" s="343"/>
      <c r="AG252" s="343"/>
      <c r="AH252" s="343"/>
      <c r="AI252" s="343"/>
      <c r="AJ252" s="52">
        <f t="shared" si="62"/>
        <v>0</v>
      </c>
      <c r="AK252" s="130"/>
      <c r="AL252" s="1019"/>
      <c r="AM252" s="31"/>
      <c r="AN252" s="1027"/>
      <c r="AO252" s="13">
        <v>171</v>
      </c>
      <c r="AP252" s="74"/>
      <c r="AQ252" s="75"/>
    </row>
    <row r="253" spans="1:43" ht="27" hidden="1" thickBot="1" x14ac:dyDescent="0.45">
      <c r="A253" s="931"/>
      <c r="B253" s="169" t="s">
        <v>858</v>
      </c>
      <c r="C253" s="572" t="s">
        <v>895</v>
      </c>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344"/>
      <c r="AC253" s="344"/>
      <c r="AD253" s="344"/>
      <c r="AE253" s="344"/>
      <c r="AF253" s="344"/>
      <c r="AG253" s="344"/>
      <c r="AH253" s="344"/>
      <c r="AI253" s="344"/>
      <c r="AJ253" s="52">
        <f t="shared" si="62"/>
        <v>0</v>
      </c>
      <c r="AK253" s="30" t="str">
        <f>CONCATENATE(IF(D254&gt;D253," * OPD Sexual Violence Initiated Pep "&amp;$D$20&amp;" "&amp;$D$21&amp;" is more than OPD Sexual Violence Rape Survivors"&amp;CHAR(10),""),IF(E254&gt;E253," * OPD Sexual Violence Initiated Pep "&amp;$D$20&amp;" "&amp;$E$21&amp;" is more than OPD Sexual Violence Rape Survivors"&amp;CHAR(10),""),IF(F254&gt;F253," * OPD Sexual Violence Initiated Pep "&amp;$F$20&amp;" "&amp;$F$21&amp;" is more than OPD Sexual Violence Rape Survivors"&amp;CHAR(10),""),IF(G254&gt;G253," * OPD Sexual Violence Initiated Pep "&amp;$F$20&amp;" "&amp;$G$21&amp;" is more than OPD Sexual Violence Rape Survivors"&amp;CHAR(10),""),IF(H254&gt;H253," * OPD Sexual Violence Initiated Pep "&amp;$H$20&amp;" "&amp;$H$21&amp;" is more than OPD Sexual Violence Rape Survivors"&amp;CHAR(10),""),IF(I254&gt;I253," * OPD Sexual Violence Initiated Pep "&amp;$H$20&amp;" "&amp;$I$21&amp;" is more than OPD Sexual Violence Rape Survivors"&amp;CHAR(10),""),IF(J254&gt;J253," * OPD Sexual Violence Initiated Pep "&amp;$J$20&amp;" "&amp;$J$21&amp;" is more than OPD Sexual Violence Rape Survivors"&amp;CHAR(10),""),IF(K254&gt;K253," * OPD Sexual Violence Initiated Pep "&amp;$J$20&amp;" "&amp;$K$21&amp;" is more than OPD Sexual Violence Rape Survivors"&amp;CHAR(10),""),IF(L254&gt;L253," * OPD Sexual Violence Initiated Pep "&amp;$L$20&amp;" "&amp;$L$21&amp;" is more than OPD Sexual Violence Rape Survivors"&amp;CHAR(10),""),IF(M254&gt;M253," * OPD Sexual Violence Initiated Pep "&amp;$L$20&amp;" "&amp;$M$21&amp;" is more than OPD Sexual Violence Rape Survivors"&amp;CHAR(10),""),IF(N254&gt;N253," * OPD Sexual Violence Initiated Pep "&amp;$N$20&amp;" "&amp;$N$21&amp;" is more than OPD Sexual Violence Rape Survivors"&amp;CHAR(10),""),IF(O254&gt;O253," * OPD Sexual Violence Initiated Pep "&amp;$N$20&amp;" "&amp;$O$21&amp;" is more than OPD Sexual Violence Rape Survivors"&amp;CHAR(10),""),IF(P254&gt;P253," * OPD Sexual Violence Initiated Pep "&amp;$P$20&amp;" "&amp;$P$21&amp;" is more than OPD Sexual Violence Rape Survivors"&amp;CHAR(10),""),IF(Q254&gt;Q253," * OPD Sexual Violence Initiated Pep "&amp;$P$20&amp;" "&amp;$Q$21&amp;" is more than OPD Sexual Violence Rape Survivors"&amp;CHAR(10),""),IF(R254&gt;R253," * OPD Sexual Violence Initiated Pep "&amp;$R$20&amp;" "&amp;$R$21&amp;" is more than OPD Sexual Violence Rape Survivors"&amp;CHAR(10),""),IF(S254&gt;S253," * OPD Sexual Violence Initiated Pep "&amp;$R$20&amp;" "&amp;$S$21&amp;" is more than OPD Sexual Violence Rape Survivors"&amp;CHAR(10),""),IF(T254&gt;T253," * OPD Sexual Violence Initiated Pep "&amp;$T$20&amp;" "&amp;$T$21&amp;" is more than OPD Sexual Violence Rape Survivors"&amp;CHAR(10),""),IF(U254&gt;U253," * OPD Sexual Violence Initiated Pep "&amp;$T$20&amp;" "&amp;$U$21&amp;" is more than OPD Sexual Violence Rape Survivors"&amp;CHAR(10),""),IF(V254&gt;V253," * OPD Sexual Violence Initiated Pep "&amp;$V$20&amp;" "&amp;$V$21&amp;" is more than OPD Sexual Violence Rape Survivors"&amp;CHAR(10),""),IF(W254&gt;W253," * OPD Sexual Violence Initiated Pep "&amp;$V$20&amp;" "&amp;$W$21&amp;" is more than OPD Sexual Violence Rape Survivors"&amp;CHAR(10),""),IF(X254&gt;X253," * OPD Sexual Violence Initiated Pep "&amp;$X$20&amp;" "&amp;$X$21&amp;" is more than OPD Sexual Violence Rape Survivors"&amp;CHAR(10),""),IF(Y254&gt;Y253," * OPD Sexual Violence Initiated Pep "&amp;$X$20&amp;" "&amp;$Y$21&amp;" is more than OPD Sexual Violence Rape Survivors"&amp;CHAR(10),""),IF(Z254&gt;Z253," * OPD Sexual Violence Initiated Pep "&amp;$Z$20&amp;" "&amp;$Z$21&amp;" is more than OPD Sexual Violence Rape Survivors"&amp;CHAR(10),""),IF(AA254&gt;AA253," * OPD Sexual Violence Initiated Pep "&amp;$Z$20&amp;" "&amp;$AA$21&amp;" is more than OPD Sexual Violence Rape Survivors"&amp;CHAR(10),""))</f>
        <v/>
      </c>
      <c r="AL253" s="1019"/>
      <c r="AM253" s="31"/>
      <c r="AN253" s="1027"/>
      <c r="AO253" s="13">
        <v>172</v>
      </c>
      <c r="AP253" s="74"/>
      <c r="AQ253" s="75"/>
    </row>
    <row r="254" spans="1:43" ht="27" hidden="1" thickBot="1" x14ac:dyDescent="0.45">
      <c r="A254" s="931"/>
      <c r="B254" s="169" t="s">
        <v>859</v>
      </c>
      <c r="C254" s="572" t="s">
        <v>896</v>
      </c>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5"/>
      <c r="AB254" s="344"/>
      <c r="AC254" s="344"/>
      <c r="AD254" s="344"/>
      <c r="AE254" s="344"/>
      <c r="AF254" s="344"/>
      <c r="AG254" s="344"/>
      <c r="AH254" s="344"/>
      <c r="AI254" s="344"/>
      <c r="AJ254" s="52">
        <f t="shared" si="62"/>
        <v>0</v>
      </c>
      <c r="AK254" s="130"/>
      <c r="AL254" s="1019"/>
      <c r="AM254" s="31"/>
      <c r="AN254" s="1027"/>
      <c r="AO254" s="13">
        <v>173</v>
      </c>
      <c r="AP254" s="74"/>
      <c r="AQ254" s="75"/>
    </row>
    <row r="255" spans="1:43" ht="27" hidden="1" thickBot="1" x14ac:dyDescent="0.45">
      <c r="A255" s="931"/>
      <c r="B255" s="169" t="s">
        <v>860</v>
      </c>
      <c r="C255" s="572" t="s">
        <v>898</v>
      </c>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344"/>
      <c r="AC255" s="344"/>
      <c r="AD255" s="344"/>
      <c r="AE255" s="344"/>
      <c r="AF255" s="344"/>
      <c r="AG255" s="344"/>
      <c r="AH255" s="344"/>
      <c r="AI255" s="344"/>
      <c r="AJ255" s="52">
        <f t="shared" si="62"/>
        <v>0</v>
      </c>
      <c r="AK255" s="30" t="str">
        <f>CONCATENATE(IF(D256&gt;D255," * MCH  Physical Violence Initiated Pep "&amp;$D$20&amp;" "&amp;$D$21&amp;" is more than MCH Physical Violence Rape Survivors"&amp;CHAR(10),""),IF(E256&gt;E255," * MCH  Physical Violence Initiated Pep "&amp;$D$20&amp;" "&amp;$E$21&amp;" is more than MCH Physical Violence Rape Survivors"&amp;CHAR(10),""),IF(F256&gt;F255," * MCH  Physical Violence Initiated Pep "&amp;$F$20&amp;" "&amp;$F$21&amp;" is more than MCH Physical Violence Rape Survivors"&amp;CHAR(10),""),IF(G256&gt;G255," * MCH  Physical Violence Initiated Pep "&amp;$F$20&amp;" "&amp;$G$21&amp;" is more than MCH Physical Violence Rape Survivors"&amp;CHAR(10),""),IF(H256&gt;H255," * MCH  Physical Violence Initiated Pep "&amp;$H$20&amp;" "&amp;$H$21&amp;" is more than MCH Physical Violence Rape Survivors"&amp;CHAR(10),""),IF(I256&gt;I255," * MCH  Physical Violence Initiated Pep "&amp;$H$20&amp;" "&amp;$I$21&amp;" is more than MCH Physical Violence Rape Survivors"&amp;CHAR(10),""),IF(J256&gt;J255," * MCH  Physical Violence Initiated Pep "&amp;$J$20&amp;" "&amp;$J$21&amp;" is more than MCH Physical Violence Rape Survivors"&amp;CHAR(10),""),IF(K256&gt;K255," * MCH  Physical Violence Initiated Pep "&amp;$J$20&amp;" "&amp;$K$21&amp;" is more than MCH Physical Violence Rape Survivors"&amp;CHAR(10),""),IF(L256&gt;L255," * MCH  Physical Violence Initiated Pep "&amp;$L$20&amp;" "&amp;$L$21&amp;" is more than MCH Physical Violence Rape Survivors"&amp;CHAR(10),""),IF(M256&gt;M255," * MCH  Physical Violence Initiated Pep "&amp;$L$20&amp;" "&amp;$M$21&amp;" is more than MCH Physical Violence Rape Survivors"&amp;CHAR(10),""),IF(N256&gt;N255," * MCH  Physical Violence Initiated Pep "&amp;$N$20&amp;" "&amp;$N$21&amp;" is more than MCH Physical Violence Rape Survivors"&amp;CHAR(10),""),IF(O256&gt;O255," * MCH  Physical Violence Initiated Pep "&amp;$N$20&amp;" "&amp;$O$21&amp;" is more than MCH Physical Violence Rape Survivors"&amp;CHAR(10),""),IF(P256&gt;P255," * MCH  Physical Violence Initiated Pep "&amp;$P$20&amp;" "&amp;$P$21&amp;" is more than MCH Physical Violence Rape Survivors"&amp;CHAR(10),""),IF(Q256&gt;Q255," * MCH  Physical Violence Initiated Pep "&amp;$P$20&amp;" "&amp;$Q$21&amp;" is more than MCH Physical Violence Rape Survivors"&amp;CHAR(10),""),IF(R256&gt;R255," * MCH  Physical Violence Initiated Pep "&amp;$R$20&amp;" "&amp;$R$21&amp;" is more than MCH Physical Violence Rape Survivors"&amp;CHAR(10),""),IF(S256&gt;S255," * MCH  Physical Violence Initiated Pep "&amp;$R$20&amp;" "&amp;$S$21&amp;" is more than MCH Physical Violence Rape Survivors"&amp;CHAR(10),""),IF(T256&gt;T255," * MCH  Physical Violence Initiated Pep "&amp;$T$20&amp;" "&amp;$T$21&amp;" is more than MCH Physical Violence Rape Survivors"&amp;CHAR(10),""),IF(U256&gt;U255," * MCH  Physical Violence Initiated Pep "&amp;$T$20&amp;" "&amp;$U$21&amp;" is more than MCH Physical Violence Rape Survivors"&amp;CHAR(10),""),IF(V256&gt;V255," * MCH  Physical Violence Initiated Pep "&amp;$V$20&amp;" "&amp;$V$21&amp;" is more than MCH Physical Violence Rape Survivors"&amp;CHAR(10),""),IF(W256&gt;W255," * MCH  Physical Violence Initiated Pep "&amp;$V$20&amp;" "&amp;$W$21&amp;" is more than MCH Physical Violence Rape Survivors"&amp;CHAR(10),""),IF(X256&gt;X255," * MCH  Physical Violence Initiated Pep "&amp;$X$20&amp;" "&amp;$X$21&amp;" is more than MCH Physical Violence Rape Survivors"&amp;CHAR(10),""),IF(Y256&gt;Y255," * MCH  Physical Violence Initiated Pep "&amp;$X$20&amp;" "&amp;$Y$21&amp;" is more than MCH Physical Violence Rape Survivors"&amp;CHAR(10),""),IF(Z256&gt;Z255," * MCH  Physical Violence Initiated Pep "&amp;$Z$20&amp;" "&amp;$Z$21&amp;" is more than MCH Physical Violence Rape Survivors"&amp;CHAR(10),""),IF(AA256&gt;AA255," * MCH  Physical Violence Initiated Pep "&amp;$Z$20&amp;" "&amp;$AA$21&amp;" is more than MCH Physical Violence Rape Survivors"&amp;CHAR(10),""))</f>
        <v/>
      </c>
      <c r="AL255" s="1019"/>
      <c r="AM255" s="31"/>
      <c r="AN255" s="1027"/>
      <c r="AO255" s="13">
        <v>174</v>
      </c>
      <c r="AP255" s="74"/>
      <c r="AQ255" s="75"/>
    </row>
    <row r="256" spans="1:43" ht="27" hidden="1" thickBot="1" x14ac:dyDescent="0.45">
      <c r="A256" s="931"/>
      <c r="B256" s="169" t="s">
        <v>861</v>
      </c>
      <c r="C256" s="572" t="s">
        <v>899</v>
      </c>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c r="AA256" s="175"/>
      <c r="AB256" s="344"/>
      <c r="AC256" s="344"/>
      <c r="AD256" s="344"/>
      <c r="AE256" s="344"/>
      <c r="AF256" s="344"/>
      <c r="AG256" s="344"/>
      <c r="AH256" s="344"/>
      <c r="AI256" s="344"/>
      <c r="AJ256" s="52">
        <f t="shared" si="62"/>
        <v>0</v>
      </c>
      <c r="AK256" s="130"/>
      <c r="AL256" s="1019"/>
      <c r="AM256" s="31"/>
      <c r="AN256" s="1027"/>
      <c r="AO256" s="13">
        <v>175</v>
      </c>
      <c r="AP256" s="74"/>
      <c r="AQ256" s="75"/>
    </row>
    <row r="257" spans="1:43" ht="27" hidden="1" thickBot="1" x14ac:dyDescent="0.45">
      <c r="A257" s="931"/>
      <c r="B257" s="169" t="s">
        <v>862</v>
      </c>
      <c r="C257" s="572" t="s">
        <v>900</v>
      </c>
      <c r="D257" s="176"/>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c r="AA257" s="177"/>
      <c r="AB257" s="344"/>
      <c r="AC257" s="344"/>
      <c r="AD257" s="344"/>
      <c r="AE257" s="344"/>
      <c r="AF257" s="344"/>
      <c r="AG257" s="344"/>
      <c r="AH257" s="344"/>
      <c r="AI257" s="344"/>
      <c r="AJ257" s="52">
        <f t="shared" si="62"/>
        <v>0</v>
      </c>
      <c r="AK257" s="130"/>
      <c r="AL257" s="1019"/>
      <c r="AM257" s="31"/>
      <c r="AN257" s="1027"/>
      <c r="AO257" s="13">
        <v>176</v>
      </c>
      <c r="AP257" s="74"/>
      <c r="AQ257" s="75"/>
    </row>
    <row r="258" spans="1:43" ht="27" hidden="1" thickBot="1" x14ac:dyDescent="0.45">
      <c r="A258" s="932"/>
      <c r="B258" s="183" t="s">
        <v>897</v>
      </c>
      <c r="C258" s="572" t="s">
        <v>901</v>
      </c>
      <c r="D258" s="179"/>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c r="AA258" s="181"/>
      <c r="AB258" s="344"/>
      <c r="AC258" s="344"/>
      <c r="AD258" s="344"/>
      <c r="AE258" s="344"/>
      <c r="AF258" s="344"/>
      <c r="AG258" s="344"/>
      <c r="AH258" s="344"/>
      <c r="AI258" s="344"/>
      <c r="AJ258" s="184">
        <f t="shared" si="62"/>
        <v>0</v>
      </c>
      <c r="AK258" s="130"/>
      <c r="AL258" s="1044"/>
      <c r="AM258" s="31"/>
      <c r="AN258" s="1027"/>
      <c r="AO258" s="13">
        <v>177</v>
      </c>
      <c r="AP258" s="74"/>
      <c r="AQ258" s="75"/>
    </row>
    <row r="259" spans="1:43" ht="26.25" x14ac:dyDescent="0.4">
      <c r="A259" s="1227" t="s">
        <v>955</v>
      </c>
      <c r="B259" s="185" t="s">
        <v>954</v>
      </c>
      <c r="C259" s="575" t="s">
        <v>183</v>
      </c>
      <c r="D259" s="186"/>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392"/>
      <c r="AB259" s="384"/>
      <c r="AC259" s="385"/>
      <c r="AD259" s="385"/>
      <c r="AE259" s="385"/>
      <c r="AF259" s="385"/>
      <c r="AG259" s="385"/>
      <c r="AH259" s="385"/>
      <c r="AI259" s="316"/>
      <c r="AJ259" s="188">
        <f>SUM(D259:AA259)</f>
        <v>0</v>
      </c>
      <c r="AK259" s="130" t="str">
        <f>CONCATENATE(IF(D260&gt;D259," * Initiated Pep for Age "&amp;D20&amp;" "&amp;D21&amp;" is more than Rape survivors"&amp;CHAR(10),""),IF(E260&gt;E259," * Initiated Pep for Age "&amp;D20&amp;" "&amp;E21&amp;" is more than Rape survivors"&amp;CHAR(10),""),IF(F260&gt;F259," * Initiated Pep for Age "&amp;F20&amp;" "&amp;F21&amp;" is more than Rape survivors"&amp;CHAR(10),""),IF(G260&gt;G259," * Initiated Pep for Age "&amp;F20&amp;" "&amp;G21&amp;" is more than Rape survivors"&amp;CHAR(10),""),IF(H260&gt;H259," * Initiated Pep for Age "&amp;H20&amp;" "&amp;H21&amp;" is more than Rape survivors"&amp;CHAR(10),""),IF(I260&gt;I259," * Initiated Pep for Age "&amp;H20&amp;" "&amp;I21&amp;" is more than Rape survivors"&amp;CHAR(10),""),IF(J260&gt;J259," * Initiated Pep for Age "&amp;J20&amp;" "&amp;J21&amp;" is more than Rape survivors"&amp;CHAR(10),""),IF(K260&gt;K259," * Initiated Pep for Age "&amp;J20&amp;" "&amp;K21&amp;" is more than Rape survivors"&amp;CHAR(10),""),IF(L260&gt;L259," * Initiated Pep for Age "&amp;L20&amp;" "&amp;L21&amp;" is more than Rape survivors"&amp;CHAR(10),""),IF(M260&gt;M259," * Initiated Pep for Age "&amp;L20&amp;" "&amp;M21&amp;" is more than Rape survivors"&amp;CHAR(10),""),IF(N260&gt;N259," * Initiated Pep for Age "&amp;N20&amp;" "&amp;N21&amp;" is more than Rape survivors"&amp;CHAR(10),""),IF(O260&gt;O259," * Initiated Pep for Age "&amp;N20&amp;" "&amp;O21&amp;" is more than Rape survivors"&amp;CHAR(10),""),IF(P260&gt;P259," * Initiated Pep for Age "&amp;P20&amp;" "&amp;P21&amp;" is more than Rape survivors"&amp;CHAR(10),""),IF(Q260&gt;Q259," * Initiated Pep for Age "&amp;P20&amp;" "&amp;Q21&amp;" is more than Rape survivors"&amp;CHAR(10),""),IF(R260&gt;R259," * Initiated Pep for Age "&amp;R20&amp;" "&amp;R21&amp;" is more than Rape survivors"&amp;CHAR(10),""),IF(S260&gt;S259," * Initiated Pep for Age "&amp;R20&amp;" "&amp;S21&amp;" is more than Rape survivors"&amp;CHAR(10),""),IF(T260&gt;T259," * Initiated Pep for Age "&amp;T20&amp;" "&amp;T21&amp;" is more than Rape survivors"&amp;CHAR(10),""),IF(U260&gt;U259," * Initiated Pep for Age "&amp;T20&amp;" "&amp;U21&amp;" is more than Rape survivors"&amp;CHAR(10),""),IF(V260&gt;V259," * Initiated Pep for Age "&amp;V20&amp;" "&amp;V21&amp;" is more than Rape survivors"&amp;CHAR(10),""),IF(W260&gt;W259," * Initiated Pep for Age "&amp;V20&amp;" "&amp;W21&amp;" is more than Rape survivors"&amp;CHAR(10),""),IF(X260&gt;X259," * Initiated Pep for Age "&amp;X20&amp;" "&amp;X21&amp;" is more than Rape survivors"&amp;CHAR(10),""),IF(Y260&gt;Y259," * Initiated Pep for Age "&amp;X20&amp;" "&amp;Y21&amp;" is more than Rape survivors"&amp;CHAR(10),""),IF(Z260&gt;Z259," * Initiated Pep for Age "&amp;Z20&amp;" "&amp;Z21&amp;" is more than Rape survivors"&amp;CHAR(10),""),IF(AA260&gt;AA259," * Initiated Pep for Age "&amp;Z20&amp;" "&amp;AA21&amp;" is more than Rape survivors"&amp;CHAR(10),""))</f>
        <v/>
      </c>
      <c r="AL259" s="1045" t="str">
        <f>CONCATENATE(AK223,AK261,AK262,AK263,AK264,AK266,AK268,AK270,AK272,AK273,AK260,AK265,AK259,AK267)</f>
        <v/>
      </c>
      <c r="AM259" s="31"/>
      <c r="AN259" s="1027"/>
      <c r="AO259" s="13">
        <v>178</v>
      </c>
      <c r="AP259" s="74"/>
      <c r="AQ259" s="75"/>
    </row>
    <row r="260" spans="1:43" ht="27" thickBot="1" x14ac:dyDescent="0.45">
      <c r="A260" s="1228"/>
      <c r="B260" s="189" t="s">
        <v>914</v>
      </c>
      <c r="C260" s="595" t="s">
        <v>182</v>
      </c>
      <c r="D260" s="190"/>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393"/>
      <c r="AB260" s="386"/>
      <c r="AC260" s="356"/>
      <c r="AD260" s="356"/>
      <c r="AE260" s="356"/>
      <c r="AF260" s="356"/>
      <c r="AG260" s="356"/>
      <c r="AH260" s="356"/>
      <c r="AI260" s="313"/>
      <c r="AJ260" s="192">
        <f t="shared" ref="AJ260:AJ273" si="133">SUM(D260:AA260)</f>
        <v>0</v>
      </c>
      <c r="AK260" s="130"/>
      <c r="AL260" s="1040"/>
      <c r="AM260" s="31"/>
      <c r="AN260" s="1027"/>
      <c r="AO260" s="13">
        <v>179</v>
      </c>
      <c r="AP260" s="74"/>
      <c r="AQ260" s="75"/>
    </row>
    <row r="261" spans="1:43" ht="27" thickBot="1" x14ac:dyDescent="0.45">
      <c r="A261" s="994" t="s">
        <v>956</v>
      </c>
      <c r="B261" s="185" t="s">
        <v>669</v>
      </c>
      <c r="C261" s="595" t="s">
        <v>249</v>
      </c>
      <c r="D261" s="193"/>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c r="AA261" s="348"/>
      <c r="AB261" s="386"/>
      <c r="AC261" s="356"/>
      <c r="AD261" s="356"/>
      <c r="AE261" s="356"/>
      <c r="AF261" s="356"/>
      <c r="AG261" s="356"/>
      <c r="AH261" s="356"/>
      <c r="AI261" s="313"/>
      <c r="AJ261" s="394">
        <f>SUM(D261:AA261)</f>
        <v>0</v>
      </c>
      <c r="AK261" s="116" t="str">
        <f>CONCATENATE(IF(D262&gt;D261," * Initiated Pep for Age "&amp;D19&amp;" "&amp;D20&amp;" is more than No of Clients"&amp;CHAR(10),""),IF(E262&gt;E261," * Initiated Pep for Age "&amp;D19&amp;" "&amp;E20&amp;" is more than No of Clients"&amp;CHAR(10),""),IF(F262&gt;F261," * Initiated Pep for Age "&amp;F19&amp;" "&amp;F20&amp;" is more than No of Clients"&amp;CHAR(10),""),IF(G262&gt;G261," * Initiated Pep for Age "&amp;F19&amp;" "&amp;G20&amp;" is more than No of Clients"&amp;CHAR(10),""),IF(H262&gt;H261," * Initiated Pep for Age "&amp;H19&amp;" "&amp;H20&amp;" is more than No of Clients"&amp;CHAR(10),""),IF(I262&gt;I261," * Initiated Pep for Age "&amp;H19&amp;" "&amp;I20&amp;" is more than No of Clients"&amp;CHAR(10),""),IF(J262&gt;J261," * Initiated Pep for Age "&amp;J19&amp;" "&amp;J20&amp;" is more than No of Clients"&amp;CHAR(10),""),IF(K262&gt;K261," * Initiated Pep for Age "&amp;J19&amp;" "&amp;K20&amp;" is more than No of Clients"&amp;CHAR(10),""),IF(L262&gt;L261," * Initiated Pep for Age "&amp;L19&amp;" "&amp;L20&amp;" is more than No of Clients"&amp;CHAR(10),""),IF(M262&gt;M261," * Initiated Pep for Age "&amp;L19&amp;" "&amp;M20&amp;" is more than No of Clients"&amp;CHAR(10),""),IF(N262&gt;N261," * Initiated Pep for Age "&amp;N19&amp;" "&amp;N20&amp;" is more than No of Clients"&amp;CHAR(10),""),IF(O262&gt;O261," * Initiated Pep for Age "&amp;N19&amp;" "&amp;O20&amp;" is more than No of Clients"&amp;CHAR(10),""),IF(P262&gt;P261," * Initiated Pep for Age "&amp;P19&amp;" "&amp;P20&amp;" is more than No of Clients"&amp;CHAR(10),""),IF(Q262&gt;Q261," * Initiated Pep for Age "&amp;P19&amp;" "&amp;Q20&amp;" is more than No of Clients"&amp;CHAR(10),""),IF(R262&gt;R261," * Initiated Pep for Age "&amp;R19&amp;" "&amp;R20&amp;" is more than No of Clients"&amp;CHAR(10),""),IF(S262&gt;S261," * Initiated Pep for Age "&amp;R19&amp;" "&amp;S20&amp;" is more than No of Clients"&amp;CHAR(10),""),IF(T262&gt;T261," * Initiated Pep for Age "&amp;T19&amp;" "&amp;T20&amp;" is more than No of Clients"&amp;CHAR(10),""),IF(U262&gt;U261," * Initiated Pep for Age "&amp;T19&amp;" "&amp;U20&amp;" is more than No of Clients"&amp;CHAR(10),""),IF(V262&gt;V261," * Initiated Pep for Age "&amp;V19&amp;" "&amp;V20&amp;" is more than No of Clients"&amp;CHAR(10),""),IF(W262&gt;W261," * Initiated Pep for Age "&amp;V19&amp;" "&amp;W20&amp;" is more than No of Clients"&amp;CHAR(10),""),IF(X262&gt;X261," * Initiated Pep for Age "&amp;X19&amp;" "&amp;X20&amp;" is more than No of Clients"&amp;CHAR(10),""),IF(Y262&gt;Y261," * Initiated Pep for Age "&amp;X19&amp;" "&amp;Y20&amp;" is more than No of Clients"&amp;CHAR(10),""),IF(Z262&gt;Z261," * Initiated Pep for Age "&amp;Z19&amp;" "&amp;Z20&amp;" is more than No of Clients"&amp;CHAR(10),""),IF(AA262&gt;AA261," * Initiated Pep for Age "&amp;Z19&amp;" "&amp;AA20&amp;" is more than No of Clients"&amp;CHAR(10),""))</f>
        <v/>
      </c>
      <c r="AL261" s="1040"/>
      <c r="AM261" s="31"/>
      <c r="AN261" s="1027"/>
      <c r="AO261" s="13">
        <v>180</v>
      </c>
      <c r="AP261" s="74"/>
      <c r="AQ261" s="75"/>
    </row>
    <row r="262" spans="1:43" ht="27" hidden="1" thickBot="1" x14ac:dyDescent="0.45">
      <c r="A262" s="1124"/>
      <c r="B262" s="189" t="s">
        <v>668</v>
      </c>
      <c r="C262" s="586" t="s">
        <v>253</v>
      </c>
      <c r="D262" s="195"/>
      <c r="E262" s="196"/>
      <c r="F262" s="196"/>
      <c r="G262" s="196"/>
      <c r="H262" s="196"/>
      <c r="I262" s="196"/>
      <c r="J262" s="196"/>
      <c r="K262" s="196"/>
      <c r="L262" s="196"/>
      <c r="M262" s="196"/>
      <c r="N262" s="196"/>
      <c r="O262" s="196"/>
      <c r="P262" s="196"/>
      <c r="Q262" s="196"/>
      <c r="R262" s="196"/>
      <c r="S262" s="196"/>
      <c r="T262" s="196"/>
      <c r="U262" s="196"/>
      <c r="V262" s="196"/>
      <c r="W262" s="196"/>
      <c r="X262" s="196"/>
      <c r="Y262" s="196"/>
      <c r="Z262" s="196"/>
      <c r="AA262" s="347"/>
      <c r="AB262" s="386"/>
      <c r="AC262" s="356"/>
      <c r="AD262" s="356"/>
      <c r="AE262" s="356"/>
      <c r="AF262" s="356"/>
      <c r="AG262" s="356"/>
      <c r="AH262" s="356"/>
      <c r="AI262" s="313"/>
      <c r="AJ262" s="56">
        <f t="shared" si="133"/>
        <v>0</v>
      </c>
      <c r="AK262" s="116"/>
      <c r="AL262" s="1040"/>
      <c r="AM262" s="31"/>
      <c r="AN262" s="1027"/>
      <c r="AO262" s="13">
        <v>181</v>
      </c>
      <c r="AP262" s="74"/>
      <c r="AQ262" s="75"/>
    </row>
    <row r="263" spans="1:43" s="14" customFormat="1" ht="26.25" x14ac:dyDescent="0.4">
      <c r="A263" s="1086" t="s">
        <v>26</v>
      </c>
      <c r="B263" s="136" t="s">
        <v>670</v>
      </c>
      <c r="C263" s="595" t="s">
        <v>254</v>
      </c>
      <c r="D263" s="197"/>
      <c r="E263" s="197"/>
      <c r="F263" s="197"/>
      <c r="G263" s="197"/>
      <c r="H263" s="197"/>
      <c r="I263" s="197"/>
      <c r="J263" s="197"/>
      <c r="K263" s="197"/>
      <c r="L263" s="197"/>
      <c r="M263" s="197"/>
      <c r="N263" s="197"/>
      <c r="O263" s="197"/>
      <c r="P263" s="197"/>
      <c r="Q263" s="197"/>
      <c r="R263" s="197"/>
      <c r="S263" s="197"/>
      <c r="T263" s="197"/>
      <c r="U263" s="197"/>
      <c r="V263" s="197"/>
      <c r="W263" s="197"/>
      <c r="X263" s="197"/>
      <c r="Y263" s="197"/>
      <c r="Z263" s="197"/>
      <c r="AA263" s="349"/>
      <c r="AB263" s="386"/>
      <c r="AC263" s="356"/>
      <c r="AD263" s="356"/>
      <c r="AE263" s="356"/>
      <c r="AF263" s="356"/>
      <c r="AG263" s="356"/>
      <c r="AH263" s="356"/>
      <c r="AI263" s="313"/>
      <c r="AJ263" s="52">
        <f t="shared" si="133"/>
        <v>0</v>
      </c>
      <c r="AK263" s="116" t="str">
        <f>CONCATENATE(IF(D263&gt;D259," * Total Rape Survivors for Age "&amp;D20&amp;" "&amp;D21&amp;" is less than Screened For STI"&amp;CHAR(10),""),IF(E263&gt;E259," * Total Rape Survivors for Age "&amp;D20&amp;" "&amp;E21&amp;" is less than Screened For STI"&amp;CHAR(10),""),IF(F263&gt;F259," * Total Rape Survivors for Age "&amp;F20&amp;" "&amp;F21&amp;" is less than Screened For STI"&amp;CHAR(10),""),IF(G263&gt;G259," * Total Rape Survivors for Age "&amp;F20&amp;" "&amp;G21&amp;" is less than Screened For STI"&amp;CHAR(10),""),IF(H263&gt;H259," * Total Rape Survivors for Age "&amp;H20&amp;" "&amp;H21&amp;" is less than Screened For STI"&amp;CHAR(10),""),IF(I263&gt;I259," * Total Rape Survivors for Age "&amp;H20&amp;" "&amp;I21&amp;" is less than Screened For STI"&amp;CHAR(10),""),IF(J263&gt;J259," * Total Rape Survivors for Age "&amp;J20&amp;" "&amp;J21&amp;" is less than Screened For STI"&amp;CHAR(10),""),IF(K263&gt;K259," * Total Rape Survivors for Age "&amp;J20&amp;" "&amp;K21&amp;" is less than Screened For STI"&amp;CHAR(10),""),IF(L263&gt;L259," * Total Rape Survivors for Age "&amp;L20&amp;" "&amp;L21&amp;" is less than Screened For STI"&amp;CHAR(10),""),IF(M263&gt;M259," * Total Rape Survivors for Age "&amp;L20&amp;" "&amp;M21&amp;" is less than Screened For STI"&amp;CHAR(10),""),IF(N263&gt;N259," * Total Rape Survivors for Age "&amp;N20&amp;" "&amp;N21&amp;" is less than Screened For STI"&amp;CHAR(10),""),IF(O263&gt;O259," * Total Rape Survivors for Age "&amp;N20&amp;" "&amp;O21&amp;" is less than Screened For STI"&amp;CHAR(10),""),IF(P263&gt;P259," * Total Rape Survivors for Age "&amp;P20&amp;" "&amp;P21&amp;" is less than Screened For STI"&amp;CHAR(10),""),IF(Q263&gt;Q259," * Total Rape Survivors for Age "&amp;P20&amp;" "&amp;Q21&amp;" is less than Screened For STI"&amp;CHAR(10),""),IF(R263&gt;R259," * Total Rape Survivors for Age "&amp;R20&amp;" "&amp;R21&amp;" is less than Screened For STI"&amp;CHAR(10),""),IF(S263&gt;S259," * Total Rape Survivors for Age "&amp;R20&amp;" "&amp;S21&amp;" is less than Screened For STI"&amp;CHAR(10),""),IF(T263&gt;T259," * Total Rape Survivors for Age "&amp;T20&amp;" "&amp;T21&amp;" is less than Screened For STI"&amp;CHAR(10),""),IF(U263&gt;U259," * Total Rape Survivors for Age "&amp;T20&amp;" "&amp;U21&amp;" is less than Screened For STI"&amp;CHAR(10),""),IF(V263&gt;V259," * Total Rape Survivors for Age "&amp;V20&amp;" "&amp;V21&amp;" is less than Screened For STI"&amp;CHAR(10),""),IF(W263&gt;W259," * Total Rape Survivors for Age "&amp;V20&amp;" "&amp;W21&amp;" is less than Screened For STI"&amp;CHAR(10),""),IF(X263&gt;X259," * Total Rape Survivors for Age "&amp;X20&amp;" "&amp;X21&amp;" is less than Screened For STI"&amp;CHAR(10),""),IF(Y263&gt;Y259," * Total Rape Survivors for Age "&amp;X20&amp;" "&amp;Y21&amp;" is less than Screened For STI"&amp;CHAR(10),""),IF(Z263&gt;Z259," * Total Rape Survivors for Age "&amp;Z20&amp;" "&amp;Z21&amp;" is less than Screened For STI"&amp;CHAR(10),""),IF(AA263&gt;AA259," * Total Rape Survivors for Age "&amp;Z20&amp;" "&amp;AA21&amp;" is less than Screened For STI"&amp;CHAR(10),""),IF(AJ263&gt;AJ259," * Total Total Rape Survivors is less than Total Screened For STI"&amp;CHAR(10),""))</f>
        <v/>
      </c>
      <c r="AL263" s="1040"/>
      <c r="AM263" s="31"/>
      <c r="AN263" s="1027"/>
      <c r="AO263" s="13">
        <v>182</v>
      </c>
      <c r="AP263" s="74"/>
      <c r="AQ263" s="149"/>
    </row>
    <row r="264" spans="1:43" s="14" customFormat="1" ht="26.25" x14ac:dyDescent="0.4">
      <c r="A264" s="1087"/>
      <c r="B264" s="198" t="s">
        <v>671</v>
      </c>
      <c r="C264" s="576" t="s">
        <v>255</v>
      </c>
      <c r="D264" s="199"/>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350"/>
      <c r="AB264" s="386"/>
      <c r="AC264" s="356"/>
      <c r="AD264" s="356"/>
      <c r="AE264" s="356"/>
      <c r="AF264" s="356"/>
      <c r="AG264" s="356"/>
      <c r="AH264" s="356"/>
      <c r="AI264" s="313"/>
      <c r="AJ264" s="173">
        <f t="shared" si="133"/>
        <v>0</v>
      </c>
      <c r="AK264" s="130" t="str">
        <f>CONCATENATE(IF(D264&gt;D263," * Screened For STI for Age "&amp;D20&amp;" "&amp;D21&amp;" is more than Tested For STI"&amp;CHAR(10),""),IF(E264&gt;E263," * Screened For STI for Age "&amp;D20&amp;" "&amp;E21&amp;" is more than Tested For STI"&amp;CHAR(10),""),IF(F264&gt;F263," * Screened For STI for Age "&amp;F20&amp;" "&amp;F21&amp;" is more than Tested For STI"&amp;CHAR(10),""),IF(G264&gt;G263," * Screened For STI for Age "&amp;F20&amp;" "&amp;G21&amp;" is more than Tested For STI"&amp;CHAR(10),""),IF(H264&gt;H263," * Screened For STI for Age "&amp;H20&amp;" "&amp;H21&amp;" is more than Tested For STI"&amp;CHAR(10),""),IF(I264&gt;I263," * Screened For STI for Age "&amp;H20&amp;" "&amp;I21&amp;" is more than Tested For STI"&amp;CHAR(10),""),IF(J264&gt;J263," * Screened For STI for Age "&amp;J20&amp;" "&amp;J21&amp;" is more than Tested For STI"&amp;CHAR(10),""),IF(K264&gt;K263," * Screened For STI for Age "&amp;J20&amp;" "&amp;K21&amp;" is more than Tested For STI"&amp;CHAR(10),""),IF(L264&gt;L263," * Screened For STI for Age "&amp;L20&amp;" "&amp;L21&amp;" is more than Tested For STI"&amp;CHAR(10),""),IF(M264&gt;M263," * Screened For STI for Age "&amp;L20&amp;" "&amp;M21&amp;" is more than Tested For STI"&amp;CHAR(10),""),IF(N264&gt;N263," * Screened For STI for Age "&amp;N20&amp;" "&amp;N21&amp;" is more than Tested For STI"&amp;CHAR(10),""),IF(O264&gt;O263," * Screened For STI for Age "&amp;N20&amp;" "&amp;O21&amp;" is more than Tested For STI"&amp;CHAR(10),""),IF(P264&gt;P263," * Screened For STI for Age "&amp;P20&amp;" "&amp;P21&amp;" is more than Tested For STI"&amp;CHAR(10),""),IF(Q264&gt;Q263," * Screened For STI for Age "&amp;P20&amp;" "&amp;Q21&amp;" is more than Tested For STI"&amp;CHAR(10),""),IF(R264&gt;R263," * Screened For STI for Age "&amp;R20&amp;" "&amp;R21&amp;" is more than Tested For STI"&amp;CHAR(10),""),IF(S264&gt;S263," * Screened For STI for Age "&amp;R20&amp;" "&amp;S21&amp;" is more than Tested For STI"&amp;CHAR(10),""),IF(T264&gt;T263," * Screened For STI for Age "&amp;T20&amp;" "&amp;T21&amp;" is more than Tested For STI"&amp;CHAR(10),""),IF(U264&gt;U263," * Screened For STI for Age "&amp;T20&amp;" "&amp;U21&amp;" is more than Tested For STI"&amp;CHAR(10),""),IF(V264&gt;V263," * Screened For STI for Age "&amp;V20&amp;" "&amp;V21&amp;" is more than Tested For STI"&amp;CHAR(10),""),IF(W264&gt;W263," * Screened For STI for Age "&amp;V20&amp;" "&amp;W21&amp;" is more than Tested For STI"&amp;CHAR(10),""),IF(X264&gt;X263," * Screened For STI for Age "&amp;X20&amp;" "&amp;X21&amp;" is more than Tested For STI"&amp;CHAR(10),""),IF(Y264&gt;Y263," * Screened For STI for Age "&amp;X20&amp;" "&amp;Y21&amp;" is more than Tested For STI"&amp;CHAR(10),""),IF(Z264&gt;Z263," * Screened For STI for Age "&amp;Z20&amp;" "&amp;Z21&amp;" is more than Tested For STI"&amp;CHAR(10),""),IF(AA264&gt;AA263," * Screened For STI for Age "&amp;AA20&amp;" "&amp;AA21&amp;" is more than Tested For STI"&amp;CHAR(10),""))</f>
        <v/>
      </c>
      <c r="AL264" s="1040"/>
      <c r="AM264" s="31"/>
      <c r="AN264" s="1027"/>
      <c r="AO264" s="13">
        <v>183</v>
      </c>
      <c r="AP264" s="74"/>
      <c r="AQ264" s="149"/>
    </row>
    <row r="265" spans="1:43" s="14" customFormat="1" ht="26.25" x14ac:dyDescent="0.4">
      <c r="A265" s="1087"/>
      <c r="B265" s="198" t="s">
        <v>672</v>
      </c>
      <c r="C265" s="576" t="s">
        <v>256</v>
      </c>
      <c r="D265" s="201"/>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331"/>
      <c r="AB265" s="386"/>
      <c r="AC265" s="356"/>
      <c r="AD265" s="356"/>
      <c r="AE265" s="356"/>
      <c r="AF265" s="356"/>
      <c r="AG265" s="356"/>
      <c r="AH265" s="356"/>
      <c r="AI265" s="313"/>
      <c r="AJ265" s="173">
        <f t="shared" si="133"/>
        <v>0</v>
      </c>
      <c r="AK265" s="130" t="str">
        <f>CONCATENATE(IF(D265&gt;D264," * F05-07 for Age "&amp;D20&amp;" "&amp;D21&amp;" is more than F05-06"&amp;CHAR(10),""),IF(E265&gt;E264," * F05-07 for Age "&amp;D20&amp;" "&amp;E21&amp;" is more than F05-06"&amp;CHAR(10),""),IF(F265&gt;F264," * F05-07 for Age "&amp;F20&amp;" "&amp;F21&amp;" is more than F05-06"&amp;CHAR(10),""),IF(G265&gt;G264," * F05-07 for Age "&amp;F20&amp;" "&amp;G21&amp;" is more than F05-06"&amp;CHAR(10),""),IF(H265&gt;H264," * F05-07 for Age "&amp;H20&amp;" "&amp;H21&amp;" is more than F05-06"&amp;CHAR(10),""),IF(I265&gt;I264," * F05-07 for Age "&amp;H20&amp;" "&amp;I21&amp;" is more than F05-06"&amp;CHAR(10),""),IF(J265&gt;J264," * F05-07 for Age "&amp;J20&amp;" "&amp;J21&amp;" is more than F05-06"&amp;CHAR(10),""),IF(K265&gt;K264," * F05-07 for Age "&amp;J20&amp;" "&amp;K21&amp;" is more than F05-06"&amp;CHAR(10),""),IF(L265&gt;L264," * F05-07 for Age "&amp;L20&amp;" "&amp;L21&amp;" is more than F05-06"&amp;CHAR(10),""),IF(M265&gt;M264," * F05-07 for Age "&amp;L20&amp;" "&amp;M21&amp;" is more than F05-06"&amp;CHAR(10),""),IF(N265&gt;N264," * F05-07 for Age "&amp;N20&amp;" "&amp;N21&amp;" is more than F05-06"&amp;CHAR(10),""),IF(O265&gt;O264," * F05-07 for Age "&amp;N20&amp;" "&amp;O21&amp;" is more than F05-06"&amp;CHAR(10),""),IF(P265&gt;P264," * F05-07 for Age "&amp;P20&amp;" "&amp;P21&amp;" is more than F05-06"&amp;CHAR(10),""),IF(Q265&gt;Q264," * F05-07 for Age "&amp;P20&amp;" "&amp;Q21&amp;" is more than F05-06"&amp;CHAR(10),""),IF(R265&gt;R264," * F05-07 for Age "&amp;R20&amp;" "&amp;R21&amp;" is more than F05-06"&amp;CHAR(10),""),IF(S265&gt;S264," * F05-07 for Age "&amp;R20&amp;" "&amp;S21&amp;" is more than F05-06"&amp;CHAR(10),""),IF(T265&gt;T264," * F05-07 for Age "&amp;T20&amp;" "&amp;T21&amp;" is more than F05-06"&amp;CHAR(10),""),IF(U265&gt;U264," * F05-07 for Age "&amp;T20&amp;" "&amp;U21&amp;" is more than F05-06"&amp;CHAR(10),""),IF(V265&gt;V264," * F05-07 for Age "&amp;V20&amp;" "&amp;V21&amp;" is more than F05-06"&amp;CHAR(10),""),IF(W265&gt;W264," * F05-07 for Age "&amp;V20&amp;" "&amp;W21&amp;" is more than F05-06"&amp;CHAR(10),""),IF(X265&gt;X264," * F05-07 for Age "&amp;X20&amp;" "&amp;X21&amp;" is more than F05-06"&amp;CHAR(10),""),IF(Y265&gt;Y264," * F05-07 for Age "&amp;X20&amp;" "&amp;Y21&amp;" is more than F05-06"&amp;CHAR(10),""),IF(Z265&gt;Z264," * F05-07 for Age "&amp;Z20&amp;" "&amp;Z21&amp;" is more than F05-06"&amp;CHAR(10),""),IF(AA265&gt;AA264," * F05-07 for Age "&amp;Z20&amp;" "&amp;AA21&amp;" is more than F05-06"&amp;CHAR(10),""),IF(AJ265&gt;AJ264," * Total F05-07 is more than Total F05-06"&amp;CHAR(10),""))</f>
        <v/>
      </c>
      <c r="AL265" s="1040"/>
      <c r="AM265" s="31"/>
      <c r="AN265" s="1027"/>
      <c r="AO265" s="13">
        <v>184</v>
      </c>
      <c r="AP265" s="74"/>
      <c r="AQ265" s="149"/>
    </row>
    <row r="266" spans="1:43" s="14" customFormat="1" ht="26.25" x14ac:dyDescent="0.4">
      <c r="A266" s="1087"/>
      <c r="B266" s="198" t="s">
        <v>673</v>
      </c>
      <c r="C266" s="576" t="s">
        <v>257</v>
      </c>
      <c r="D266" s="120"/>
      <c r="E266" s="120"/>
      <c r="F266" s="120"/>
      <c r="G266" s="120"/>
      <c r="H266" s="120"/>
      <c r="I266" s="120"/>
      <c r="J266" s="120"/>
      <c r="K266" s="200"/>
      <c r="L266" s="120"/>
      <c r="M266" s="200"/>
      <c r="N266" s="120"/>
      <c r="O266" s="200"/>
      <c r="P266" s="120"/>
      <c r="Q266" s="200"/>
      <c r="R266" s="120"/>
      <c r="S266" s="200"/>
      <c r="T266" s="120"/>
      <c r="U266" s="200"/>
      <c r="V266" s="120"/>
      <c r="W266" s="200"/>
      <c r="X266" s="120"/>
      <c r="Y266" s="200"/>
      <c r="Z266" s="120"/>
      <c r="AA266" s="350"/>
      <c r="AB266" s="386"/>
      <c r="AC266" s="356"/>
      <c r="AD266" s="356"/>
      <c r="AE266" s="356"/>
      <c r="AF266" s="356"/>
      <c r="AG266" s="356"/>
      <c r="AH266" s="356"/>
      <c r="AI266" s="313"/>
      <c r="AJ266" s="173">
        <f t="shared" si="133"/>
        <v>0</v>
      </c>
      <c r="AK266" s="130" t="str">
        <f>CONCATENATE(IF(D266&gt;D259," * Given Emergency Contraceptive Pill for Age "&amp;D20&amp;" "&amp;D21&amp;" is more than Sexual Violence Rape Survivors"&amp;CHAR(10),""),IF(E266&gt;E259," * Given Emergency Contraceptive Pill for Age "&amp;D20&amp;" "&amp;E21&amp;" is more than Sexual Violence Rape Survivors"&amp;CHAR(10),""),IF(F266&gt;F259," * Given Emergency Contraceptive Pill for Age "&amp;F20&amp;" "&amp;F21&amp;" is more than Sexual Violence Rape Survivors"&amp;CHAR(10),""),IF(G266&gt;G259," * Given Emergency Contraceptive Pill for Age "&amp;F20&amp;" "&amp;G21&amp;" is more than Sexual Violence Rape Survivors"&amp;CHAR(10),""),IF(H266&gt;H259," * Given Emergency Contraceptive Pill for Age "&amp;H20&amp;" "&amp;H21&amp;" is more than Sexual Violence Rape Survivors"&amp;CHAR(10),""),IF(I266&gt;I259," * Given Emergency Contraceptive Pill for Age "&amp;H20&amp;" "&amp;I21&amp;" is more than Sexual Violence Rape Survivors"&amp;CHAR(10),""),IF(J266&gt;J259," * Given Emergency Contraceptive Pill for Age "&amp;J20&amp;" "&amp;J21&amp;" is more than Sexual Violence Rape Survivors"&amp;CHAR(10),""),IF(K266&gt;K259," * Given Emergency Contraceptive Pill for Age "&amp;J20&amp;" "&amp;K21&amp;" is more than Sexual Violence Rape Survivors"&amp;CHAR(10),""),IF(L266&gt;L259," * Given Emergency Contraceptive Pill for Age "&amp;L20&amp;" "&amp;L21&amp;" is more than Sexual Violence Rape Survivors"&amp;CHAR(10),""),IF(M266&gt;M259," * Given Emergency Contraceptive Pill for Age "&amp;L20&amp;" "&amp;M21&amp;" is more than Sexual Violence Rape Survivors"&amp;CHAR(10),""),IF(N266&gt;N259," * Given Emergency Contraceptive Pill for Age "&amp;N20&amp;" "&amp;N21&amp;" is more than Sexual Violence Rape Survivors"&amp;CHAR(10),""),IF(O266&gt;O259," * Given Emergency Contraceptive Pill for Age "&amp;N20&amp;" "&amp;O21&amp;" is more than Sexual Violence Rape Survivors"&amp;CHAR(10),""),IF(P266&gt;P259," * Given Emergency Contraceptive Pill for Age "&amp;P20&amp;" "&amp;P21&amp;" is more than Sexual Violence Rape Survivors"&amp;CHAR(10),""),IF(Q266&gt;Q259," * Given Emergency Contraceptive Pill for Age "&amp;P20&amp;" "&amp;Q21&amp;" is more than Sexual Violence Rape Survivors"&amp;CHAR(10),""),IF(R266&gt;R259," * Given Emergency Contraceptive Pill for Age "&amp;R20&amp;" "&amp;R21&amp;" is more than Sexual Violence Rape Survivors"&amp;CHAR(10),""),IF(S266&gt;S259," * Given Emergency Contraceptive Pill for Age "&amp;R20&amp;" "&amp;S21&amp;" is more than Sexual Violence Rape Survivors"&amp;CHAR(10),""),IF(T266&gt;T259," * Given Emergency Contraceptive Pill for Age "&amp;T20&amp;" "&amp;T21&amp;" is more than Sexual Violence Rape Survivors"&amp;CHAR(10),""),IF(U266&gt;U259," * Given Emergency Contraceptive Pill for Age "&amp;T20&amp;" "&amp;U21&amp;" is more than Sexual Violence Rape Survivors"&amp;CHAR(10),""),IF(V266&gt;V259," * Given Emergency Contraceptive Pill for Age "&amp;V20&amp;" "&amp;V21&amp;" is more than Sexual Violence Rape Survivors"&amp;CHAR(10),""),IF(W266&gt;W259," * Given Emergency Contraceptive Pill for Age "&amp;V20&amp;" "&amp;W21&amp;" is more than Sexual Violence Rape Survivors"&amp;CHAR(10),""),IF(X266&gt;X259," * Given Emergency Contraceptive Pill for Age "&amp;X20&amp;" "&amp;X21&amp;" is more than Sexual Violence Rape Survivors"&amp;CHAR(10),""),IF(Y266&gt;Y259," * Given Emergency Contraceptive Pill for Age "&amp;X20&amp;" "&amp;Y21&amp;" is more than Sexual Violence Rape Survivors"&amp;CHAR(10),""),IF(Z266&gt;Z259," * Given Emergency Contraceptive Pill for Age "&amp;Z20&amp;" "&amp;Z21&amp;" is more than Sexual Violence Rape Survivors"&amp;CHAR(10),""),IF(AA266&gt;AA259," * Given Emergency Contraceptive Pill for Age "&amp;Z20&amp;" "&amp;AA21&amp;" is more than Sexual Violence Rape Survivors"&amp;CHAR(10),""))</f>
        <v/>
      </c>
      <c r="AL266" s="1040"/>
      <c r="AM266" s="31"/>
      <c r="AN266" s="1027"/>
      <c r="AO266" s="13">
        <v>185</v>
      </c>
      <c r="AP266" s="74"/>
      <c r="AQ266" s="149"/>
    </row>
    <row r="267" spans="1:43" s="14" customFormat="1" ht="26.25" x14ac:dyDescent="0.4">
      <c r="A267" s="1087"/>
      <c r="B267" s="198" t="s">
        <v>674</v>
      </c>
      <c r="C267" s="576" t="s">
        <v>258</v>
      </c>
      <c r="D267" s="120"/>
      <c r="E267" s="120"/>
      <c r="F267" s="120"/>
      <c r="G267" s="120"/>
      <c r="H267" s="120"/>
      <c r="I267" s="120"/>
      <c r="J267" s="120"/>
      <c r="K267" s="201"/>
      <c r="L267" s="120"/>
      <c r="M267" s="201"/>
      <c r="N267" s="120"/>
      <c r="O267" s="201"/>
      <c r="P267" s="120"/>
      <c r="Q267" s="201"/>
      <c r="R267" s="120"/>
      <c r="S267" s="201"/>
      <c r="T267" s="120"/>
      <c r="U267" s="201"/>
      <c r="V267" s="120"/>
      <c r="W267" s="201"/>
      <c r="X267" s="120"/>
      <c r="Y267" s="201"/>
      <c r="Z267" s="120"/>
      <c r="AA267" s="351"/>
      <c r="AB267" s="386"/>
      <c r="AC267" s="356"/>
      <c r="AD267" s="356"/>
      <c r="AE267" s="356"/>
      <c r="AF267" s="356"/>
      <c r="AG267" s="356"/>
      <c r="AH267" s="356"/>
      <c r="AI267" s="313"/>
      <c r="AJ267" s="173">
        <f t="shared" si="133"/>
        <v>0</v>
      </c>
      <c r="AK267" s="130" t="str">
        <f>CONCATENATE(IF(D267&gt;D266," * Given Emergency Contraceptive Pill for Age "&amp;D20&amp;" "&amp;D21&amp;" is more than Eligible for Emergency Contraceptive Pill"&amp;CHAR(10),""),IF(E267&gt;E266," * Given Emergency Contraceptive Pill for Age "&amp;D20&amp;" "&amp;E21&amp;" is more than Eligible for Emergency Contraceptive Pill"&amp;CHAR(10),""),IF(F267&gt;F266," * Given Emergency Contraceptive Pill for Age "&amp;F20&amp;" "&amp;F21&amp;" is more than Eligible for Emergency Contraceptive Pill"&amp;CHAR(10),""),IF(G267&gt;G266," * Given Emergency Contraceptive Pill for Age "&amp;F20&amp;" "&amp;G21&amp;" is more than Eligible for Emergency Contraceptive Pill"&amp;CHAR(10),""),IF(H267&gt;H266," * Given Emergency Contraceptive Pill for Age "&amp;H20&amp;" "&amp;H21&amp;" is more than Eligible for Emergency Contraceptive Pill"&amp;CHAR(10),""),IF(I267&gt;I266," * Given Emergency Contraceptive Pill for Age "&amp;H20&amp;" "&amp;I21&amp;" is more than Eligible for Emergency Contraceptive Pill"&amp;CHAR(10),""),IF(J267&gt;J266," * Given Emergency Contraceptive Pill for Age "&amp;J20&amp;" "&amp;J21&amp;" is more than Eligible for Emergency Contraceptive Pill"&amp;CHAR(10),""),IF(K267&gt;K266," * Given Emergency Contraceptive Pill for Age "&amp;J20&amp;" "&amp;K21&amp;" is more than Eligible for Emergency Contraceptive Pill"&amp;CHAR(10),""),IF(L267&gt;L266," * Given Emergency Contraceptive Pill for Age "&amp;L20&amp;" "&amp;L21&amp;" is more than Eligible for Emergency Contraceptive Pill"&amp;CHAR(10),""),IF(M267&gt;M266," * Given Emergency Contraceptive Pill for Age "&amp;L20&amp;" "&amp;M21&amp;" is more than Eligible for Emergency Contraceptive Pill"&amp;CHAR(10),""),IF(N267&gt;N266," * Given Emergency Contraceptive Pill for Age "&amp;N20&amp;" "&amp;N21&amp;" is more than Eligible for Emergency Contraceptive Pill"&amp;CHAR(10),""),IF(O267&gt;O266," * Given Emergency Contraceptive Pill for Age "&amp;N20&amp;" "&amp;O21&amp;" is more than Eligible for Emergency Contraceptive Pill"&amp;CHAR(10),""),IF(P267&gt;P266," * Given Emergency Contraceptive Pill for Age "&amp;P20&amp;" "&amp;P21&amp;" is more than Eligible for Emergency Contraceptive Pill"&amp;CHAR(10),""),IF(Q267&gt;Q266," * Given Emergency Contraceptive Pill for Age "&amp;P20&amp;" "&amp;Q21&amp;" is more than Eligible for Emergency Contraceptive Pill"&amp;CHAR(10),""),IF(R267&gt;R266," * Given Emergency Contraceptive Pill for Age "&amp;R20&amp;" "&amp;R21&amp;" is more than Eligible for Emergency Contraceptive Pill"&amp;CHAR(10),""),IF(S267&gt;S266," * Given Emergency Contraceptive Pill for Age "&amp;R20&amp;" "&amp;S21&amp;" is more than Eligible for Emergency Contraceptive Pill"&amp;CHAR(10),""),IF(T267&gt;T266," * Given Emergency Contraceptive Pill for Age "&amp;T20&amp;" "&amp;T21&amp;" is more than Eligible for Emergency Contraceptive Pill"&amp;CHAR(10),""),IF(U267&gt;U266," * Given Emergency Contraceptive Pill for Age "&amp;T20&amp;" "&amp;U21&amp;" is more than Eligible for Emergency Contraceptive Pill"&amp;CHAR(10),""),IF(V267&gt;V266," * Given Emergency Contraceptive Pill for Age "&amp;V20&amp;" "&amp;V21&amp;" is more than Eligible for Emergency Contraceptive Pill"&amp;CHAR(10),""),IF(W267&gt;W266," * Given Emergency Contraceptive Pill for Age "&amp;V20&amp;" "&amp;W21&amp;" is more than Eligible for Emergency Contraceptive Pill"&amp;CHAR(10),""),IF(X267&gt;X266," * Given Emergency Contraceptive Pill for Age "&amp;X20&amp;" "&amp;X21&amp;" is more than Eligible for Emergency Contraceptive Pill"&amp;CHAR(10),""),IF(Y267&gt;Y266," * Given Emergency Contraceptive Pill for Age "&amp;X20&amp;" "&amp;Y21&amp;" is more than Eligible for Emergency Contraceptive Pill"&amp;CHAR(10),""),IF(Z267&gt;Z266," * Given Emergency Contraceptive Pill for Age "&amp;Z20&amp;" "&amp;Z21&amp;" is more than Eligible for Emergency Contraceptive Pill"&amp;CHAR(10),""),IF(AA267&gt;AA266," * Given Emergency Contraceptive Pill for Age "&amp;Z20&amp;" "&amp;AA21&amp;" is more than Eligible for Emergency Contraceptive Pill"&amp;CHAR(10),""))</f>
        <v/>
      </c>
      <c r="AL267" s="1040"/>
      <c r="AM267" s="31"/>
      <c r="AN267" s="1027"/>
      <c r="AO267" s="13">
        <v>186</v>
      </c>
      <c r="AP267" s="74"/>
      <c r="AQ267" s="149"/>
    </row>
    <row r="268" spans="1:43" s="14" customFormat="1" ht="26.25" x14ac:dyDescent="0.4">
      <c r="A268" s="1087"/>
      <c r="B268" s="198" t="s">
        <v>675</v>
      </c>
      <c r="C268" s="576" t="s">
        <v>259</v>
      </c>
      <c r="D268" s="199"/>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350"/>
      <c r="AB268" s="386"/>
      <c r="AC268" s="356"/>
      <c r="AD268" s="356"/>
      <c r="AE268" s="356"/>
      <c r="AF268" s="356"/>
      <c r="AG268" s="356"/>
      <c r="AH268" s="356"/>
      <c r="AI268" s="313"/>
      <c r="AJ268" s="173">
        <f t="shared" si="133"/>
        <v>0</v>
      </c>
      <c r="AK268" s="1083" t="str">
        <f>CONCATENATE(IF(D269&gt;D268," * F05-11 for Age "&amp;D20&amp;" "&amp;D21&amp;" is more than F05-10"&amp;CHAR(10),""),IF(E269&gt;E268," * F05-11 for Age "&amp;D20&amp;" "&amp;E21&amp;" is more than F05-10"&amp;CHAR(10),""),IF(F269&gt;F268," * F05-11 for Age "&amp;F20&amp;" "&amp;F21&amp;" is more than F05-10"&amp;CHAR(10),""),IF(G269&gt;G268," * F05-11 for Age "&amp;F20&amp;" "&amp;G21&amp;" is more than F05-10"&amp;CHAR(10),""),IF(H269&gt;H268," * F05-11 for Age "&amp;H20&amp;" "&amp;H21&amp;" is more than F05-10"&amp;CHAR(10),""),IF(I269&gt;I268," * F05-11 for Age "&amp;H20&amp;" "&amp;I21&amp;" is more than F05-10"&amp;CHAR(10),""),IF(J269&gt;J268," * F05-11 for Age "&amp;J20&amp;" "&amp;J21&amp;" is more than F05-10"&amp;CHAR(10),""),IF(K269&gt;K268," * F05-11 for Age "&amp;J20&amp;" "&amp;K21&amp;" is more than F05-10"&amp;CHAR(10),""),IF(L269&gt;L268," * F05-11 for Age "&amp;L20&amp;" "&amp;L21&amp;" is more than F05-10"&amp;CHAR(10),""),IF(M269&gt;M268," * F05-11 for Age "&amp;L20&amp;" "&amp;M21&amp;" is more than F05-10"&amp;CHAR(10),""),IF(N269&gt;N268," * F05-11 for Age "&amp;N20&amp;" "&amp;N21&amp;" is more than F05-10"&amp;CHAR(10),""),IF(O269&gt;O268," * F05-11 for Age "&amp;N20&amp;" "&amp;O21&amp;" is more than F05-10"&amp;CHAR(10),""),IF(P269&gt;P268," * F05-11 for Age "&amp;P20&amp;" "&amp;P21&amp;" is more than F05-10"&amp;CHAR(10),""),IF(Q269&gt;Q268," * F05-11 for Age "&amp;P20&amp;" "&amp;Q21&amp;" is more than F05-10"&amp;CHAR(10),""),IF(R269&gt;R268," * F05-11 for Age "&amp;R20&amp;" "&amp;R21&amp;" is more than F05-10"&amp;CHAR(10),""),IF(S269&gt;S268," * F05-11 for Age "&amp;R20&amp;" "&amp;S21&amp;" is more than F05-10"&amp;CHAR(10),""),IF(T269&gt;T268," * F05-11 for Age "&amp;T20&amp;" "&amp;T21&amp;" is more than F05-10"&amp;CHAR(10),""),IF(U269&gt;U268," * F05-11 for Age "&amp;T20&amp;" "&amp;U21&amp;" is more than F05-10"&amp;CHAR(10),""),IF(V269&gt;V268," * F05-11 for Age "&amp;V20&amp;" "&amp;V21&amp;" is more than F05-10"&amp;CHAR(10),""),IF(W269&gt;W268," * F05-11 for Age "&amp;V20&amp;" "&amp;W21&amp;" is more than F05-10"&amp;CHAR(10),""),IF(X269&gt;X268," * F05-11 for Age "&amp;X20&amp;" "&amp;X21&amp;" is more than F05-10"&amp;CHAR(10),""),IF(Y269&gt;Y268," * F05-11 for Age "&amp;X20&amp;" "&amp;Y21&amp;" is more than F05-10"&amp;CHAR(10),""),IF(Z269&gt;Z268," * F05-11 for Age "&amp;Z20&amp;" "&amp;Z21&amp;" is more than F05-10"&amp;CHAR(10),""),IF(AA269&gt;AA268," * F05-11 for Age "&amp;Z20&amp;" "&amp;AA21&amp;" is more than F05-10"&amp;CHAR(10),""),IF(AJ269&gt;AJ268," * Total F05-11 is more than Total F05-10"&amp;CHAR(10),""))</f>
        <v/>
      </c>
      <c r="AL268" s="1040"/>
      <c r="AM268" s="31"/>
      <c r="AN268" s="1027"/>
      <c r="AO268" s="13">
        <v>187</v>
      </c>
      <c r="AP268" s="74"/>
      <c r="AQ268" s="149"/>
    </row>
    <row r="269" spans="1:43" s="14" customFormat="1" ht="30" thickBot="1" x14ac:dyDescent="0.45">
      <c r="A269" s="1088"/>
      <c r="B269" s="202" t="s">
        <v>1002</v>
      </c>
      <c r="C269" s="577" t="s">
        <v>260</v>
      </c>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352"/>
      <c r="AB269" s="386"/>
      <c r="AC269" s="356"/>
      <c r="AD269" s="356"/>
      <c r="AE269" s="356"/>
      <c r="AF269" s="356"/>
      <c r="AG269" s="356"/>
      <c r="AH269" s="356"/>
      <c r="AI269" s="313"/>
      <c r="AJ269" s="192">
        <f t="shared" si="133"/>
        <v>0</v>
      </c>
      <c r="AK269" s="1083"/>
      <c r="AL269" s="1040"/>
      <c r="AM269" s="31"/>
      <c r="AN269" s="1027"/>
      <c r="AO269" s="13">
        <v>188</v>
      </c>
      <c r="AP269" s="74"/>
      <c r="AQ269" s="149"/>
    </row>
    <row r="270" spans="1:43" s="14" customFormat="1" ht="26.25" x14ac:dyDescent="0.4">
      <c r="A270" s="1086" t="s">
        <v>111</v>
      </c>
      <c r="B270" s="136" t="s">
        <v>676</v>
      </c>
      <c r="C270" s="575" t="s">
        <v>261</v>
      </c>
      <c r="D270" s="142"/>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335"/>
      <c r="AB270" s="386"/>
      <c r="AC270" s="356"/>
      <c r="AD270" s="356"/>
      <c r="AE270" s="356"/>
      <c r="AF270" s="356"/>
      <c r="AG270" s="356"/>
      <c r="AH270" s="356"/>
      <c r="AI270" s="313"/>
      <c r="AJ270" s="188">
        <f t="shared" si="133"/>
        <v>0</v>
      </c>
      <c r="AK270" s="1083" t="str">
        <f>CONCATENATE(IF(D271&gt;D270," * F05-13 for Age "&amp;D20&amp;" "&amp;D21&amp;" is more than F05-12"&amp;CHAR(10),""),IF(E271&gt;E270," * F05-13 for Age "&amp;D20&amp;" "&amp;E21&amp;" is more than F05-12"&amp;CHAR(10),""),IF(F271&gt;F270," * F05-13 for Age "&amp;F20&amp;" "&amp;F21&amp;" is more than F05-12"&amp;CHAR(10),""),IF(G271&gt;G270," * F05-13 for Age "&amp;F20&amp;" "&amp;G21&amp;" is more than F05-12"&amp;CHAR(10),""),IF(H271&gt;H270," * F05-13 for Age "&amp;H20&amp;" "&amp;H21&amp;" is more than F05-12"&amp;CHAR(10),""),IF(I271&gt;I270," * F05-13 for Age "&amp;H20&amp;" "&amp;I21&amp;" is more than F05-12"&amp;CHAR(10),""),IF(J271&gt;J270," * F05-13 for Age "&amp;J20&amp;" "&amp;J21&amp;" is more than F05-12"&amp;CHAR(10),""),IF(K271&gt;K270," * F05-13 for Age "&amp;J20&amp;" "&amp;K21&amp;" is more than F05-12"&amp;CHAR(10),""),IF(L271&gt;L270," * F05-13 for Age "&amp;L20&amp;" "&amp;L21&amp;" is more than F05-12"&amp;CHAR(10),""),IF(M271&gt;M270," * F05-13 for Age "&amp;L20&amp;" "&amp;M21&amp;" is more than F05-12"&amp;CHAR(10),""),IF(N271&gt;N270," * F05-13 for Age "&amp;N20&amp;" "&amp;N21&amp;" is more than F05-12"&amp;CHAR(10),""),IF(O271&gt;O270," * F05-13 for Age "&amp;N20&amp;" "&amp;O21&amp;" is more than F05-12"&amp;CHAR(10),""),IF(P271&gt;P270," * F05-13 for Age "&amp;P20&amp;" "&amp;P21&amp;" is more than F05-12"&amp;CHAR(10),""),IF(Q271&gt;Q270," * F05-13 for Age "&amp;P20&amp;" "&amp;Q21&amp;" is more than F05-12"&amp;CHAR(10),""),IF(R271&gt;R270," * F05-13 for Age "&amp;R20&amp;" "&amp;R21&amp;" is more than F05-12"&amp;CHAR(10),""),IF(S271&gt;S270," * F05-13 for Age "&amp;R20&amp;" "&amp;S21&amp;" is more than F05-12"&amp;CHAR(10),""),IF(T271&gt;T270," * F05-13 for Age "&amp;T20&amp;" "&amp;T21&amp;" is more than F05-12"&amp;CHAR(10),""),IF(U271&gt;U270," * F05-13 for Age "&amp;T20&amp;" "&amp;U21&amp;" is more than F05-12"&amp;CHAR(10),""),IF(V271&gt;V270," * F05-13 for Age "&amp;V20&amp;" "&amp;V21&amp;" is more than F05-12"&amp;CHAR(10),""),IF(W271&gt;W270," * F05-13 for Age "&amp;V20&amp;" "&amp;W21&amp;" is more than F05-12"&amp;CHAR(10),""),IF(X271&gt;X270," * F05-13 for Age "&amp;X20&amp;" "&amp;X21&amp;" is more than F05-12"&amp;CHAR(10),""),IF(Y271&gt;Y270," * F05-13 for Age "&amp;X20&amp;" "&amp;Y21&amp;" is more than F05-12"&amp;CHAR(10),""),IF(Z271&gt;Z270," * F05-13 for Age "&amp;Z20&amp;" "&amp;Z21&amp;" is more than F05-12"&amp;CHAR(10),""),IF(AA271&gt;AA270," * F05-13 for Age "&amp;Z20&amp;" "&amp;AA21&amp;" is more than F05-12"&amp;CHAR(10),""),IF(AJ271&gt;AJ270," * Total F05-13 is more than Total F05-12"&amp;CHAR(10),""))</f>
        <v/>
      </c>
      <c r="AL270" s="1040"/>
      <c r="AM270" s="31"/>
      <c r="AN270" s="1027"/>
      <c r="AO270" s="13">
        <v>189</v>
      </c>
      <c r="AP270" s="74"/>
      <c r="AQ270" s="149"/>
    </row>
    <row r="271" spans="1:43" s="14" customFormat="1" ht="26.25" x14ac:dyDescent="0.4">
      <c r="A271" s="1087"/>
      <c r="B271" s="198" t="s">
        <v>677</v>
      </c>
      <c r="C271" s="576" t="s">
        <v>262</v>
      </c>
      <c r="D271" s="199"/>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350"/>
      <c r="AB271" s="386"/>
      <c r="AC271" s="356"/>
      <c r="AD271" s="356"/>
      <c r="AE271" s="356"/>
      <c r="AF271" s="356"/>
      <c r="AG271" s="356"/>
      <c r="AH271" s="356"/>
      <c r="AI271" s="313"/>
      <c r="AJ271" s="173">
        <f t="shared" si="133"/>
        <v>0</v>
      </c>
      <c r="AK271" s="1083"/>
      <c r="AL271" s="1040"/>
      <c r="AM271" s="31"/>
      <c r="AN271" s="1027"/>
      <c r="AO271" s="13">
        <v>190</v>
      </c>
      <c r="AP271" s="74"/>
      <c r="AQ271" s="149"/>
    </row>
    <row r="272" spans="1:43" s="14" customFormat="1" ht="26.25" x14ac:dyDescent="0.4">
      <c r="A272" s="1087"/>
      <c r="B272" s="198" t="s">
        <v>678</v>
      </c>
      <c r="C272" s="576" t="s">
        <v>319</v>
      </c>
      <c r="D272" s="201"/>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331"/>
      <c r="AB272" s="386"/>
      <c r="AC272" s="356"/>
      <c r="AD272" s="356"/>
      <c r="AE272" s="356"/>
      <c r="AF272" s="356"/>
      <c r="AG272" s="356"/>
      <c r="AH272" s="356"/>
      <c r="AI272" s="313"/>
      <c r="AJ272" s="173">
        <f t="shared" si="133"/>
        <v>0</v>
      </c>
      <c r="AK272" s="116" t="str">
        <f>CONCATENATE(IF(D272&gt;D270," * F05-14 for Age "&amp;D20&amp;" "&amp;D21&amp;" is more than F05-12"&amp;CHAR(10),""),IF(E272&gt;E270," * F05-14 for Age "&amp;D20&amp;" "&amp;E21&amp;" is more than F05-12"&amp;CHAR(10),""),IF(F272&gt;F270," * F05-14 for Age "&amp;F20&amp;" "&amp;F21&amp;" is more than F05-12"&amp;CHAR(10),""),IF(G272&gt;G270," * F05-14 for Age "&amp;F20&amp;" "&amp;G21&amp;" is more than F05-12"&amp;CHAR(10),""),IF(H272&gt;H270," * F05-14 for Age "&amp;H20&amp;" "&amp;H21&amp;" is more than F05-12"&amp;CHAR(10),""),IF(I272&gt;I270," * F05-14 for Age "&amp;H20&amp;" "&amp;I21&amp;" is more than F05-12"&amp;CHAR(10),""),IF(J272&gt;J270," * F05-14 for Age "&amp;J20&amp;" "&amp;J21&amp;" is more than F05-12"&amp;CHAR(10),""),IF(K272&gt;K270," * F05-14 for Age "&amp;J20&amp;" "&amp;K21&amp;" is more than F05-12"&amp;CHAR(10),""),IF(L272&gt;L270," * F05-14 for Age "&amp;L20&amp;" "&amp;L21&amp;" is more than F05-12"&amp;CHAR(10),""),IF(M272&gt;M270," * F05-14 for Age "&amp;L20&amp;" "&amp;M21&amp;" is more than F05-12"&amp;CHAR(10),""),IF(N272&gt;N270," * F05-14 for Age "&amp;N20&amp;" "&amp;N21&amp;" is more than F05-12"&amp;CHAR(10),""),IF(O272&gt;O270," * F05-14 for Age "&amp;N20&amp;" "&amp;O21&amp;" is more than F05-12"&amp;CHAR(10),""),IF(P272&gt;P270," * F05-14 for Age "&amp;P20&amp;" "&amp;P21&amp;" is more than F05-12"&amp;CHAR(10),""),IF(Q272&gt;Q270," * F05-14 for Age "&amp;P20&amp;" "&amp;Q21&amp;" is more than F05-12"&amp;CHAR(10),""),IF(R272&gt;R270," * F05-14 for Age "&amp;R20&amp;" "&amp;R21&amp;" is more than F05-12"&amp;CHAR(10),""),IF(S272&gt;S270," * F05-14 for Age "&amp;R20&amp;" "&amp;S21&amp;" is more than F05-12"&amp;CHAR(10),""),IF(T272&gt;T270," * F05-14 for Age "&amp;T20&amp;" "&amp;T21&amp;" is more than F05-12"&amp;CHAR(10),""),IF(U272&gt;U270," * F05-14 for Age "&amp;T20&amp;" "&amp;U21&amp;" is more than F05-12"&amp;CHAR(10),""),IF(V272&gt;V270," * F05-14 for Age "&amp;V20&amp;" "&amp;V21&amp;" is more than F05-12"&amp;CHAR(10),""),IF(W272&gt;W270," * F05-14 for Age "&amp;V20&amp;" "&amp;W21&amp;" is more than F05-12"&amp;CHAR(10),""),IF(X272&gt;X270," * F05-14 for Age "&amp;X20&amp;" "&amp;X21&amp;" is more than F05-12"&amp;CHAR(10),""),IF(Y272&gt;Y270," * F05-14 for Age "&amp;X20&amp;" "&amp;Y21&amp;" is more than F05-12"&amp;CHAR(10),""),IF(Z272&gt;Z270," * F05-14 for Age "&amp;Z20&amp;" "&amp;Z21&amp;" is more than F05-12"&amp;CHAR(10),""),IF(AA272&gt;AA270," * F05-14 for Age "&amp;Z20&amp;" "&amp;AA21&amp;" is more than F05-12"&amp;CHAR(10),""),IF(AJ272&gt;AJ270," * Total F05-14 is more than Total F05-12"&amp;CHAR(10),""))</f>
        <v/>
      </c>
      <c r="AL272" s="1040"/>
      <c r="AM272" s="31"/>
      <c r="AN272" s="1027"/>
      <c r="AO272" s="13">
        <v>191</v>
      </c>
      <c r="AP272" s="74"/>
      <c r="AQ272" s="149"/>
    </row>
    <row r="273" spans="1:43" s="14" customFormat="1" ht="27" thickBot="1" x14ac:dyDescent="0.45">
      <c r="A273" s="1235"/>
      <c r="B273" s="137" t="s">
        <v>679</v>
      </c>
      <c r="C273" s="577" t="s">
        <v>320</v>
      </c>
      <c r="D273" s="133"/>
      <c r="E273" s="120"/>
      <c r="F273" s="120"/>
      <c r="G273" s="120"/>
      <c r="H273" s="120"/>
      <c r="I273" s="120"/>
      <c r="J273" s="120"/>
      <c r="K273" s="129"/>
      <c r="L273" s="120"/>
      <c r="M273" s="129"/>
      <c r="N273" s="120"/>
      <c r="O273" s="129"/>
      <c r="P273" s="120"/>
      <c r="Q273" s="129"/>
      <c r="R273" s="120"/>
      <c r="S273" s="129"/>
      <c r="T273" s="120"/>
      <c r="U273" s="129"/>
      <c r="V273" s="120"/>
      <c r="W273" s="129"/>
      <c r="X273" s="120"/>
      <c r="Y273" s="129"/>
      <c r="Z273" s="120"/>
      <c r="AA273" s="331"/>
      <c r="AB273" s="387"/>
      <c r="AC273" s="388"/>
      <c r="AD273" s="388"/>
      <c r="AE273" s="388"/>
      <c r="AF273" s="388"/>
      <c r="AG273" s="388"/>
      <c r="AH273" s="388"/>
      <c r="AI273" s="314"/>
      <c r="AJ273" s="391">
        <f t="shared" si="133"/>
        <v>0</v>
      </c>
      <c r="AK273" s="122" t="str">
        <f>CONCATENATE(IF(D273&gt;D270," * F05-15 for Age "&amp;D20&amp;" "&amp;D21&amp;" is more than F05-12"&amp;CHAR(10),""),IF(E273&gt;E270," * F05-15 for Age "&amp;D20&amp;" "&amp;E21&amp;" is more than F05-12"&amp;CHAR(10),""),IF(F273&gt;F270," * F05-15 for Age "&amp;F20&amp;" "&amp;F21&amp;" is more than F05-12"&amp;CHAR(10),""),IF(G273&gt;G270," * F05-15 for Age "&amp;F20&amp;" "&amp;G21&amp;" is more than F05-12"&amp;CHAR(10),""),IF(H273&gt;H270," * F05-15 for Age "&amp;H20&amp;" "&amp;H21&amp;" is more than F05-12"&amp;CHAR(10),""),IF(I273&gt;I270," * F05-15 for Age "&amp;H20&amp;" "&amp;I21&amp;" is more than F05-12"&amp;CHAR(10),""),IF(J273&gt;J270," * F05-15 for Age "&amp;J20&amp;" "&amp;J21&amp;" is more than F05-12"&amp;CHAR(10),""),IF(K273&gt;K270," * F05-15 for Age "&amp;J20&amp;" "&amp;K21&amp;" is more than F05-12"&amp;CHAR(10),""),IF(L273&gt;L270," * F05-15 for Age "&amp;L20&amp;" "&amp;L21&amp;" is more than F05-12"&amp;CHAR(10),""),IF(M273&gt;M270," * F05-15 for Age "&amp;L20&amp;" "&amp;M21&amp;" is more than F05-12"&amp;CHAR(10),""),IF(N273&gt;N270," * F05-15 for Age "&amp;N20&amp;" "&amp;N21&amp;" is more than F05-12"&amp;CHAR(10),""),IF(O273&gt;O270," * F05-15 for Age "&amp;N20&amp;" "&amp;O21&amp;" is more than F05-12"&amp;CHAR(10),""),IF(P273&gt;P270," * F05-15 for Age "&amp;P20&amp;" "&amp;P21&amp;" is more than F05-12"&amp;CHAR(10),""),IF(Q273&gt;Q270," * F05-15 for Age "&amp;P20&amp;" "&amp;Q21&amp;" is more than F05-12"&amp;CHAR(10),""),IF(R273&gt;R270," * F05-15 for Age "&amp;R20&amp;" "&amp;R21&amp;" is more than F05-12"&amp;CHAR(10),""),IF(S273&gt;S270," * F05-15 for Age "&amp;R20&amp;" "&amp;S21&amp;" is more than F05-12"&amp;CHAR(10),""),IF(T273&gt;T270," * F05-15 for Age "&amp;T20&amp;" "&amp;T21&amp;" is more than F05-12"&amp;CHAR(10),""),IF(U273&gt;U270," * F05-15 for Age "&amp;T20&amp;" "&amp;U21&amp;" is more than F05-12"&amp;CHAR(10),""),IF(V273&gt;V270," * F05-15 for Age "&amp;V20&amp;" "&amp;V21&amp;" is more than F05-12"&amp;CHAR(10),""),IF(W273&gt;W270," * F05-15 for Age "&amp;V20&amp;" "&amp;W21&amp;" is more than F05-12"&amp;CHAR(10),""),IF(X273&gt;X270," * F05-15 for Age "&amp;X20&amp;" "&amp;X21&amp;" is more than F05-12"&amp;CHAR(10),""),IF(Y273&gt;Y270," * F05-15 for Age "&amp;X20&amp;" "&amp;Y21&amp;" is more than F05-12"&amp;CHAR(10),""),IF(Z273&gt;Z270," * F05-15 for Age "&amp;Z20&amp;" "&amp;Z21&amp;" is more than F05-12"&amp;CHAR(10),""),IF(AA273&gt;AA270," * F05-15 for Age "&amp;Z20&amp;" "&amp;AA21&amp;" is more than F05-12"&amp;CHAR(10),""),IF(AJ273&gt;AJ270," * Total F05-12 is more than Total F05-12"&amp;CHAR(10),""))</f>
        <v/>
      </c>
      <c r="AL273" s="1046"/>
      <c r="AM273" s="123"/>
      <c r="AN273" s="1028"/>
      <c r="AO273" s="13">
        <v>192</v>
      </c>
      <c r="AP273" s="74"/>
      <c r="AQ273" s="149"/>
    </row>
    <row r="274" spans="1:43" ht="27" thickBot="1" x14ac:dyDescent="0.45">
      <c r="A274" s="1017" t="s">
        <v>128</v>
      </c>
      <c r="B274" s="1015"/>
      <c r="C274" s="1015"/>
      <c r="D274" s="1015"/>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4"/>
      <c r="AC274" s="1014"/>
      <c r="AD274" s="1014"/>
      <c r="AE274" s="1014"/>
      <c r="AF274" s="1014"/>
      <c r="AG274" s="1014"/>
      <c r="AH274" s="1014"/>
      <c r="AI274" s="1014"/>
      <c r="AJ274" s="1015"/>
      <c r="AK274" s="1015"/>
      <c r="AL274" s="1015"/>
      <c r="AM274" s="1015"/>
      <c r="AN274" s="1016"/>
      <c r="AO274" s="13">
        <v>193</v>
      </c>
      <c r="AP274" s="74"/>
      <c r="AQ274" s="75"/>
    </row>
    <row r="275" spans="1:43" ht="26.25" customHeight="1" x14ac:dyDescent="0.4">
      <c r="A275" s="1059" t="s">
        <v>37</v>
      </c>
      <c r="B275" s="1084" t="s">
        <v>344</v>
      </c>
      <c r="C275" s="1057" t="s">
        <v>325</v>
      </c>
      <c r="D275" s="1079" t="s">
        <v>0</v>
      </c>
      <c r="E275" s="1037"/>
      <c r="F275" s="1037" t="s">
        <v>1</v>
      </c>
      <c r="G275" s="1037"/>
      <c r="H275" s="1037" t="s">
        <v>2</v>
      </c>
      <c r="I275" s="1037"/>
      <c r="J275" s="1037" t="s">
        <v>3</v>
      </c>
      <c r="K275" s="1037"/>
      <c r="L275" s="1037" t="s">
        <v>4</v>
      </c>
      <c r="M275" s="1037"/>
      <c r="N275" s="1037" t="s">
        <v>5</v>
      </c>
      <c r="O275" s="1037"/>
      <c r="P275" s="1037" t="s">
        <v>6</v>
      </c>
      <c r="Q275" s="1037"/>
      <c r="R275" s="1037" t="s">
        <v>7</v>
      </c>
      <c r="S275" s="1037"/>
      <c r="T275" s="1037" t="s">
        <v>8</v>
      </c>
      <c r="U275" s="1037"/>
      <c r="V275" s="1037" t="s">
        <v>23</v>
      </c>
      <c r="W275" s="1037"/>
      <c r="X275" s="1037" t="s">
        <v>24</v>
      </c>
      <c r="Y275" s="1037"/>
      <c r="Z275" s="1037" t="s">
        <v>9</v>
      </c>
      <c r="AA275" s="1038"/>
      <c r="AB275" s="1042"/>
      <c r="AC275" s="1043"/>
      <c r="AD275" s="1043"/>
      <c r="AE275" s="1043"/>
      <c r="AF275" s="1043"/>
      <c r="AG275" s="1043"/>
      <c r="AH275" s="1043"/>
      <c r="AI275" s="1284"/>
      <c r="AJ275" s="1050" t="s">
        <v>19</v>
      </c>
      <c r="AK275" s="1052" t="s">
        <v>378</v>
      </c>
      <c r="AL275" s="1035" t="s">
        <v>384</v>
      </c>
      <c r="AM275" s="1029" t="s">
        <v>385</v>
      </c>
      <c r="AN275" s="1024" t="s">
        <v>385</v>
      </c>
      <c r="AO275" s="13">
        <v>194</v>
      </c>
      <c r="AP275" s="74"/>
      <c r="AQ275" s="75"/>
    </row>
    <row r="276" spans="1:43" ht="27" customHeight="1" thickBot="1" x14ac:dyDescent="0.45">
      <c r="A276" s="1060"/>
      <c r="B276" s="1085"/>
      <c r="C276" s="1120"/>
      <c r="D276" s="295" t="s">
        <v>10</v>
      </c>
      <c r="E276" s="68" t="s">
        <v>11</v>
      </c>
      <c r="F276" s="68" t="s">
        <v>10</v>
      </c>
      <c r="G276" s="68" t="s">
        <v>11</v>
      </c>
      <c r="H276" s="68" t="s">
        <v>10</v>
      </c>
      <c r="I276" s="68" t="s">
        <v>11</v>
      </c>
      <c r="J276" s="68" t="s">
        <v>10</v>
      </c>
      <c r="K276" s="68" t="s">
        <v>11</v>
      </c>
      <c r="L276" s="68" t="s">
        <v>10</v>
      </c>
      <c r="M276" s="68" t="s">
        <v>11</v>
      </c>
      <c r="N276" s="68" t="s">
        <v>10</v>
      </c>
      <c r="O276" s="68" t="s">
        <v>11</v>
      </c>
      <c r="P276" s="68" t="s">
        <v>10</v>
      </c>
      <c r="Q276" s="68" t="s">
        <v>11</v>
      </c>
      <c r="R276" s="68" t="s">
        <v>10</v>
      </c>
      <c r="S276" s="68" t="s">
        <v>11</v>
      </c>
      <c r="T276" s="68" t="s">
        <v>10</v>
      </c>
      <c r="U276" s="68" t="s">
        <v>11</v>
      </c>
      <c r="V276" s="68" t="s">
        <v>10</v>
      </c>
      <c r="W276" s="68" t="s">
        <v>11</v>
      </c>
      <c r="X276" s="68" t="s">
        <v>10</v>
      </c>
      <c r="Y276" s="68" t="s">
        <v>11</v>
      </c>
      <c r="Z276" s="68" t="s">
        <v>10</v>
      </c>
      <c r="AA276" s="368" t="s">
        <v>11</v>
      </c>
      <c r="AB276" s="370"/>
      <c r="AC276" s="371"/>
      <c r="AD276" s="371"/>
      <c r="AE276" s="371"/>
      <c r="AF276" s="371"/>
      <c r="AG276" s="371"/>
      <c r="AH276" s="371"/>
      <c r="AI276" s="372"/>
      <c r="AJ276" s="1051"/>
      <c r="AK276" s="1053"/>
      <c r="AL276" s="1036"/>
      <c r="AM276" s="1029"/>
      <c r="AN276" s="1025"/>
      <c r="AO276" s="13">
        <v>195</v>
      </c>
      <c r="AP276" s="74"/>
      <c r="AQ276" s="75"/>
    </row>
    <row r="277" spans="1:43" ht="31.15" customHeight="1" x14ac:dyDescent="0.4">
      <c r="A277" s="1221" t="s">
        <v>115</v>
      </c>
      <c r="B277" s="203" t="s">
        <v>680</v>
      </c>
      <c r="C277" s="595" t="s">
        <v>366</v>
      </c>
      <c r="D277" s="70"/>
      <c r="E277" s="71"/>
      <c r="F277" s="71"/>
      <c r="G277" s="71"/>
      <c r="H277" s="71"/>
      <c r="I277" s="71"/>
      <c r="J277" s="71"/>
      <c r="K277" s="127"/>
      <c r="L277" s="71"/>
      <c r="M277" s="127"/>
      <c r="N277" s="71"/>
      <c r="O277" s="127"/>
      <c r="P277" s="71"/>
      <c r="Q277" s="127"/>
      <c r="R277" s="71"/>
      <c r="S277" s="127"/>
      <c r="T277" s="71"/>
      <c r="U277" s="127"/>
      <c r="V277" s="71"/>
      <c r="W277" s="127"/>
      <c r="X277" s="71"/>
      <c r="Y277" s="127"/>
      <c r="Z277" s="71"/>
      <c r="AA277" s="353"/>
      <c r="AB277" s="384"/>
      <c r="AC277" s="385"/>
      <c r="AD277" s="385"/>
      <c r="AE277" s="385"/>
      <c r="AF277" s="385"/>
      <c r="AG277" s="385"/>
      <c r="AH277" s="385"/>
      <c r="AI277" s="316"/>
      <c r="AJ277" s="395">
        <f>SUM(D277:AA277)</f>
        <v>0</v>
      </c>
      <c r="AK277" s="139" t="str">
        <f>CONCATENATE(IF(D277&lt;SUM(D278,D279)," * Sum of (KP at ANC1 and initial test at ANC1) for Age "&amp;D20&amp;" "&amp;D21&amp;" is more than New 1st ANC Clients"&amp;CHAR(10),""),IF(E277&lt;SUM(E278,E279,E219)," * Sum of (KP at ANC1 and initial test at ANC1) for Age "&amp;D20&amp;" "&amp;E21&amp;" is more than New 1st ANC Clients"&amp;CHAR(10),""),IF(F277&lt;SUM(F278,F279)," * Sum of (KP at ANC1 and initial test at ANC1) for Age "&amp;F20&amp;" "&amp;F21&amp;" is more than New 1st ANC Clients"&amp;CHAR(10),""),IF(G277&lt;SUM(G278,G279,G219)," * Sum of (KP at ANC1 and initial test at ANC1) for Age "&amp;F20&amp;" "&amp;G21&amp;" is more than New 1st ANC Clients"&amp;CHAR(10),""),IF(H277&lt;SUM(H278,H279)," * Sum of (KP at ANC1 and initial test at ANC1) for Age "&amp;H20&amp;" "&amp;H21&amp;" is more than New 1st ANC Clients"&amp;CHAR(10),""),IF(I277&lt;SUM(I278,I279,I219)," * Sum of (KP at ANC1 and initial test at ANC1) for Age "&amp;H20&amp;" "&amp;I21&amp;" is more than New 1st ANC Clients"&amp;CHAR(10),""),IF(J277&lt;SUM(J278,J279)," * Sum of (KP at ANC1 and initial test at ANC1) for Age "&amp;J20&amp;" "&amp;J21&amp;" is more than New 1st ANC Clients"&amp;CHAR(10),""),IF(K277&lt;SUM(K278,K279,K219)," * Sum of (KP at ANC1 and initial test at ANC1) for Age "&amp;J20&amp;" "&amp;K21&amp;" is more than New 1st ANC Clients"&amp;CHAR(10),""),IF(L277&lt;SUM(L278,L279)," * Sum of (KP at ANC1 and initial test at ANC1) for Age "&amp;L20&amp;" "&amp;L21&amp;" is more than New 1st ANC Clients"&amp;CHAR(10),""),IF(M277&lt;SUM(M278,M279,M219)," * Sum of (KP at ANC1 and initial test at ANC1) for Age "&amp;L20&amp;" "&amp;M21&amp;" is more than New 1st ANC Clients"&amp;CHAR(10),""),IF(N277&lt;SUM(N278,N279)," * Sum of (KP at ANC1 and initial test at ANC1) for Age "&amp;N20&amp;" "&amp;N21&amp;" is more than New 1st ANC Clients"&amp;CHAR(10),""),IF(O277&lt;SUM(O278,O279,O219)," * Sum of (KP at ANC1 and initial test at ANC1) for Age "&amp;N20&amp;" "&amp;O21&amp;" is more than New 1st ANC Clients"&amp;CHAR(10),""),IF(P277&lt;SUM(P278,P279)," * Sum of (KP at ANC1 and initial test at ANC1) for Age "&amp;P20&amp;" "&amp;P21&amp;" is more than New 1st ANC Clients"&amp;CHAR(10),""),IF(Q277&lt;SUM(Q278,Q279,Q219)," * Sum of (KP at ANC1 and initial test at ANC1) for Age "&amp;P20&amp;" "&amp;Q21&amp;" is more than New 1st ANC Clients"&amp;CHAR(10),""),IF(R277&lt;SUM(R278,R279)," * Sum of (KP at ANC1 and initial test at ANC1) for Age "&amp;R20&amp;" "&amp;R21&amp;" is more than New 1st ANC Clients"&amp;CHAR(10),""),IF(S277&lt;SUM(S278,S279,S219)," * Sum of (KP at ANC1 and initial test at ANC1) for Age "&amp;R20&amp;" "&amp;S21&amp;" is more than New 1st ANC Clients"&amp;CHAR(10),""),IF(T277&lt;SUM(T278,T279)," * Sum of (KP at ANC1 and initial test at ANC1) for Age "&amp;T20&amp;" "&amp;T21&amp;" is more than New 1st ANC Clients"&amp;CHAR(10),""),IF(U277&lt;SUM(U278,U279,U219)," * Sum of (KP at ANC1 and initial test at ANC1) for Age "&amp;T20&amp;" "&amp;U21&amp;" is more than New 1st ANC Clients"&amp;CHAR(10),""),IF(V277&lt;SUM(V278,V279)," * Sum of (KP at ANC1 and initial test at ANC1) for Age "&amp;V20&amp;" "&amp;V21&amp;" is more than New 1st ANC Clients"&amp;CHAR(10),""),IF(W277&lt;SUM(W278,W279,W219)," * Sum of (KP at ANC1 and initial test at ANC1) for Age "&amp;V20&amp;" "&amp;W21&amp;" is more than New 1st ANC Clients"&amp;CHAR(10),""),IF(X277&lt;SUM(X278,X279)," * Sum of (KP at ANC1 and initial test at ANC1) for Age "&amp;X20&amp;" "&amp;X21&amp;" is more than New 1st ANC Clients"&amp;CHAR(10),""),IF(Y277&lt;SUM(Y278,Y279,Y219)," * Sum of (KP at ANC1 and initial test at ANC1) for Age "&amp;X20&amp;" "&amp;Y21&amp;" is more than New 1st ANC Clients"&amp;CHAR(10),""),IF(Z277&lt;SUM(Z278,Z279)," * Sum of (KP at ANC1 and initial test at ANC1) for Age "&amp;Z20&amp;" "&amp;Z21&amp;" is more than New 1st ANC Clients"&amp;CHAR(10),""),IF(AA277&lt;SUM(AA278,AA279,AA219)," * Sum of (KP at ANC1 and initial test at ANC1) for Age "&amp;Z20&amp;" "&amp;AA21&amp;" is more than New 1st ANC Clients"&amp;CHAR(10),""),IF(AJ277&lt;SUM(AJ278,AJ279)," * Total Sum of (KP at ANC1 and initial test at ANC1) is more than New 1st ANC Clients"&amp;CHAR(10),""))</f>
        <v/>
      </c>
      <c r="AL277" s="1018" t="str">
        <f>CONCATENATE(AK277,AK278,AK279,AK280,AK283,AK287,AK291,AK299,AK290,AK289,AK281,AK282,AK286,AK293,AK294,AK295,AK296,AK298,AK297,AK285)</f>
        <v/>
      </c>
      <c r="AM277" s="204"/>
      <c r="AN277" s="1230" t="str">
        <f>CONCATENATE(AM277,AM278,AM279,AM280,AM283,AM284,AM287,AM288,AM291,AM292,AM299,AM300,AM281,AM282,AM285,AM286,AM289,AM290,AM293,AM294,AM295,AM296)</f>
        <v/>
      </c>
      <c r="AO277" s="13">
        <v>196</v>
      </c>
      <c r="AP277" s="74"/>
      <c r="AQ277" s="75"/>
    </row>
    <row r="278" spans="1:43" ht="31.15" customHeight="1" x14ac:dyDescent="0.4">
      <c r="A278" s="1159"/>
      <c r="B278" s="205" t="s">
        <v>681</v>
      </c>
      <c r="C278" s="576" t="s">
        <v>273</v>
      </c>
      <c r="D278" s="77"/>
      <c r="E278" s="78"/>
      <c r="F278" s="78"/>
      <c r="G278" s="78"/>
      <c r="H278" s="78"/>
      <c r="I278" s="78"/>
      <c r="J278" s="78"/>
      <c r="K278" s="206"/>
      <c r="L278" s="207"/>
      <c r="M278" s="206"/>
      <c r="N278" s="207"/>
      <c r="O278" s="206"/>
      <c r="P278" s="207"/>
      <c r="Q278" s="206"/>
      <c r="R278" s="207"/>
      <c r="S278" s="206"/>
      <c r="T278" s="207"/>
      <c r="U278" s="206"/>
      <c r="V278" s="207"/>
      <c r="W278" s="206"/>
      <c r="X278" s="207"/>
      <c r="Y278" s="206"/>
      <c r="Z278" s="78"/>
      <c r="AA278" s="354"/>
      <c r="AB278" s="386"/>
      <c r="AC278" s="356"/>
      <c r="AD278" s="356"/>
      <c r="AE278" s="356"/>
      <c r="AF278" s="356"/>
      <c r="AG278" s="356"/>
      <c r="AH278" s="356"/>
      <c r="AI278" s="313"/>
      <c r="AJ278" s="396">
        <f t="shared" ref="AJ278:AJ308" si="134">SUM(D278:AA278)</f>
        <v>0</v>
      </c>
      <c r="AK278" s="116" t="str">
        <f>CONCATENATE(IF(D313&gt;D278," * ON HAART at 1st ANC for Age "&amp;D20&amp;" "&amp;D21&amp;" is more than KP at 1st ANC "&amp;CHAR(10),""),IF(E313&gt;E278," * ON HAART at 1st ANC for Age "&amp;D20&amp;" "&amp;E21&amp;" is more than KP at 1st ANC "&amp;CHAR(10),""),IF(F313&gt;F278," * ON HAART at 1st ANC for Age "&amp;F20&amp;" "&amp;F21&amp;" is more than KP at 1st ANC "&amp;CHAR(10),""),IF(G313&gt;G278," * ON HAART at 1st ANC for Age "&amp;F20&amp;" "&amp;G21&amp;" is more than KP at 1st ANC "&amp;CHAR(10),""),IF(H313&gt;H278," * ON HAART at 1st ANC for Age "&amp;H20&amp;" "&amp;H21&amp;" is more than KP at 1st ANC "&amp;CHAR(10),""),IF(I313&gt;I278," * ON HAART at 1st ANC for Age "&amp;H20&amp;" "&amp;I21&amp;" is more than KP at 1st ANC "&amp;CHAR(10),""),IF(J313&gt;J278," * ON HAART at 1st ANC for Age "&amp;J20&amp;" "&amp;J21&amp;" is more than KP at 1st ANC "&amp;CHAR(10),""),IF(K313&gt;K278," * ON HAART at 1st ANC for Age "&amp;J20&amp;" "&amp;K21&amp;" is more than KP at 1st ANC "&amp;CHAR(10),""),IF(L313&gt;L278," * ON HAART at 1st ANC for Age "&amp;L20&amp;" "&amp;L21&amp;" is more than KP at 1st ANC "&amp;CHAR(10),""),IF(M313&gt;M278," * ON HAART at 1st ANC for Age "&amp;L20&amp;" "&amp;M21&amp;" is more than KP at 1st ANC "&amp;CHAR(10),""),IF(N313&gt;N278," * ON HAART at 1st ANC for Age "&amp;N20&amp;" "&amp;N21&amp;" is more than KP at 1st ANC "&amp;CHAR(10),""),IF(O313&gt;O278," * ON HAART at 1st ANC for Age "&amp;N20&amp;" "&amp;O21&amp;" is more than KP at 1st ANC "&amp;CHAR(10),""),IF(P313&gt;P278," * ON HAART at 1st ANC for Age "&amp;P20&amp;" "&amp;P21&amp;" is more than KP at 1st ANC "&amp;CHAR(10),""),IF(Q313&gt;Q278," * ON HAART at 1st ANC for Age "&amp;P20&amp;" "&amp;Q21&amp;" is more than KP at 1st ANC "&amp;CHAR(10),""),IF(R313&gt;R278," * ON HAART at 1st ANC for Age "&amp;R20&amp;" "&amp;R21&amp;" is more than KP at 1st ANC "&amp;CHAR(10),""),IF(S313&gt;S278," * ON HAART at 1st ANC for Age "&amp;R20&amp;" "&amp;S21&amp;" is more than KP at 1st ANC "&amp;CHAR(10),""),IF(T313&gt;T278," * ON HAART at 1st ANC for Age "&amp;T20&amp;" "&amp;T21&amp;" is more than KP at 1st ANC "&amp;CHAR(10),""),IF(U313&gt;U278," * ON HAART at 1st ANC for Age "&amp;T20&amp;" "&amp;U21&amp;" is more than KP at 1st ANC "&amp;CHAR(10),""),IF(V313&gt;V278," * ON HAART at 1st ANC for Age "&amp;V20&amp;" "&amp;V21&amp;" is more than KP at 1st ANC "&amp;CHAR(10),""),IF(W313&gt;W278," * ON HAART at 1st ANC for Age "&amp;V20&amp;" "&amp;W21&amp;" is more than KP at 1st ANC "&amp;CHAR(10),""),IF(X313&gt;X278," * ON HAART at 1st ANC for Age "&amp;X20&amp;" "&amp;X21&amp;" is more than KP at 1st ANC "&amp;CHAR(10),""),IF(Y313&gt;Y278," * ON HAART at 1st ANC for Age "&amp;X20&amp;" "&amp;Y21&amp;" is more than KP at 1st ANC "&amp;CHAR(10),""),IF(Z313&gt;Z278," * ON HAART at 1st ANC for Age "&amp;Z20&amp;" "&amp;Z21&amp;" is more than KP at 1st ANC "&amp;CHAR(10),""),IF(AA313&gt;AA278," * ON HAART at 1st ANC for Age "&amp;Z20&amp;" "&amp;AA21&amp;" is more than KP at 1st ANC "&amp;CHAR(10),""))</f>
        <v/>
      </c>
      <c r="AL278" s="1019"/>
      <c r="AM278" s="208" t="str">
        <f>CONCATENATE(IF(D277&gt;SUM(D278,D279)," * Sum of (KP at ANC1 and initial test at ANC1) for Age "&amp;D20&amp;" "&amp;D21&amp;" is less than New 1st ANC Clients"&amp;CHAR(10),""),IF(E277&gt;SUM(E278,E279,E219)," * Sum of (KP at ANC1 and initial test at ANC1) for Age "&amp;D20&amp;" "&amp;E21&amp;" is less than New 1st ANC Clients"&amp;CHAR(10),""),IF(F277&gt;SUM(F278,F279)," * Sum of (KP at ANC1 and initial test at ANC1) for Age "&amp;F20&amp;" "&amp;F21&amp;" is less than New 1st ANC Clients"&amp;CHAR(10),""),IF(G277&gt;SUM(G278,G279,G219)," * Sum of (KP at ANC1 and initial test at ANC1) for Age "&amp;F20&amp;" "&amp;G21&amp;" is less than New 1st ANC Clients"&amp;CHAR(10),""),IF(H277&gt;SUM(H278,H279)," * Sum of (KP at ANC1 and initial test at ANC1) for Age "&amp;H20&amp;" "&amp;H21&amp;" is less than New 1st ANC Clients"&amp;CHAR(10),""),IF(I277&gt;SUM(I278,I279,I219)," * Sum of (KP at ANC1 and initial test at ANC1) for Age "&amp;H20&amp;" "&amp;I21&amp;" is less than New 1st ANC Clients"&amp;CHAR(10),""),IF(J277&gt;SUM(J278,J279)," * Sum of (KP at ANC1 and initial test at ANC1) for Age "&amp;J20&amp;" "&amp;J21&amp;" is less than New 1st ANC Clients"&amp;CHAR(10),""),IF(K277&gt;SUM(K278,K279,K219)," * Sum of (KP at ANC1 and initial test at ANC1) for Age "&amp;J20&amp;" "&amp;K21&amp;" is less than New 1st ANC Clients"&amp;CHAR(10),""),IF(L277&gt;SUM(L278,L279)," * Sum of (KP at ANC1 and initial test at ANC1) for Age "&amp;L20&amp;" "&amp;L21&amp;" is less than New 1st ANC Clients"&amp;CHAR(10),""),IF(M277&gt;SUM(M278,M279,M219)," * Sum of (KP at ANC1 and initial test at ANC1) for Age "&amp;L20&amp;" "&amp;M21&amp;" is less than New 1st ANC Clients"&amp;CHAR(10),""),IF(N277&gt;SUM(N278,N279)," * Sum of (KP at ANC1 and initial test at ANC1) for Age "&amp;N20&amp;" "&amp;N21&amp;" is less than New 1st ANC Clients"&amp;CHAR(10),""),IF(O277&gt;SUM(O278,O279,O219)," * Sum of (KP at ANC1 and initial test at ANC1) for Age "&amp;N20&amp;" "&amp;O21&amp;" is less than New 1st ANC Clients"&amp;CHAR(10),""),IF(P277&gt;SUM(P278,P279)," * Sum of (KP at ANC1 and initial test at ANC1) for Age "&amp;P20&amp;" "&amp;P21&amp;" is less than New 1st ANC Clients"&amp;CHAR(10),""),IF(Q277&gt;SUM(Q278,Q279,Q219)," * Sum of (KP at ANC1 and initial test at ANC1) for Age "&amp;P20&amp;" "&amp;Q21&amp;" is less than New 1st ANC Clients"&amp;CHAR(10),""),IF(R277&gt;SUM(R278,R279)," * Sum of (KP at ANC1 and initial test at ANC1) for Age "&amp;R20&amp;" "&amp;R21&amp;" is less than New 1st ANC Clients"&amp;CHAR(10),""),IF(S277&gt;SUM(S278,S279,S219)," * Sum of (KP at ANC1 and initial test at ANC1) for Age "&amp;R20&amp;" "&amp;S21&amp;" is less than New 1st ANC Clients"&amp;CHAR(10),""),IF(T277&gt;SUM(T278,T279)," * Sum of (KP at ANC1 and initial test at ANC1) for Age "&amp;T20&amp;" "&amp;T21&amp;" is less than New 1st ANC Clients"&amp;CHAR(10),""),IF(U277&gt;SUM(U278,U279,U219)," * Sum of (KP at ANC1 and initial test at ANC1) for Age "&amp;T20&amp;" "&amp;U21&amp;" is less than New 1st ANC Clients"&amp;CHAR(10),""),IF(V277&gt;SUM(V278,V279)," * Sum of (KP at ANC1 and initial test at ANC1) for Age "&amp;V20&amp;" "&amp;V21&amp;" is less than New 1st ANC Clients"&amp;CHAR(10),""),IF(W277&gt;SUM(W278,W279,W219)," * Sum of (KP at ANC1 and initial test at ANC1) for Age "&amp;V20&amp;" "&amp;W21&amp;" is less than New 1st ANC Clients"&amp;CHAR(10),""),IF(X277&gt;SUM(X278,X279)," * Sum of (KP at ANC1 and initial test at ANC1) for Age "&amp;X20&amp;" "&amp;X21&amp;" is less than New 1st ANC Clients"&amp;CHAR(10),""),IF(Y277&gt;SUM(Y278,Y279,Y219)," * Sum of (KP at ANC1 and initial test at ANC1) for Age "&amp;X20&amp;" "&amp;Y21&amp;" is less than New 1st ANC Clients"&amp;CHAR(10),""),IF(Z277&gt;SUM(Z278,Z279)," * Sum of (KP at ANC1 and initial test at ANC1) for Age "&amp;Z20&amp;" "&amp;Z21&amp;" is less than New 1st ANC Clients"&amp;CHAR(10),""),IF(AA277&gt;SUM(AA278,AA279,AA219)," * Sum of (KP at ANC1 and initial test at ANC1) for Age "&amp;Z20&amp;" "&amp;AA21&amp;" is less than New 1st ANC Clients"&amp;CHAR(10),""))</f>
        <v/>
      </c>
      <c r="AN278" s="1231"/>
      <c r="AO278" s="13">
        <v>197</v>
      </c>
      <c r="AP278" s="74"/>
      <c r="AQ278" s="75"/>
    </row>
    <row r="279" spans="1:43" ht="26.25" x14ac:dyDescent="0.4">
      <c r="A279" s="1159"/>
      <c r="B279" s="76" t="s">
        <v>682</v>
      </c>
      <c r="C279" s="576" t="s">
        <v>274</v>
      </c>
      <c r="D279" s="77"/>
      <c r="E279" s="78"/>
      <c r="F279" s="78"/>
      <c r="G279" s="78"/>
      <c r="H279" s="78"/>
      <c r="I279" s="78"/>
      <c r="J279" s="78"/>
      <c r="K279" s="79"/>
      <c r="L279" s="78"/>
      <c r="M279" s="79"/>
      <c r="N279" s="78"/>
      <c r="O279" s="79"/>
      <c r="P279" s="78"/>
      <c r="Q279" s="79"/>
      <c r="R279" s="78"/>
      <c r="S279" s="79"/>
      <c r="T279" s="78"/>
      <c r="U279" s="79"/>
      <c r="V279" s="78"/>
      <c r="W279" s="79"/>
      <c r="X279" s="78"/>
      <c r="Y279" s="79"/>
      <c r="Z279" s="78"/>
      <c r="AA279" s="354"/>
      <c r="AB279" s="386"/>
      <c r="AC279" s="356"/>
      <c r="AD279" s="356"/>
      <c r="AE279" s="356"/>
      <c r="AF279" s="356"/>
      <c r="AG279" s="356"/>
      <c r="AH279" s="356"/>
      <c r="AI279" s="313"/>
      <c r="AJ279" s="396">
        <f t="shared" si="134"/>
        <v>0</v>
      </c>
      <c r="AK279" s="116" t="str">
        <f>CONCATENATE(IF(D279&gt;D277," * F06-03 for Age "&amp;D20&amp;" "&amp;D21&amp;" is more than F06-01"&amp;CHAR(10),""),IF(E279&gt;E277," * F06-03 for Age "&amp;D20&amp;" "&amp;E21&amp;" is more than F06-01"&amp;CHAR(10),""),IF(F279&gt;F277," * F06-03 for Age "&amp;F20&amp;" "&amp;F21&amp;" is more than F06-01"&amp;CHAR(10),""),IF(G279&gt;G277," * F06-03 for Age "&amp;F20&amp;" "&amp;G21&amp;" is more than F06-01"&amp;CHAR(10),""),IF(H279&gt;H277," * F06-03 for Age "&amp;H20&amp;" "&amp;H21&amp;" is more than F06-01"&amp;CHAR(10),""),IF(I279&gt;I277," * F06-03 for Age "&amp;H20&amp;" "&amp;I21&amp;" is more than F06-01"&amp;CHAR(10),""),IF(J279&gt;J277," * F06-03 for Age "&amp;J20&amp;" "&amp;J21&amp;" is more than F06-01"&amp;CHAR(10),""),IF(K279&gt;K277," * F06-03 for Age "&amp;J20&amp;" "&amp;K21&amp;" is more than F06-01"&amp;CHAR(10),""),IF(L279&gt;L277," * F06-03 for Age "&amp;L20&amp;" "&amp;L21&amp;" is more than F06-01"&amp;CHAR(10),""),IF(M279&gt;M277," * F06-03 for Age "&amp;L20&amp;" "&amp;M21&amp;" is more than F06-01"&amp;CHAR(10),""),IF(N279&gt;N277," * F06-03 for Age "&amp;N20&amp;" "&amp;N21&amp;" is more than F06-01"&amp;CHAR(10),""),IF(O279&gt;O277," * F06-03 for Age "&amp;N20&amp;" "&amp;O21&amp;" is more than F06-01"&amp;CHAR(10),""),IF(P279&gt;P277," * F06-03 for Age "&amp;P20&amp;" "&amp;P21&amp;" is more than F06-01"&amp;CHAR(10),""),IF(Q279&gt;Q277," * F06-03 for Age "&amp;P20&amp;" "&amp;Q21&amp;" is more than F06-01"&amp;CHAR(10),""),IF(R279&gt;R277," * F06-03 for Age "&amp;R20&amp;" "&amp;R21&amp;" is more than F06-01"&amp;CHAR(10),""),IF(S279&gt;S277," * F06-03 for Age "&amp;R20&amp;" "&amp;S21&amp;" is more than F06-01"&amp;CHAR(10),""),IF(T279&gt;T277," * F06-03 for Age "&amp;T20&amp;" "&amp;T21&amp;" is more than F06-01"&amp;CHAR(10),""),IF(U279&gt;U277," * F06-03 for Age "&amp;T20&amp;" "&amp;U21&amp;" is more than F06-01"&amp;CHAR(10),""),IF(V279&gt;V277," * F06-03 for Age "&amp;V20&amp;" "&amp;V21&amp;" is more than F06-01"&amp;CHAR(10),""),IF(W279&gt;W277," * F06-03 for Age "&amp;V20&amp;" "&amp;W21&amp;" is more than F06-01"&amp;CHAR(10),""),IF(X279&gt;X277," * F06-03 for Age "&amp;X20&amp;" "&amp;X21&amp;" is more than F06-01"&amp;CHAR(10),""),IF(Y279&gt;Y277," * F06-03 for Age "&amp;X20&amp;" "&amp;Y21&amp;" is more than F06-01"&amp;CHAR(10),""),IF(Z279&gt;Z277," * F06-03 for Age "&amp;Z20&amp;" "&amp;Z21&amp;" is more than F06-01"&amp;CHAR(10),""),IF(AA279&gt;AA277," * F06-03 for Age "&amp;Z20&amp;" "&amp;AA21&amp;" is more than F06-01"&amp;CHAR(10),""),IF(AJ279&gt;AJ277," * Total F06-03 is more than Total F06-01"&amp;CHAR(10),""))</f>
        <v/>
      </c>
      <c r="AL279" s="1019"/>
      <c r="AM279" s="31"/>
      <c r="AN279" s="1231"/>
      <c r="AO279" s="13">
        <v>198</v>
      </c>
      <c r="AP279" s="74"/>
      <c r="AQ279" s="75"/>
    </row>
    <row r="280" spans="1:43" ht="26.25" x14ac:dyDescent="0.4">
      <c r="A280" s="1159"/>
      <c r="B280" s="163" t="s">
        <v>683</v>
      </c>
      <c r="C280" s="576" t="s">
        <v>367</v>
      </c>
      <c r="D280" s="77"/>
      <c r="E280" s="78"/>
      <c r="F280" s="78"/>
      <c r="G280" s="78"/>
      <c r="H280" s="78"/>
      <c r="I280" s="78"/>
      <c r="J280" s="78"/>
      <c r="K280" s="206"/>
      <c r="L280" s="78"/>
      <c r="M280" s="206"/>
      <c r="N280" s="78"/>
      <c r="O280" s="206"/>
      <c r="P280" s="78"/>
      <c r="Q280" s="206"/>
      <c r="R280" s="78"/>
      <c r="S280" s="206"/>
      <c r="T280" s="78"/>
      <c r="U280" s="206"/>
      <c r="V280" s="78"/>
      <c r="W280" s="206"/>
      <c r="X280" s="78"/>
      <c r="Y280" s="206"/>
      <c r="Z280" s="78"/>
      <c r="AA280" s="354"/>
      <c r="AB280" s="386"/>
      <c r="AC280" s="356"/>
      <c r="AD280" s="356"/>
      <c r="AE280" s="356"/>
      <c r="AF280" s="356"/>
      <c r="AG280" s="356"/>
      <c r="AH280" s="356"/>
      <c r="AI280" s="313"/>
      <c r="AJ280" s="396">
        <f t="shared" si="134"/>
        <v>0</v>
      </c>
      <c r="AK280" s="116" t="str">
        <f>CONCATENATE(IF(D280&gt;D279," * New positive at ANC1 for Age "&amp;D20&amp;" "&amp;D21&amp;" is more than initial test at ANC1"&amp;CHAR(10),""),IF(E280&gt;E279," * New positive at ANC1 for Age "&amp;D20&amp;" "&amp;E21&amp;" is more than initial test at ANC1"&amp;CHAR(10),""),IF(F280&gt;F279," * New positive at ANC1 for Age "&amp;F20&amp;" "&amp;F21&amp;" is more than initial test at ANC1"&amp;CHAR(10),""),IF(G280&gt;G279," * New positive at ANC1 for Age "&amp;F20&amp;" "&amp;G21&amp;" is more than initial test at ANC1"&amp;CHAR(10),""),IF(H280&gt;H279," * New positive at ANC1 for Age "&amp;H20&amp;" "&amp;H21&amp;" is more than initial test at ANC1"&amp;CHAR(10),""),IF(I280&gt;I279," * New positive at ANC1 for Age "&amp;H20&amp;" "&amp;I21&amp;" is more than initial test at ANC1"&amp;CHAR(10),""),IF(J280&gt;J279," * New positive at ANC1 for Age "&amp;J20&amp;" "&amp;J21&amp;" is more than initial test at ANC1"&amp;CHAR(10),""),IF(K280&gt;K279," * New positive at ANC1 for Age "&amp;J20&amp;" "&amp;K21&amp;" is more than initial test at ANC1"&amp;CHAR(10),""),IF(L280&gt;L279," * New positive at ANC1 for Age "&amp;L20&amp;" "&amp;L21&amp;" is more than initial test at ANC1"&amp;CHAR(10),""),IF(M280&gt;M279," * New positive at ANC1 for Age "&amp;L20&amp;" "&amp;M21&amp;" is more than initial test at ANC1"&amp;CHAR(10),""),IF(N280&gt;N279," * New positive at ANC1 for Age "&amp;N20&amp;" "&amp;N21&amp;" is more than initial test at ANC1"&amp;CHAR(10),""),IF(O280&gt;O279," * New positive at ANC1 for Age "&amp;N20&amp;" "&amp;O21&amp;" is more than initial test at ANC1"&amp;CHAR(10),""),IF(P280&gt;P279," * New positive at ANC1 for Age "&amp;P20&amp;" "&amp;P21&amp;" is more than initial test at ANC1"&amp;CHAR(10),""),IF(Q280&gt;Q279," * New positive at ANC1 for Age "&amp;P20&amp;" "&amp;Q21&amp;" is more than initial test at ANC1"&amp;CHAR(10),""),IF(R280&gt;R279," * New positive at ANC1 for Age "&amp;R20&amp;" "&amp;R21&amp;" is more than initial test at ANC1"&amp;CHAR(10),""),IF(S280&gt;S279," * New positive at ANC1 for Age "&amp;R20&amp;" "&amp;S21&amp;" is more than initial test at ANC1"&amp;CHAR(10),""),IF(T280&gt;T279," * New positive at ANC1 for Age "&amp;T20&amp;" "&amp;T21&amp;" is more than initial test at ANC1"&amp;CHAR(10),""),IF(U280&gt;U279," * New positive at ANC1 for Age "&amp;T20&amp;" "&amp;U21&amp;" is more than initial test at ANC1"&amp;CHAR(10),""),IF(V280&gt;V279," * New positive at ANC1 for Age "&amp;V20&amp;" "&amp;V21&amp;" is more than initial test at ANC1"&amp;CHAR(10),""),IF(W280&gt;W279," * New positive at ANC1 for Age "&amp;V20&amp;" "&amp;W21&amp;" is more than initial test at ANC1"&amp;CHAR(10),""),IF(X280&gt;X279," * New positive at ANC1 for Age "&amp;X20&amp;" "&amp;X21&amp;" is more than initial test at ANC1"&amp;CHAR(10),""),IF(Y280&gt;Y279," * New positive at ANC1 for Age "&amp;X20&amp;" "&amp;Y21&amp;" is more than initial test at ANC1"&amp;CHAR(10),""),IF(Z280&gt;Z279," * New positive at ANC1 for Age "&amp;Z20&amp;" "&amp;Z21&amp;" is more than initial test at ANC1"&amp;CHAR(10),""),IF(AA280&gt;AA279," * New positive at ANC1 for Age "&amp;Z20&amp;" "&amp;AA21&amp;" is more than initial test at ANC1"&amp;CHAR(10),""),IF(AJ280&gt;AJ279," * Total New positive at ANC1 is more than Total initial test at ANC1"&amp;CHAR(10),""))</f>
        <v/>
      </c>
      <c r="AL280" s="1019"/>
      <c r="AM280" s="31"/>
      <c r="AN280" s="1231"/>
      <c r="AO280" s="13">
        <v>199</v>
      </c>
      <c r="AP280" s="74"/>
      <c r="AQ280" s="75"/>
    </row>
    <row r="281" spans="1:43" ht="26.25" x14ac:dyDescent="0.4">
      <c r="A281" s="1159"/>
      <c r="B281" s="209" t="s">
        <v>474</v>
      </c>
      <c r="C281" s="576" t="s">
        <v>478</v>
      </c>
      <c r="D281" s="77"/>
      <c r="E281" s="78"/>
      <c r="F281" s="78"/>
      <c r="G281" s="78"/>
      <c r="H281" s="78"/>
      <c r="I281" s="78"/>
      <c r="J281" s="78"/>
      <c r="K281" s="210">
        <f>K279+K278</f>
        <v>0</v>
      </c>
      <c r="L281" s="78"/>
      <c r="M281" s="210">
        <f>M279+M278</f>
        <v>0</v>
      </c>
      <c r="N281" s="78"/>
      <c r="O281" s="210">
        <f>O279+O278</f>
        <v>0</v>
      </c>
      <c r="P281" s="78"/>
      <c r="Q281" s="210">
        <f>Q279+Q278</f>
        <v>0</v>
      </c>
      <c r="R281" s="78"/>
      <c r="S281" s="210">
        <f>S279+S278</f>
        <v>0</v>
      </c>
      <c r="T281" s="78"/>
      <c r="U281" s="210">
        <f>U279+U278</f>
        <v>0</v>
      </c>
      <c r="V281" s="78"/>
      <c r="W281" s="210">
        <f>W279+W278</f>
        <v>0</v>
      </c>
      <c r="X281" s="78"/>
      <c r="Y281" s="210">
        <f>Y279+Y278</f>
        <v>0</v>
      </c>
      <c r="Z281" s="78"/>
      <c r="AA281" s="354"/>
      <c r="AB281" s="386"/>
      <c r="AC281" s="356"/>
      <c r="AD281" s="356"/>
      <c r="AE281" s="356"/>
      <c r="AF281" s="356"/>
      <c r="AG281" s="356"/>
      <c r="AH281" s="356"/>
      <c r="AI281" s="313"/>
      <c r="AJ281" s="396">
        <f t="shared" si="134"/>
        <v>0</v>
      </c>
      <c r="AK281" s="116"/>
      <c r="AL281" s="1019"/>
      <c r="AM281" s="31"/>
      <c r="AN281" s="1231"/>
      <c r="AO281" s="13">
        <v>200</v>
      </c>
      <c r="AP281" s="74"/>
      <c r="AQ281" s="75"/>
    </row>
    <row r="282" spans="1:43" ht="27" thickBot="1" x14ac:dyDescent="0.45">
      <c r="A282" s="1160"/>
      <c r="B282" s="211" t="s">
        <v>479</v>
      </c>
      <c r="C282" s="577" t="s">
        <v>493</v>
      </c>
      <c r="D282" s="103"/>
      <c r="E282" s="102"/>
      <c r="F282" s="102"/>
      <c r="G282" s="102"/>
      <c r="H282" s="102"/>
      <c r="I282" s="102"/>
      <c r="J282" s="102"/>
      <c r="K282" s="212">
        <f>K280+K278</f>
        <v>0</v>
      </c>
      <c r="L282" s="102"/>
      <c r="M282" s="212">
        <f>M280+M278</f>
        <v>0</v>
      </c>
      <c r="N282" s="102"/>
      <c r="O282" s="212">
        <f>O280+O278</f>
        <v>0</v>
      </c>
      <c r="P282" s="102"/>
      <c r="Q282" s="212">
        <f>Q280+Q278</f>
        <v>0</v>
      </c>
      <c r="R282" s="102"/>
      <c r="S282" s="212">
        <f>S280+S278</f>
        <v>0</v>
      </c>
      <c r="T282" s="102"/>
      <c r="U282" s="212">
        <f>U280+U278</f>
        <v>0</v>
      </c>
      <c r="V282" s="102"/>
      <c r="W282" s="212">
        <f>W280+W278</f>
        <v>0</v>
      </c>
      <c r="X282" s="102"/>
      <c r="Y282" s="212">
        <f>Y280+Y278</f>
        <v>0</v>
      </c>
      <c r="Z282" s="102"/>
      <c r="AA282" s="324"/>
      <c r="AB282" s="386"/>
      <c r="AC282" s="356"/>
      <c r="AD282" s="356"/>
      <c r="AE282" s="356"/>
      <c r="AF282" s="356"/>
      <c r="AG282" s="356"/>
      <c r="AH282" s="356"/>
      <c r="AI282" s="313"/>
      <c r="AJ282" s="397">
        <f t="shared" si="134"/>
        <v>0</v>
      </c>
      <c r="AK282" s="116"/>
      <c r="AL282" s="1019"/>
      <c r="AM282" s="31"/>
      <c r="AN282" s="1231"/>
      <c r="AO282" s="13">
        <v>201</v>
      </c>
      <c r="AP282" s="74"/>
      <c r="AQ282" s="75"/>
    </row>
    <row r="283" spans="1:43" ht="26.25" x14ac:dyDescent="0.4">
      <c r="A283" s="994" t="s">
        <v>1003</v>
      </c>
      <c r="B283" s="213" t="s">
        <v>684</v>
      </c>
      <c r="C283" s="575" t="s">
        <v>279</v>
      </c>
      <c r="D283" s="98"/>
      <c r="E283" s="99"/>
      <c r="F283" s="99"/>
      <c r="G283" s="99"/>
      <c r="H283" s="99"/>
      <c r="I283" s="99"/>
      <c r="J283" s="99"/>
      <c r="K283" s="94"/>
      <c r="L283" s="99"/>
      <c r="M283" s="94"/>
      <c r="N283" s="99"/>
      <c r="O283" s="94"/>
      <c r="P283" s="99"/>
      <c r="Q283" s="94"/>
      <c r="R283" s="99"/>
      <c r="S283" s="94"/>
      <c r="T283" s="99"/>
      <c r="U283" s="94"/>
      <c r="V283" s="99"/>
      <c r="W283" s="94"/>
      <c r="X283" s="99"/>
      <c r="Y283" s="94"/>
      <c r="Z283" s="99"/>
      <c r="AA283" s="323"/>
      <c r="AB283" s="386"/>
      <c r="AC283" s="356"/>
      <c r="AD283" s="356"/>
      <c r="AE283" s="356"/>
      <c r="AF283" s="356"/>
      <c r="AG283" s="356"/>
      <c r="AH283" s="356"/>
      <c r="AI283" s="313"/>
      <c r="AJ283" s="398">
        <f t="shared" si="134"/>
        <v>0</v>
      </c>
      <c r="AK283" s="1083" t="str">
        <f>CONCATENATE(IF(D284&gt;D283," * Initial positive results at ANC 2 and above for Age "&amp;D20&amp;" "&amp;D21&amp;" is more than Initial test at ANC 2 and above"&amp;CHAR(10),""),IF(E284&gt;E283," * Initial positive results at ANC 2 and above for Age "&amp;D20&amp;" "&amp;E21&amp;" is more than Initial test at ANC 2 and above"&amp;CHAR(10),""),IF(F284&gt;F283," * Initial positive results at ANC 2 and above for Age "&amp;F20&amp;" "&amp;F21&amp;" is more than Initial test at ANC 2 and above"&amp;CHAR(10),""),IF(G284&gt;G283," * Initial positive results at ANC 2 and above for Age "&amp;F20&amp;" "&amp;G21&amp;" is more than Initial test at ANC 2 and above"&amp;CHAR(10),""),IF(H284&gt;H283," * Initial positive results at ANC 2 and above for Age "&amp;H20&amp;" "&amp;H21&amp;" is more than Initial test at ANC 2 and above"&amp;CHAR(10),""),IF(I284&gt;I283," * Initial positive results at ANC 2 and above for Age "&amp;H20&amp;" "&amp;I21&amp;" is more than Initial test at ANC 2 and above"&amp;CHAR(10),""),IF(J284&gt;J283," * Initial positive results at ANC 2 and above for Age "&amp;J20&amp;" "&amp;J21&amp;" is more than Initial test at ANC 2 and above"&amp;CHAR(10),""),IF(K284&gt;K283," * Initial positive results at ANC 2 and above for Age "&amp;J20&amp;" "&amp;K21&amp;" is more than Initial test at ANC 2 and above"&amp;CHAR(10),""),IF(L284&gt;L283," * Initial positive results at ANC 2 and above for Age "&amp;L20&amp;" "&amp;L21&amp;" is more than Initial test at ANC 2 and above"&amp;CHAR(10),""),IF(M284&gt;M283," * Initial positive results at ANC 2 and above for Age "&amp;L20&amp;" "&amp;M21&amp;" is more than Initial test at ANC 2 and above"&amp;CHAR(10),""),IF(N284&gt;N283," * Initial positive results at ANC 2 and above for Age "&amp;N20&amp;" "&amp;N21&amp;" is more than Initial test at ANC 2 and above"&amp;CHAR(10),""),IF(O284&gt;O283," * Initial positive results at ANC 2 and above for Age "&amp;N20&amp;" "&amp;O21&amp;" is more than Initial test at ANC 2 and above"&amp;CHAR(10),""),IF(P284&gt;P283," * Initial positive results at ANC 2 and above for Age "&amp;P20&amp;" "&amp;P21&amp;" is more than Initial test at ANC 2 and above"&amp;CHAR(10),""),IF(Q284&gt;Q283," * Initial positive results at ANC 2 and above for Age "&amp;P20&amp;" "&amp;Q21&amp;" is more than Initial test at ANC 2 and above"&amp;CHAR(10),""),IF(R284&gt;R283," * Initial positive results at ANC 2 and above for Age "&amp;R20&amp;" "&amp;R21&amp;" is more than Initial test at ANC 2 and above"&amp;CHAR(10),""),IF(S284&gt;S283," * Initial positive results at ANC 2 and above for Age "&amp;R20&amp;" "&amp;S21&amp;" is more than Initial test at ANC 2 and above"&amp;CHAR(10),""),IF(T284&gt;T283," * Initial positive results at ANC 2 and above for Age "&amp;T20&amp;" "&amp;T21&amp;" is more than Initial test at ANC 2 and above"&amp;CHAR(10),""),IF(U284&gt;U283," * Initial positive results at ANC 2 and above for Age "&amp;T20&amp;" "&amp;U21&amp;" is more than Initial test at ANC 2 and above"&amp;CHAR(10),""),IF(V284&gt;V283," * Initial positive results at ANC 2 and above for Age "&amp;V20&amp;" "&amp;V21&amp;" is more than Initial test at ANC 2 and above"&amp;CHAR(10),""),IF(W284&gt;W283," * Initial positive results at ANC 2 and above for Age "&amp;V20&amp;" "&amp;W21&amp;" is more than Initial test at ANC 2 and above"&amp;CHAR(10),""),IF(X284&gt;X283," * Initial positive results at ANC 2 and above for Age "&amp;X20&amp;" "&amp;X21&amp;" is more than Initial test at ANC 2 and above"&amp;CHAR(10),""),IF(Y284&gt;Y283," * Initial positive results at ANC 2 and above for Age "&amp;X20&amp;" "&amp;Y21&amp;" is more than Initial test at ANC 2 and above"&amp;CHAR(10),""),IF(Z284&gt;Z283," * Initial positive results at ANC 2 and above for Age "&amp;Z20&amp;" "&amp;Z21&amp;" is more than Initial test at ANC 2 and above"&amp;CHAR(10),""),IF(AA284&gt;AA283," * Initial positive results at ANC 2 and above for Age "&amp;Z20&amp;" "&amp;AA21&amp;" is more than Initial test at ANC 2 and above"&amp;CHAR(10),""))</f>
        <v/>
      </c>
      <c r="AL283" s="1019"/>
      <c r="AM283" s="31"/>
      <c r="AN283" s="1231"/>
      <c r="AO283" s="13">
        <v>202</v>
      </c>
      <c r="AP283" s="74"/>
      <c r="AQ283" s="75"/>
    </row>
    <row r="284" spans="1:43" ht="26.25" x14ac:dyDescent="0.4">
      <c r="A284" s="1119"/>
      <c r="B284" s="214" t="s">
        <v>476</v>
      </c>
      <c r="C284" s="576" t="s">
        <v>280</v>
      </c>
      <c r="D284" s="77"/>
      <c r="E284" s="78"/>
      <c r="F284" s="78"/>
      <c r="G284" s="78"/>
      <c r="H284" s="78"/>
      <c r="I284" s="78"/>
      <c r="J284" s="78"/>
      <c r="K284" s="206"/>
      <c r="L284" s="207"/>
      <c r="M284" s="206"/>
      <c r="N284" s="207"/>
      <c r="O284" s="206"/>
      <c r="P284" s="207"/>
      <c r="Q284" s="206"/>
      <c r="R284" s="207"/>
      <c r="S284" s="206"/>
      <c r="T284" s="207"/>
      <c r="U284" s="206"/>
      <c r="V284" s="207"/>
      <c r="W284" s="206"/>
      <c r="X284" s="207"/>
      <c r="Y284" s="206"/>
      <c r="Z284" s="78"/>
      <c r="AA284" s="354"/>
      <c r="AB284" s="386"/>
      <c r="AC284" s="356"/>
      <c r="AD284" s="356"/>
      <c r="AE284" s="356"/>
      <c r="AF284" s="356"/>
      <c r="AG284" s="356"/>
      <c r="AH284" s="356"/>
      <c r="AI284" s="313"/>
      <c r="AJ284" s="396">
        <f t="shared" si="134"/>
        <v>0</v>
      </c>
      <c r="AK284" s="1083"/>
      <c r="AL284" s="1019"/>
      <c r="AM284" s="31"/>
      <c r="AN284" s="1231"/>
      <c r="AO284" s="13">
        <v>203</v>
      </c>
      <c r="AP284" s="74"/>
      <c r="AQ284" s="75"/>
    </row>
    <row r="285" spans="1:43" ht="31.15" customHeight="1" x14ac:dyDescent="0.4">
      <c r="A285" s="1119"/>
      <c r="B285" s="76" t="s">
        <v>481</v>
      </c>
      <c r="C285" s="576" t="s">
        <v>483</v>
      </c>
      <c r="D285" s="77"/>
      <c r="E285" s="78"/>
      <c r="F285" s="78"/>
      <c r="G285" s="78"/>
      <c r="H285" s="78"/>
      <c r="I285" s="78"/>
      <c r="J285" s="78"/>
      <c r="K285" s="79"/>
      <c r="L285" s="78"/>
      <c r="M285" s="79"/>
      <c r="N285" s="78"/>
      <c r="O285" s="79"/>
      <c r="P285" s="78"/>
      <c r="Q285" s="79"/>
      <c r="R285" s="78"/>
      <c r="S285" s="79"/>
      <c r="T285" s="78"/>
      <c r="U285" s="79"/>
      <c r="V285" s="78"/>
      <c r="W285" s="79"/>
      <c r="X285" s="78"/>
      <c r="Y285" s="79"/>
      <c r="Z285" s="78"/>
      <c r="AA285" s="354"/>
      <c r="AB285" s="386"/>
      <c r="AC285" s="356"/>
      <c r="AD285" s="356"/>
      <c r="AE285" s="356"/>
      <c r="AF285" s="356"/>
      <c r="AG285" s="356"/>
      <c r="AH285" s="356"/>
      <c r="AI285" s="313"/>
      <c r="AJ285" s="396">
        <f t="shared" si="134"/>
        <v>0</v>
      </c>
      <c r="AK285" s="30" t="str">
        <f>CONCATENATE(IF(D286&gt;D285," * Retesting at ANC 2 and above For age "&amp;$D$20&amp;" "&amp;$D$21&amp;" is less than  than Retesting positive result at ANC 2 and above"&amp;CHAR(10),""),IF(E286&gt;E285," * Retesting at ANC 2 and above For age "&amp;$D$20&amp;" "&amp;$E$21&amp;" is less than  than Retesting positive result at ANC 2 and above"&amp;CHAR(10),""),IF(F286&gt;F285," * Retesting at ANC 2 and above For age "&amp;$F$20&amp;" "&amp;$F$21&amp;" is less than  than Retesting positive result at ANC 2 and above"&amp;CHAR(10),""),IF(G286&gt;G285," * Retesting at ANC 2 and above For age "&amp;$F$20&amp;" "&amp;$G$21&amp;" is less than  than Retesting positive result at ANC 2 and above"&amp;CHAR(10),""),IF(H286&gt;H285," * Retesting at ANC 2 and above For age "&amp;$H$20&amp;" "&amp;$H$21&amp;" is less than  than Retesting positive result at ANC 2 and above"&amp;CHAR(10),""),IF(I286&gt;I285," * Retesting at ANC 2 and above For age "&amp;$H$20&amp;" "&amp;$I$21&amp;" is less than  than Retesting positive result at ANC 2 and above"&amp;CHAR(10),""),IF(J286&gt;J285," * Retesting at ANC 2 and above For age "&amp;$J$20&amp;" "&amp;$J$21&amp;" is less than  than Retesting positive result at ANC 2 and above"&amp;CHAR(10),""),IF(K286&gt;K285," * Retesting at ANC 2 and above For age "&amp;$J$20&amp;" "&amp;$K$21&amp;" is less than  than Retesting positive result at ANC 2 and above"&amp;CHAR(10),""),IF(L286&gt;L285," * Retesting at ANC 2 and above For age "&amp;$L$20&amp;" "&amp;$L$21&amp;" is less than  than Retesting positive result at ANC 2 and above"&amp;CHAR(10),""),IF(M286&gt;M285," * Retesting at ANC 2 and above For age "&amp;$L$20&amp;" "&amp;$M$21&amp;" is less than  than Retesting positive result at ANC 2 and above"&amp;CHAR(10),""),IF(N286&gt;N285," * Retesting at ANC 2 and above For age "&amp;$N$20&amp;" "&amp;$N$21&amp;" is less than  than Retesting positive result at ANC 2 and above"&amp;CHAR(10),""),IF(O286&gt;O285," * Retesting at ANC 2 and above For age "&amp;$N$20&amp;" "&amp;$O$21&amp;" is less than  than Retesting positive result at ANC 2 and above"&amp;CHAR(10),""),IF(P286&gt;P285," * Retesting at ANC 2 and above For age "&amp;$P$20&amp;" "&amp;$P$21&amp;" is less than  than Retesting positive result at ANC 2 and above"&amp;CHAR(10),""),IF(Q286&gt;Q285," * Retesting at ANC 2 and above For age "&amp;$P$20&amp;" "&amp;$Q$21&amp;" is less than  than Retesting positive result at ANC 2 and above"&amp;CHAR(10),""),IF(R286&gt;R285," * Retesting at ANC 2 and above For age "&amp;$R$20&amp;" "&amp;$R$21&amp;" is less than  than Retesting positive result at ANC 2 and above"&amp;CHAR(10),""),IF(S286&gt;S285," * Retesting at ANC 2 and above For age "&amp;$R$20&amp;" "&amp;$S$21&amp;" is less than  than Retesting positive result at ANC 2 and above"&amp;CHAR(10),""),IF(T286&gt;T285," * Retesting at ANC 2 and above For age "&amp;$T$20&amp;" "&amp;$T$21&amp;" is less than  than Retesting positive result at ANC 2 and above"&amp;CHAR(10),""),IF(U286&gt;U285," * Retesting at ANC 2 and above For age "&amp;$T$20&amp;" "&amp;$U$21&amp;" is less than  than Retesting positive result at ANC 2 and above"&amp;CHAR(10),""),IF(V286&gt;V285," * Retesting at ANC 2 and above For age "&amp;$V$20&amp;" "&amp;$V$21&amp;" is less than  than Retesting positive result at ANC 2 and above"&amp;CHAR(10),""),IF(W286&gt;W285," * Retesting at ANC 2 and above For age "&amp;$V$20&amp;" "&amp;$W$21&amp;" is less than  than Retesting positive result at ANC 2 and above"&amp;CHAR(10),""),IF(X286&gt;X285," * Retesting at ANC 2 and above For age "&amp;$X$20&amp;" "&amp;$X$21&amp;" is less than  than Retesting positive result at ANC 2 and above"&amp;CHAR(10),""),IF(Y286&gt;Y285," * Retesting at ANC 2 and above For age "&amp;$X$20&amp;" "&amp;$Y$21&amp;" is less than  than Retesting positive result at ANC 2 and above"&amp;CHAR(10),""),IF(Z286&gt;Z285," * Retesting at ANC 2 and above For age "&amp;$Z$20&amp;" "&amp;$Z$21&amp;" is less than  than Retesting positive result at ANC 2 and above"&amp;CHAR(10),""),IF(AA286&gt;AA285," * Retesting at ANC 2 and above For age "&amp;$Z$20&amp;" "&amp;$AA$21&amp;" is less than  than Retesting positive result at ANC 2 and above"&amp;CHAR(10),""))</f>
        <v/>
      </c>
      <c r="AL285" s="1019"/>
      <c r="AM285" s="31"/>
      <c r="AN285" s="1231"/>
      <c r="AO285" s="13">
        <v>204</v>
      </c>
      <c r="AP285" s="74"/>
      <c r="AQ285" s="75"/>
    </row>
    <row r="286" spans="1:43" ht="27" thickBot="1" x14ac:dyDescent="0.45">
      <c r="A286" s="1124"/>
      <c r="B286" s="95" t="s">
        <v>482</v>
      </c>
      <c r="C286" s="577" t="s">
        <v>484</v>
      </c>
      <c r="D286" s="103"/>
      <c r="E286" s="102"/>
      <c r="F286" s="102"/>
      <c r="G286" s="102"/>
      <c r="H286" s="102"/>
      <c r="I286" s="102"/>
      <c r="J286" s="215"/>
      <c r="K286" s="97"/>
      <c r="L286" s="215"/>
      <c r="M286" s="97"/>
      <c r="N286" s="215"/>
      <c r="O286" s="97"/>
      <c r="P286" s="215"/>
      <c r="Q286" s="97"/>
      <c r="R286" s="215"/>
      <c r="S286" s="97"/>
      <c r="T286" s="215"/>
      <c r="U286" s="97"/>
      <c r="V286" s="215"/>
      <c r="W286" s="97"/>
      <c r="X286" s="215"/>
      <c r="Y286" s="97"/>
      <c r="Z286" s="102"/>
      <c r="AA286" s="324"/>
      <c r="AB286" s="386"/>
      <c r="AC286" s="356"/>
      <c r="AD286" s="356"/>
      <c r="AE286" s="356"/>
      <c r="AF286" s="356"/>
      <c r="AG286" s="356"/>
      <c r="AH286" s="356"/>
      <c r="AI286" s="313"/>
      <c r="AJ286" s="397">
        <f t="shared" si="134"/>
        <v>0</v>
      </c>
      <c r="AK286" s="130"/>
      <c r="AL286" s="1019"/>
      <c r="AM286" s="31"/>
      <c r="AN286" s="1231"/>
      <c r="AO286" s="13">
        <v>205</v>
      </c>
      <c r="AP286" s="74"/>
      <c r="AQ286" s="75"/>
    </row>
    <row r="287" spans="1:43" ht="26.25" x14ac:dyDescent="0.4">
      <c r="A287" s="1247" t="s">
        <v>485</v>
      </c>
      <c r="B287" s="91" t="s">
        <v>685</v>
      </c>
      <c r="C287" s="575" t="s">
        <v>368</v>
      </c>
      <c r="D287" s="98"/>
      <c r="E287" s="99"/>
      <c r="F287" s="99"/>
      <c r="G287" s="99"/>
      <c r="H287" s="99"/>
      <c r="I287" s="99"/>
      <c r="J287" s="99"/>
      <c r="K287" s="94"/>
      <c r="L287" s="99"/>
      <c r="M287" s="94"/>
      <c r="N287" s="99"/>
      <c r="O287" s="94"/>
      <c r="P287" s="99"/>
      <c r="Q287" s="94"/>
      <c r="R287" s="99"/>
      <c r="S287" s="94"/>
      <c r="T287" s="99"/>
      <c r="U287" s="94"/>
      <c r="V287" s="99"/>
      <c r="W287" s="94"/>
      <c r="X287" s="99"/>
      <c r="Y287" s="94"/>
      <c r="Z287" s="99"/>
      <c r="AA287" s="323"/>
      <c r="AB287" s="386"/>
      <c r="AC287" s="356"/>
      <c r="AD287" s="356"/>
      <c r="AE287" s="356"/>
      <c r="AF287" s="356"/>
      <c r="AG287" s="356"/>
      <c r="AH287" s="356"/>
      <c r="AI287" s="313"/>
      <c r="AJ287" s="398">
        <f t="shared" si="134"/>
        <v>0</v>
      </c>
      <c r="AK287" s="1083" t="str">
        <f>CONCATENATE(IF(D288&gt;D287," * F06-08 for Age "&amp;D20&amp;" "&amp;D21&amp;" is more than F06-07"&amp;CHAR(10),""),IF(E288&gt;E287," * F06-08 for Age "&amp;D20&amp;" "&amp;E21&amp;" is more than F06-07"&amp;CHAR(10),""),IF(F288&gt;F287," * F06-08 for Age "&amp;F20&amp;" "&amp;F21&amp;" is more than F06-07"&amp;CHAR(10),""),IF(G288&gt;G287," * F06-08 for Age "&amp;F20&amp;" "&amp;G21&amp;" is more than F06-07"&amp;CHAR(10),""),IF(H288&gt;H287," * F06-08 for Age "&amp;H20&amp;" "&amp;H21&amp;" is more than F06-07"&amp;CHAR(10),""),IF(I288&gt;I287," * F06-08 for Age "&amp;H20&amp;" "&amp;I21&amp;" is more than F06-07"&amp;CHAR(10),""),IF(J288&gt;J287," * F06-08 for Age "&amp;J20&amp;" "&amp;J21&amp;" is more than F06-07"&amp;CHAR(10),""),IF(K288&gt;K287," * F06-08 for Age "&amp;J20&amp;" "&amp;K21&amp;" is more than F06-07"&amp;CHAR(10),""),IF(L288&gt;L287," * F06-08 for Age "&amp;L20&amp;" "&amp;L21&amp;" is more than F06-07"&amp;CHAR(10),""),IF(M288&gt;M287," * F06-08 for Age "&amp;L20&amp;" "&amp;M21&amp;" is more than F06-07"&amp;CHAR(10),""),IF(N288&gt;N287," * F06-08 for Age "&amp;N20&amp;" "&amp;N21&amp;" is more than F06-07"&amp;CHAR(10),""),IF(O288&gt;O287," * F06-08 for Age "&amp;N20&amp;" "&amp;O21&amp;" is more than F06-07"&amp;CHAR(10),""),IF(P288&gt;P287," * F06-08 for Age "&amp;P20&amp;" "&amp;P21&amp;" is more than F06-07"&amp;CHAR(10),""),IF(Q288&gt;Q287," * F06-08 for Age "&amp;P20&amp;" "&amp;Q21&amp;" is more than F06-07"&amp;CHAR(10),""),IF(R288&gt;R287," * F06-08 for Age "&amp;R20&amp;" "&amp;R21&amp;" is more than F06-07"&amp;CHAR(10),""),IF(S288&gt;S287," * F06-08 for Age "&amp;R20&amp;" "&amp;S21&amp;" is more than F06-07"&amp;CHAR(10),""),IF(T288&gt;T287," * F06-08 for Age "&amp;T20&amp;" "&amp;T21&amp;" is more than F06-07"&amp;CHAR(10),""),IF(U288&gt;U287," * F06-08 for Age "&amp;T20&amp;" "&amp;U21&amp;" is more than F06-07"&amp;CHAR(10),""),IF(V288&gt;V287," * F06-08 for Age "&amp;V20&amp;" "&amp;V21&amp;" is more than F06-07"&amp;CHAR(10),""),IF(W288&gt;W287," * F06-08 for Age "&amp;V20&amp;" "&amp;W21&amp;" is more than F06-07"&amp;CHAR(10),""),IF(X288&gt;X287," * F06-08 for Age "&amp;X20&amp;" "&amp;X21&amp;" is more than F06-07"&amp;CHAR(10),""),IF(Y288&gt;Y287," * F06-08 for Age "&amp;X20&amp;" "&amp;Y21&amp;" is more than F06-07"&amp;CHAR(10),""),IF(Z288&gt;Z287," * F06-08 for Age "&amp;Z20&amp;" "&amp;Z21&amp;" is more than F06-07"&amp;CHAR(10),""),IF(AA288&gt;AA287," * F06-08 for Age "&amp;Z20&amp;" "&amp;AA21&amp;" is more than F06-07"&amp;CHAR(10),""),IF(AJ288&gt;AJ287," * Total F06-08 is more than Total F06-07"&amp;CHAR(10),""))</f>
        <v/>
      </c>
      <c r="AL287" s="1019"/>
      <c r="AM287" s="31"/>
      <c r="AN287" s="1231"/>
      <c r="AO287" s="13">
        <v>206</v>
      </c>
      <c r="AP287" s="74"/>
      <c r="AQ287" s="75"/>
    </row>
    <row r="288" spans="1:43" ht="26.25" x14ac:dyDescent="0.4">
      <c r="A288" s="1248"/>
      <c r="B288" s="214" t="s">
        <v>686</v>
      </c>
      <c r="C288" s="576" t="s">
        <v>369</v>
      </c>
      <c r="D288" s="77"/>
      <c r="E288" s="78"/>
      <c r="F288" s="78"/>
      <c r="G288" s="78"/>
      <c r="H288" s="78"/>
      <c r="I288" s="78"/>
      <c r="J288" s="78"/>
      <c r="K288" s="206"/>
      <c r="L288" s="207"/>
      <c r="M288" s="206"/>
      <c r="N288" s="207"/>
      <c r="O288" s="206"/>
      <c r="P288" s="207"/>
      <c r="Q288" s="206"/>
      <c r="R288" s="207"/>
      <c r="S288" s="206"/>
      <c r="T288" s="207"/>
      <c r="U288" s="206"/>
      <c r="V288" s="207"/>
      <c r="W288" s="206"/>
      <c r="X288" s="207"/>
      <c r="Y288" s="206"/>
      <c r="Z288" s="207"/>
      <c r="AA288" s="354"/>
      <c r="AB288" s="386"/>
      <c r="AC288" s="356"/>
      <c r="AD288" s="356"/>
      <c r="AE288" s="356"/>
      <c r="AF288" s="356"/>
      <c r="AG288" s="356"/>
      <c r="AH288" s="356"/>
      <c r="AI288" s="313"/>
      <c r="AJ288" s="396">
        <f t="shared" si="134"/>
        <v>0</v>
      </c>
      <c r="AK288" s="1083"/>
      <c r="AL288" s="1019"/>
      <c r="AM288" s="31"/>
      <c r="AN288" s="1231"/>
      <c r="AO288" s="13">
        <v>207</v>
      </c>
      <c r="AP288" s="74"/>
      <c r="AQ288" s="75"/>
    </row>
    <row r="289" spans="1:43" ht="26.25" x14ac:dyDescent="0.4">
      <c r="A289" s="1248"/>
      <c r="B289" s="76" t="s">
        <v>687</v>
      </c>
      <c r="C289" s="576" t="s">
        <v>638</v>
      </c>
      <c r="D289" s="77"/>
      <c r="E289" s="78"/>
      <c r="F289" s="78"/>
      <c r="G289" s="78"/>
      <c r="H289" s="78"/>
      <c r="I289" s="78"/>
      <c r="J289" s="78"/>
      <c r="K289" s="79"/>
      <c r="L289" s="78"/>
      <c r="M289" s="79"/>
      <c r="N289" s="78"/>
      <c r="O289" s="79"/>
      <c r="P289" s="78"/>
      <c r="Q289" s="79"/>
      <c r="R289" s="78"/>
      <c r="S289" s="79"/>
      <c r="T289" s="78"/>
      <c r="U289" s="79"/>
      <c r="V289" s="78"/>
      <c r="W289" s="79"/>
      <c r="X289" s="78"/>
      <c r="Y289" s="79"/>
      <c r="Z289" s="78"/>
      <c r="AA289" s="354"/>
      <c r="AB289" s="386"/>
      <c r="AC289" s="356"/>
      <c r="AD289" s="356"/>
      <c r="AE289" s="356"/>
      <c r="AF289" s="356"/>
      <c r="AG289" s="356"/>
      <c r="AH289" s="356"/>
      <c r="AI289" s="313"/>
      <c r="AJ289" s="396">
        <f t="shared" si="134"/>
        <v>0</v>
      </c>
      <c r="AK289" s="30" t="str">
        <f>CONCATENATE(IF(D290&gt;D289," * Retesting at L&amp;D For age "&amp;$D$20&amp;" "&amp;$D$21&amp;" is less than  than Retesting positive result at L&amp;D"&amp;CHAR(10),""),IF(E290&gt;E289," * Retesting at L&amp;D For age "&amp;$D$20&amp;" "&amp;$E$21&amp;" is less than  than Retesting positive result at L&amp;D"&amp;CHAR(10),""),IF(F290&gt;F289," * Retesting at L&amp;D For age "&amp;$F$20&amp;" "&amp;$F$21&amp;" is less than  than Retesting positive result at L&amp;D"&amp;CHAR(10),""),IF(G290&gt;G289," * Retesting at L&amp;D For age "&amp;$F$20&amp;" "&amp;$G$21&amp;" is less than  than Retesting positive result at L&amp;D"&amp;CHAR(10),""),IF(H290&gt;H289," * Retesting at L&amp;D For age "&amp;$H$20&amp;" "&amp;$H$21&amp;" is less than  than Retesting positive result at L&amp;D"&amp;CHAR(10),""),IF(I290&gt;I289," * Retesting at L&amp;D For age "&amp;$H$20&amp;" "&amp;$I$21&amp;" is less than  than Retesting positive result at L&amp;D"&amp;CHAR(10),""),IF(J290&gt;J289," * Retesting at L&amp;D For age "&amp;$J$20&amp;" "&amp;$J$21&amp;" is less than  than Retesting positive result at L&amp;D"&amp;CHAR(10),""),IF(K290&gt;K289," * Retesting at L&amp;D For age "&amp;$J$20&amp;" "&amp;$K$21&amp;" is less than  than Retesting positive result at L&amp;D"&amp;CHAR(10),""),IF(L290&gt;L289," * Retesting at L&amp;D For age "&amp;$L$20&amp;" "&amp;$L$21&amp;" is less than  than Retesting positive result at L&amp;D"&amp;CHAR(10),""),IF(M290&gt;M289," * Retesting at L&amp;D For age "&amp;$L$20&amp;" "&amp;$M$21&amp;" is less than  than Retesting positive result at L&amp;D"&amp;CHAR(10),""),IF(N290&gt;N289," * Retesting at L&amp;D For age "&amp;$N$20&amp;" "&amp;$N$21&amp;" is less than  than Retesting positive result at L&amp;D"&amp;CHAR(10),""),IF(O290&gt;O289," * Retesting at L&amp;D For age "&amp;$N$20&amp;" "&amp;$O$21&amp;" is less than  than Retesting positive result at L&amp;D"&amp;CHAR(10),""),IF(P290&gt;P289," * Retesting at L&amp;D For age "&amp;$P$20&amp;" "&amp;$P$21&amp;" is less than  than Retesting positive result at L&amp;D"&amp;CHAR(10),""),IF(Q290&gt;Q289," * Retesting at L&amp;D For age "&amp;$P$20&amp;" "&amp;$Q$21&amp;" is less than  than Retesting positive result at L&amp;D"&amp;CHAR(10),""),IF(R290&gt;R289," * Retesting at L&amp;D For age "&amp;$R$20&amp;" "&amp;$R$21&amp;" is less than  than Retesting positive result at L&amp;D"&amp;CHAR(10),""),IF(S290&gt;S289," * Retesting at L&amp;D For age "&amp;$R$20&amp;" "&amp;$S$21&amp;" is less than  than Retesting positive result at L&amp;D"&amp;CHAR(10),""),IF(T290&gt;T289," * Retesting at L&amp;D For age "&amp;$T$20&amp;" "&amp;$T$21&amp;" is less than  than Retesting positive result at L&amp;D"&amp;CHAR(10),""),IF(U290&gt;U289," * Retesting at L&amp;D For age "&amp;$T$20&amp;" "&amp;$U$21&amp;" is less than  than Retesting positive result at L&amp;D"&amp;CHAR(10),""),IF(V290&gt;V289," * Retesting at L&amp;D For age "&amp;$V$20&amp;" "&amp;$V$21&amp;" is less than  than Retesting positive result at L&amp;D"&amp;CHAR(10),""),IF(W290&gt;W289," * Retesting at L&amp;D For age "&amp;$V$20&amp;" "&amp;$W$21&amp;" is less than  than Retesting positive result at L&amp;D"&amp;CHAR(10),""),IF(X290&gt;X289," * Retesting at L&amp;D For age "&amp;$X$20&amp;" "&amp;$X$21&amp;" is less than  than Retesting positive result at L&amp;D"&amp;CHAR(10),""),IF(Y290&gt;Y289," * Retesting at L&amp;D For age "&amp;$X$20&amp;" "&amp;$Y$21&amp;" is less than  than Retesting positive result at L&amp;D"&amp;CHAR(10),""),IF(Z290&gt;Z289," * Retesting at L&amp;D For age "&amp;$Z$20&amp;" "&amp;$Z$21&amp;" is less than  than Retesting positive result at L&amp;D"&amp;CHAR(10),""),IF(AA290&gt;AA289," * Retesting at L&amp;D For age "&amp;$Z$20&amp;" "&amp;$AA$21&amp;" is less than  than Retesting positive result at L&amp;D"&amp;CHAR(10),""))</f>
        <v/>
      </c>
      <c r="AL289" s="1019"/>
      <c r="AM289" s="31"/>
      <c r="AN289" s="1231"/>
      <c r="AO289" s="13">
        <v>208</v>
      </c>
      <c r="AP289" s="74"/>
      <c r="AQ289" s="75"/>
    </row>
    <row r="290" spans="1:43" ht="27" thickBot="1" x14ac:dyDescent="0.45">
      <c r="A290" s="1249"/>
      <c r="B290" s="95" t="s">
        <v>688</v>
      </c>
      <c r="C290" s="577" t="s">
        <v>639</v>
      </c>
      <c r="D290" s="103"/>
      <c r="E290" s="102"/>
      <c r="F290" s="102"/>
      <c r="G290" s="102"/>
      <c r="H290" s="102"/>
      <c r="I290" s="102"/>
      <c r="J290" s="102"/>
      <c r="K290" s="97"/>
      <c r="L290" s="215"/>
      <c r="M290" s="97"/>
      <c r="N290" s="215"/>
      <c r="O290" s="97"/>
      <c r="P290" s="215"/>
      <c r="Q290" s="97"/>
      <c r="R290" s="215"/>
      <c r="S290" s="97"/>
      <c r="T290" s="215"/>
      <c r="U290" s="97"/>
      <c r="V290" s="215"/>
      <c r="W290" s="97"/>
      <c r="X290" s="215"/>
      <c r="Y290" s="97"/>
      <c r="Z290" s="215"/>
      <c r="AA290" s="324"/>
      <c r="AB290" s="386"/>
      <c r="AC290" s="356"/>
      <c r="AD290" s="356"/>
      <c r="AE290" s="356"/>
      <c r="AF290" s="356"/>
      <c r="AG290" s="356"/>
      <c r="AH290" s="356"/>
      <c r="AI290" s="313"/>
      <c r="AJ290" s="396">
        <f t="shared" si="134"/>
        <v>0</v>
      </c>
      <c r="AK290" s="116"/>
      <c r="AL290" s="1019"/>
      <c r="AM290" s="31"/>
      <c r="AN290" s="1231"/>
      <c r="AO290" s="13">
        <v>209</v>
      </c>
      <c r="AP290" s="74"/>
      <c r="AQ290" s="75"/>
    </row>
    <row r="291" spans="1:43" ht="26.25" x14ac:dyDescent="0.4">
      <c r="A291" s="1243" t="s">
        <v>488</v>
      </c>
      <c r="B291" s="91" t="s">
        <v>689</v>
      </c>
      <c r="C291" s="575" t="s">
        <v>281</v>
      </c>
      <c r="D291" s="98"/>
      <c r="E291" s="99"/>
      <c r="F291" s="99"/>
      <c r="G291" s="99"/>
      <c r="H291" s="99"/>
      <c r="I291" s="99"/>
      <c r="J291" s="99"/>
      <c r="K291" s="94"/>
      <c r="L291" s="99"/>
      <c r="M291" s="94"/>
      <c r="N291" s="99"/>
      <c r="O291" s="94"/>
      <c r="P291" s="99"/>
      <c r="Q291" s="94"/>
      <c r="R291" s="99"/>
      <c r="S291" s="94"/>
      <c r="T291" s="99"/>
      <c r="U291" s="94"/>
      <c r="V291" s="99"/>
      <c r="W291" s="94"/>
      <c r="X291" s="99"/>
      <c r="Y291" s="94"/>
      <c r="Z291" s="99"/>
      <c r="AA291" s="323"/>
      <c r="AB291" s="386"/>
      <c r="AC291" s="356"/>
      <c r="AD291" s="356"/>
      <c r="AE291" s="356"/>
      <c r="AF291" s="356"/>
      <c r="AG291" s="356"/>
      <c r="AH291" s="356"/>
      <c r="AI291" s="313"/>
      <c r="AJ291" s="398">
        <f t="shared" si="134"/>
        <v>0</v>
      </c>
      <c r="AK291" s="1083" t="str">
        <f>CONCATENATE(IF(D292&gt;D291," * Positive at PNC &lt;=6wks for Age "&amp;D20&amp;" "&amp;D21&amp;" is more than Initial test at PNC &lt;= 6wks"&amp;CHAR(10),""),IF(E292&gt;E291," * Positive at PNC &lt;=6wks for Age "&amp;D20&amp;" "&amp;E21&amp;" is more than Initial test at PNC &lt;= 6wks"&amp;CHAR(10),""),IF(F292&gt;F291," * Positive at PNC &lt;=6wks for Age "&amp;F20&amp;" "&amp;F21&amp;" is more than Initial test at PNC &lt;= 6wks"&amp;CHAR(10),""),IF(G292&gt;G291," * Positive at PNC &lt;=6wks for Age "&amp;F20&amp;" "&amp;G21&amp;" is more than Initial test at PNC &lt;= 6wks"&amp;CHAR(10),""),IF(H292&gt;H291," * Positive at PNC &lt;=6wks for Age "&amp;H20&amp;" "&amp;H21&amp;" is more than Initial test at PNC &lt;= 6wks"&amp;CHAR(10),""),IF(I292&gt;I291," * Positive at PNC &lt;=6wks for Age "&amp;H20&amp;" "&amp;I21&amp;" is more than Initial test at PNC &lt;= 6wks"&amp;CHAR(10),""),IF(J292&gt;J291," * Positive at PNC &lt;=6wks for Age "&amp;J20&amp;" "&amp;J21&amp;" is more than Initial test at PNC &lt;= 6wks"&amp;CHAR(10),""),IF(K292&gt;K291," * Positive at PNC &lt;=6wks for Age "&amp;J20&amp;" "&amp;K21&amp;" is more than Initial test at PNC &lt;= 6wks"&amp;CHAR(10),""),IF(L292&gt;L291," * Positive at PNC &lt;=6wks for Age "&amp;L20&amp;" "&amp;L21&amp;" is more than Initial test at PNC &lt;= 6wks"&amp;CHAR(10),""),IF(M292&gt;M291," * Positive at PNC &lt;=6wks for Age "&amp;L20&amp;" "&amp;M21&amp;" is more than Initial test at PNC &lt;= 6wks"&amp;CHAR(10),""),IF(N292&gt;N291," * Positive at PNC &lt;=6wks for Age "&amp;N20&amp;" "&amp;N21&amp;" is more than Initial test at PNC &lt;= 6wks"&amp;CHAR(10),""),IF(O292&gt;O291," * Positive at PNC &lt;=6wks for Age "&amp;N20&amp;" "&amp;O21&amp;" is more than Initial test at PNC &lt;= 6wks"&amp;CHAR(10),""),IF(P292&gt;P291," * Positive at PNC &lt;=6wks for Age "&amp;P20&amp;" "&amp;P21&amp;" is more than Initial test at PNC &lt;= 6wks"&amp;CHAR(10),""),IF(Q292&gt;Q291," * Positive at PNC &lt;=6wks for Age "&amp;P20&amp;" "&amp;Q21&amp;" is more than Initial test at PNC &lt;= 6wks"&amp;CHAR(10),""),IF(R292&gt;R291," * Positive at PNC &lt;=6wks for Age "&amp;R20&amp;" "&amp;R21&amp;" is more than Initial test at PNC &lt;= 6wks"&amp;CHAR(10),""),IF(S292&gt;S291," * Positive at PNC &lt;=6wks for Age "&amp;R20&amp;" "&amp;S21&amp;" is more than Initial test at PNC &lt;= 6wks"&amp;CHAR(10),""),IF(T292&gt;T291," * Positive at PNC &lt;=6wks for Age "&amp;T20&amp;" "&amp;T21&amp;" is more than Initial test at PNC &lt;= 6wks"&amp;CHAR(10),""),IF(U292&gt;U291," * Positive at PNC &lt;=6wks for Age "&amp;T20&amp;" "&amp;U21&amp;" is more than Initial test at PNC &lt;= 6wks"&amp;CHAR(10),""),IF(V292&gt;V291," * Positive at PNC &lt;=6wks for Age "&amp;V20&amp;" "&amp;V21&amp;" is more than Initial test at PNC &lt;= 6wks"&amp;CHAR(10),""),IF(W292&gt;W291," * Positive at PNC &lt;=6wks for Age "&amp;V20&amp;" "&amp;W21&amp;" is more than Initial test at PNC &lt;= 6wks"&amp;CHAR(10),""),IF(X292&gt;X291," * Positive at PNC &lt;=6wks for Age "&amp;X20&amp;" "&amp;X21&amp;" is more than Initial test at PNC &lt;= 6wks"&amp;CHAR(10),""),IF(Y292&gt;Y291," * Positive at PNC &lt;=6wks for Age "&amp;X20&amp;" "&amp;Y21&amp;" is more than Initial test at PNC &lt;= 6wks"&amp;CHAR(10),""),IF(Z292&gt;Z291," * Positive at PNC &lt;=6wks for Age "&amp;Z20&amp;" "&amp;Z21&amp;" is more than Initial test at PNC &lt;= 6wks"&amp;CHAR(10),""),IF(AA292&gt;AA291," * Positive at PNC &lt;=6wks for Age "&amp;Z20&amp;" "&amp;AA21&amp;" is more than Initial test at PNC &lt;= 6wks"&amp;CHAR(10),""))</f>
        <v/>
      </c>
      <c r="AL291" s="1019"/>
      <c r="AM291" s="31"/>
      <c r="AN291" s="1231"/>
      <c r="AO291" s="13">
        <v>210</v>
      </c>
      <c r="AP291" s="74"/>
      <c r="AQ291" s="75"/>
    </row>
    <row r="292" spans="1:43" ht="26.25" x14ac:dyDescent="0.4">
      <c r="A292" s="1244"/>
      <c r="B292" s="214" t="s">
        <v>690</v>
      </c>
      <c r="C292" s="576" t="s">
        <v>283</v>
      </c>
      <c r="D292" s="216"/>
      <c r="E292" s="217"/>
      <c r="F292" s="217"/>
      <c r="G292" s="217"/>
      <c r="H292" s="217"/>
      <c r="I292" s="217"/>
      <c r="J292" s="207"/>
      <c r="K292" s="206"/>
      <c r="L292" s="207"/>
      <c r="M292" s="206"/>
      <c r="N292" s="207"/>
      <c r="O292" s="206"/>
      <c r="P292" s="207"/>
      <c r="Q292" s="206"/>
      <c r="R292" s="207"/>
      <c r="S292" s="206"/>
      <c r="T292" s="207"/>
      <c r="U292" s="206"/>
      <c r="V292" s="207"/>
      <c r="W292" s="206"/>
      <c r="X292" s="207"/>
      <c r="Y292" s="206"/>
      <c r="Z292" s="207"/>
      <c r="AA292" s="354"/>
      <c r="AB292" s="386"/>
      <c r="AC292" s="356"/>
      <c r="AD292" s="356"/>
      <c r="AE292" s="356"/>
      <c r="AF292" s="356"/>
      <c r="AG292" s="356"/>
      <c r="AH292" s="356"/>
      <c r="AI292" s="313"/>
      <c r="AJ292" s="396">
        <f t="shared" si="134"/>
        <v>0</v>
      </c>
      <c r="AK292" s="1083"/>
      <c r="AL292" s="1019"/>
      <c r="AM292" s="31"/>
      <c r="AN292" s="1231"/>
      <c r="AO292" s="13">
        <v>211</v>
      </c>
      <c r="AP292" s="74"/>
      <c r="AQ292" s="75"/>
    </row>
    <row r="293" spans="1:43" s="61" customFormat="1" ht="26.25" x14ac:dyDescent="0.4">
      <c r="A293" s="1244"/>
      <c r="B293" s="76" t="s">
        <v>486</v>
      </c>
      <c r="C293" s="576" t="s">
        <v>489</v>
      </c>
      <c r="D293" s="77"/>
      <c r="E293" s="78"/>
      <c r="F293" s="78"/>
      <c r="G293" s="78"/>
      <c r="H293" s="78"/>
      <c r="I293" s="78"/>
      <c r="J293" s="78"/>
      <c r="K293" s="79"/>
      <c r="L293" s="78"/>
      <c r="M293" s="79"/>
      <c r="N293" s="78"/>
      <c r="O293" s="79"/>
      <c r="P293" s="78"/>
      <c r="Q293" s="79"/>
      <c r="R293" s="78"/>
      <c r="S293" s="79"/>
      <c r="T293" s="78"/>
      <c r="U293" s="79"/>
      <c r="V293" s="78"/>
      <c r="W293" s="79"/>
      <c r="X293" s="78"/>
      <c r="Y293" s="79"/>
      <c r="Z293" s="78"/>
      <c r="AA293" s="354"/>
      <c r="AB293" s="386"/>
      <c r="AC293" s="356"/>
      <c r="AD293" s="356"/>
      <c r="AE293" s="356"/>
      <c r="AF293" s="356"/>
      <c r="AG293" s="356"/>
      <c r="AH293" s="356"/>
      <c r="AI293" s="313"/>
      <c r="AJ293" s="396">
        <f t="shared" si="134"/>
        <v>0</v>
      </c>
      <c r="AK293" s="30" t="str">
        <f>CONCATENATE(IF(D294&gt;D293," * Retesting at PNC &lt; = 6 weeks For age "&amp;$D$20&amp;" "&amp;$D$21&amp;" is less than  than Retesting positive result at PNC &lt; = 6 weeks"&amp;CHAR(10),""),IF(E294&gt;E293," * Retesting at PNC &lt; = 6 weeks For age "&amp;$D$20&amp;" "&amp;$E$21&amp;" is less than  than Retesting positive result at PNC &lt; = 6 weeks"&amp;CHAR(10),""),IF(F294&gt;F293," * Retesting at PNC &lt; = 6 weeks For age "&amp;$F$20&amp;" "&amp;$F$21&amp;" is less than  than Retesting positive result at PNC &lt; = 6 weeks"&amp;CHAR(10),""),IF(G294&gt;G293," * Retesting at PNC &lt; = 6 weeks For age "&amp;$F$20&amp;" "&amp;$G$21&amp;" is less than  than Retesting positive result at PNC &lt; = 6 weeks"&amp;CHAR(10),""),IF(H294&gt;H293," * Retesting at PNC &lt; = 6 weeks For age "&amp;$H$20&amp;" "&amp;$H$21&amp;" is less than  than Retesting positive result at PNC &lt; = 6 weeks"&amp;CHAR(10),""),IF(I294&gt;I293," * Retesting at PNC &lt; = 6 weeks For age "&amp;$H$20&amp;" "&amp;$I$21&amp;" is less than  than Retesting positive result at PNC &lt; = 6 weeks"&amp;CHAR(10),""),IF(J294&gt;J293," * Retesting at PNC &lt; = 6 weeks For age "&amp;$J$20&amp;" "&amp;$J$21&amp;" is less than  than Retesting positive result at PNC &lt; = 6 weeks"&amp;CHAR(10),""),IF(K294&gt;K293," * Retesting at PNC &lt; = 6 weeks For age "&amp;$J$20&amp;" "&amp;$K$21&amp;" is less than  than Retesting positive result at PNC &lt; = 6 weeks"&amp;CHAR(10),""),IF(L294&gt;L293," * Retesting at PNC &lt; = 6 weeks For age "&amp;$L$20&amp;" "&amp;$L$21&amp;" is less than  than Retesting positive result at PNC &lt; = 6 weeks"&amp;CHAR(10),""),IF(M294&gt;M293," * Retesting at PNC &lt; = 6 weeks For age "&amp;$L$20&amp;" "&amp;$M$21&amp;" is less than  than Retesting positive result at PNC &lt; = 6 weeks"&amp;CHAR(10),""),IF(N294&gt;N293," * Retesting at PNC &lt; = 6 weeks For age "&amp;$N$20&amp;" "&amp;$N$21&amp;" is less than  than Retesting positive result at PNC &lt; = 6 weeks"&amp;CHAR(10),""),IF(O294&gt;O293," * Retesting at PNC &lt; = 6 weeks For age "&amp;$N$20&amp;" "&amp;$O$21&amp;" is less than  than Retesting positive result at PNC &lt; = 6 weeks"&amp;CHAR(10),""),IF(P294&gt;P293," * Retesting at PNC &lt; = 6 weeks For age "&amp;$P$20&amp;" "&amp;$P$21&amp;" is less than  than Retesting positive result at PNC &lt; = 6 weeks"&amp;CHAR(10),""),IF(Q294&gt;Q293," * Retesting at PNC &lt; = 6 weeks For age "&amp;$P$20&amp;" "&amp;$Q$21&amp;" is less than  than Retesting positive result at PNC &lt; = 6 weeks"&amp;CHAR(10),""),IF(R294&gt;R293," * Retesting at PNC &lt; = 6 weeks For age "&amp;$R$20&amp;" "&amp;$R$21&amp;" is less than  than Retesting positive result at PNC &lt; = 6 weeks"&amp;CHAR(10),""),IF(S294&gt;S293," * Retesting at PNC &lt; = 6 weeks For age "&amp;$R$20&amp;" "&amp;$S$21&amp;" is less than  than Retesting positive result at PNC &lt; = 6 weeks"&amp;CHAR(10),""),IF(T294&gt;T293," * Retesting at PNC &lt; = 6 weeks For age "&amp;$T$20&amp;" "&amp;$T$21&amp;" is less than  than Retesting positive result at PNC &lt; = 6 weeks"&amp;CHAR(10),""),IF(U294&gt;U293," * Retesting at PNC &lt; = 6 weeks For age "&amp;$T$20&amp;" "&amp;$U$21&amp;" is less than  than Retesting positive result at PNC &lt; = 6 weeks"&amp;CHAR(10),""),IF(V294&gt;V293," * Retesting at PNC &lt; = 6 weeks For age "&amp;$V$20&amp;" "&amp;$V$21&amp;" is less than  than Retesting positive result at PNC &lt; = 6 weeks"&amp;CHAR(10),""),IF(W294&gt;W293," * Retesting at PNC &lt; = 6 weeks For age "&amp;$V$20&amp;" "&amp;$W$21&amp;" is less than  than Retesting positive result at PNC &lt; = 6 weeks"&amp;CHAR(10),""),IF(X294&gt;X293," * Retesting at PNC &lt; = 6 weeks For age "&amp;$X$20&amp;" "&amp;$X$21&amp;" is less than  than Retesting positive result at PNC &lt; = 6 weeks"&amp;CHAR(10),""),IF(Y294&gt;Y293," * Retesting at PNC &lt; = 6 weeks For age "&amp;$X$20&amp;" "&amp;$Y$21&amp;" is less than  than Retesting positive result at PNC &lt; = 6 weeks"&amp;CHAR(10),""),IF(Z294&gt;Z293," * Retesting at PNC &lt; = 6 weeks For age "&amp;$Z$20&amp;" "&amp;$Z$21&amp;" is less than  than Retesting positive result at PNC &lt; = 6 weeks"&amp;CHAR(10),""),IF(AA294&gt;AA293," * Retesting at PNC &lt; = 6 weeks For age "&amp;$Z$20&amp;" "&amp;$AA$21&amp;" is less than  than Retesting positive result at PNC &lt; = 6 weeks"&amp;CHAR(10),""))</f>
        <v/>
      </c>
      <c r="AL293" s="1019"/>
      <c r="AM293" s="60"/>
      <c r="AN293" s="1231"/>
      <c r="AO293" s="13">
        <v>212</v>
      </c>
      <c r="AP293" s="80"/>
      <c r="AQ293" s="75"/>
    </row>
    <row r="294" spans="1:43" ht="27" thickBot="1" x14ac:dyDescent="0.45">
      <c r="A294" s="1244"/>
      <c r="B294" s="631" t="s">
        <v>487</v>
      </c>
      <c r="C294" s="605" t="s">
        <v>490</v>
      </c>
      <c r="D294" s="133"/>
      <c r="E294" s="120"/>
      <c r="F294" s="120"/>
      <c r="G294" s="120"/>
      <c r="H294" s="665"/>
      <c r="I294" s="665"/>
      <c r="J294" s="665"/>
      <c r="K294" s="637"/>
      <c r="L294" s="665"/>
      <c r="M294" s="637"/>
      <c r="N294" s="665"/>
      <c r="O294" s="637"/>
      <c r="P294" s="665"/>
      <c r="Q294" s="637"/>
      <c r="R294" s="665"/>
      <c r="S294" s="637"/>
      <c r="T294" s="665"/>
      <c r="U294" s="637"/>
      <c r="V294" s="665"/>
      <c r="W294" s="637"/>
      <c r="X294" s="665"/>
      <c r="Y294" s="637"/>
      <c r="Z294" s="665"/>
      <c r="AA294" s="334"/>
      <c r="AB294" s="386"/>
      <c r="AC294" s="356"/>
      <c r="AD294" s="356"/>
      <c r="AE294" s="356"/>
      <c r="AF294" s="356"/>
      <c r="AG294" s="356"/>
      <c r="AH294" s="356"/>
      <c r="AI294" s="313"/>
      <c r="AJ294" s="396">
        <f t="shared" si="134"/>
        <v>0</v>
      </c>
      <c r="AK294" s="116"/>
      <c r="AL294" s="1019"/>
      <c r="AM294" s="31"/>
      <c r="AN294" s="1231"/>
      <c r="AO294" s="13">
        <v>213</v>
      </c>
      <c r="AP294" s="74"/>
      <c r="AQ294" s="75"/>
    </row>
    <row r="295" spans="1:43" ht="26.25" x14ac:dyDescent="0.4">
      <c r="A295" s="1245"/>
      <c r="B295" s="1" t="s">
        <v>1256</v>
      </c>
      <c r="C295" s="604" t="s">
        <v>491</v>
      </c>
      <c r="D295" s="98"/>
      <c r="E295" s="99"/>
      <c r="F295" s="99"/>
      <c r="G295" s="99"/>
      <c r="H295" s="99"/>
      <c r="I295" s="99"/>
      <c r="J295" s="99"/>
      <c r="K295" s="94"/>
      <c r="L295" s="99"/>
      <c r="M295" s="94"/>
      <c r="N295" s="99"/>
      <c r="O295" s="94"/>
      <c r="P295" s="99"/>
      <c r="Q295" s="94"/>
      <c r="R295" s="99"/>
      <c r="S295" s="94"/>
      <c r="T295" s="99"/>
      <c r="U295" s="94"/>
      <c r="V295" s="99"/>
      <c r="W295" s="94"/>
      <c r="X295" s="99"/>
      <c r="Y295" s="94"/>
      <c r="Z295" s="99"/>
      <c r="AA295" s="374"/>
      <c r="AB295" s="386"/>
      <c r="AC295" s="356"/>
      <c r="AD295" s="356"/>
      <c r="AE295" s="356"/>
      <c r="AF295" s="356"/>
      <c r="AG295" s="356"/>
      <c r="AH295" s="356"/>
      <c r="AI295" s="313"/>
      <c r="AJ295" s="396">
        <f t="shared" si="134"/>
        <v>0</v>
      </c>
      <c r="AK295" s="30" t="str">
        <f>CONCATENATE(IF(D296&gt;D295," * Testing at PNC &gt; 6 weeks For age "&amp;$D$20&amp;" "&amp;$D$21&amp;" is less than Positive result at PNC &gt; 6 weeks"&amp;CHAR(10),""),IF(E296&gt;E295," * Testing at PNC &gt; 6 weeks For age "&amp;$D$20&amp;" "&amp;$E$21&amp;" is less than Positive result at PNC &gt; 6 weeks"&amp;CHAR(10),""),IF(F296&gt;F295," * Testing at PNC &gt; 6 weeks For age "&amp;$F$20&amp;" "&amp;$F$21&amp;" is less than Positive result at PNC &gt; 6 weeks"&amp;CHAR(10),""),IF(G296&gt;G295," * Testing at PNC &gt; 6 weeks For age "&amp;$F$20&amp;" "&amp;$G$21&amp;" is less than Positive result at PNC &gt; 6 weeks"&amp;CHAR(10),""),IF(H296&gt;H295," * Testing at PNC &gt; 6 weeks For age "&amp;$H$20&amp;" "&amp;$H$21&amp;" is less than Positive result at PNC &gt; 6 weeks"&amp;CHAR(10),""),IF(I296&gt;I295," * Testing at PNC &gt; 6 weeks For age "&amp;$H$20&amp;" "&amp;$I$21&amp;" is less than Positive result at PNC &gt; 6 weeks"&amp;CHAR(10),""),IF(J296&gt;J295," * Testing at PNC &gt; 6 weeks For age "&amp;$J$20&amp;" "&amp;$J$21&amp;" is less than Positive result at PNC &gt; 6 weeks"&amp;CHAR(10),""),IF(K296&gt;K295," * Testing at PNC &gt; 6 weeks For age "&amp;$J$20&amp;" "&amp;$K$21&amp;" is less than Positive result at PNC &gt; 6 weeks"&amp;CHAR(10),""),IF(L296&gt;L295," * Testing at PNC &gt; 6 weeks For age "&amp;$L$20&amp;" "&amp;$L$21&amp;" is less than Positive result at PNC &gt; 6 weeks"&amp;CHAR(10),""),IF(M296&gt;M295," * Testing at PNC &gt; 6 weeks For age "&amp;$L$20&amp;" "&amp;$M$21&amp;" is less than Positive result at PNC &gt; 6 weeks"&amp;CHAR(10),""),IF(N296&gt;N295," * Testing at PNC &gt; 6 weeks For age "&amp;$N$20&amp;" "&amp;$N$21&amp;" is less than Positive result at PNC &gt; 6 weeks"&amp;CHAR(10),""),IF(O296&gt;O295," * Testing at PNC &gt; 6 weeks For age "&amp;$N$20&amp;" "&amp;$O$21&amp;" is less than Positive result at PNC &gt; 6 weeks"&amp;CHAR(10),""),IF(P296&gt;P295," * Testing at PNC &gt; 6 weeks For age "&amp;$P$20&amp;" "&amp;$P$21&amp;" is less than Positive result at PNC &gt; 6 weeks"&amp;CHAR(10),""),IF(Q296&gt;Q295," * Testing at PNC &gt; 6 weeks For age "&amp;$P$20&amp;" "&amp;$Q$21&amp;" is less than Positive result at PNC &gt; 6 weeks"&amp;CHAR(10),""),IF(R296&gt;R295," * Testing at PNC &gt; 6 weeks For age "&amp;$R$20&amp;" "&amp;$R$21&amp;" is less than Positive result at PNC &gt; 6 weeks"&amp;CHAR(10),""),IF(S296&gt;S295," * Testing at PNC &gt; 6 weeks For age "&amp;$R$20&amp;" "&amp;$S$21&amp;" is less than Positive result at PNC &gt; 6 weeks"&amp;CHAR(10),""),IF(T296&gt;T295," * Testing at PNC &gt; 6 weeks For age "&amp;$T$20&amp;" "&amp;$T$21&amp;" is less than Positive result at PNC &gt; 6 weeks"&amp;CHAR(10),""),IF(U296&gt;U295," * Testing at PNC &gt; 6 weeks For age "&amp;$T$20&amp;" "&amp;$U$21&amp;" is less than Positive result at PNC &gt; 6 weeks"&amp;CHAR(10),""),IF(V296&gt;V295," * Testing at PNC &gt; 6 weeks For age "&amp;$V$20&amp;" "&amp;$V$21&amp;" is less than Positive result at PNC &gt; 6 weeks"&amp;CHAR(10),""),IF(W296&gt;W295," * Testing at PNC &gt; 6 weeks For age "&amp;$V$20&amp;" "&amp;$W$21&amp;" is less than Positive result at PNC &gt; 6 weeks"&amp;CHAR(10),""),IF(X296&gt;X295," * Testing at PNC &gt; 6 weeks For age "&amp;$X$20&amp;" "&amp;$X$21&amp;" is less than Positive result at PNC &gt; 6 weeks"&amp;CHAR(10),""),IF(Y296&gt;Y295," * Testing at PNC &gt; 6 weeks For age "&amp;$X$20&amp;" "&amp;$Y$21&amp;" is less than Positive result at PNC &gt; 6 weeks"&amp;CHAR(10),""),IF(Z296&gt;Z295," * Testing at PNC &gt; 6 weeks For age "&amp;$Z$20&amp;" "&amp;$Z$21&amp;" is less than Positive result at PNC &gt; 6 weeks"&amp;CHAR(10),""),IF(AA296&gt;AA295," * Testing at PNC &gt; 6 weeks For age "&amp;$Z$20&amp;" "&amp;$AA$21&amp;" is less than Positive result at PNC &gt; 6 weeks"&amp;CHAR(10),""))</f>
        <v/>
      </c>
      <c r="AL295" s="1019"/>
      <c r="AM295" s="31"/>
      <c r="AN295" s="1231"/>
      <c r="AO295" s="13">
        <v>214</v>
      </c>
      <c r="AP295" s="74"/>
      <c r="AQ295" s="75"/>
    </row>
    <row r="296" spans="1:43" ht="27" thickBot="1" x14ac:dyDescent="0.45">
      <c r="A296" s="1245"/>
      <c r="B296" s="667" t="s">
        <v>1251</v>
      </c>
      <c r="C296" s="607" t="s">
        <v>492</v>
      </c>
      <c r="D296" s="103"/>
      <c r="E296" s="102"/>
      <c r="F296" s="102"/>
      <c r="G296" s="102"/>
      <c r="H296" s="215"/>
      <c r="I296" s="215"/>
      <c r="J296" s="215"/>
      <c r="K296" s="97"/>
      <c r="L296" s="215"/>
      <c r="M296" s="97"/>
      <c r="N296" s="215"/>
      <c r="O296" s="97"/>
      <c r="P296" s="215"/>
      <c r="Q296" s="97"/>
      <c r="R296" s="215"/>
      <c r="S296" s="97"/>
      <c r="T296" s="215"/>
      <c r="U296" s="97"/>
      <c r="V296" s="215"/>
      <c r="W296" s="97"/>
      <c r="X296" s="215"/>
      <c r="Y296" s="97"/>
      <c r="Z296" s="215"/>
      <c r="AA296" s="666"/>
      <c r="AB296" s="842"/>
      <c r="AC296" s="400"/>
      <c r="AD296" s="400"/>
      <c r="AE296" s="400"/>
      <c r="AF296" s="400"/>
      <c r="AG296" s="400"/>
      <c r="AH296" s="400"/>
      <c r="AI296" s="401"/>
      <c r="AJ296" s="397">
        <f t="shared" si="134"/>
        <v>0</v>
      </c>
      <c r="AK296" s="116"/>
      <c r="AL296" s="1019"/>
      <c r="AM296" s="31"/>
      <c r="AN296" s="1231"/>
      <c r="AO296" s="13">
        <v>215</v>
      </c>
      <c r="AP296" s="74"/>
      <c r="AQ296" s="75"/>
    </row>
    <row r="297" spans="1:43" ht="26.25" x14ac:dyDescent="0.4">
      <c r="A297" s="1245"/>
      <c r="B297" s="298" t="s">
        <v>1252</v>
      </c>
      <c r="C297" s="629" t="s">
        <v>1254</v>
      </c>
      <c r="D297" s="77"/>
      <c r="E297" s="78"/>
      <c r="F297" s="78"/>
      <c r="G297" s="78"/>
      <c r="H297" s="78"/>
      <c r="I297" s="78"/>
      <c r="J297" s="78"/>
      <c r="K297" s="79"/>
      <c r="L297" s="78"/>
      <c r="M297" s="79"/>
      <c r="N297" s="78"/>
      <c r="O297" s="79"/>
      <c r="P297" s="78"/>
      <c r="Q297" s="79"/>
      <c r="R297" s="78"/>
      <c r="S297" s="79"/>
      <c r="T297" s="78"/>
      <c r="U297" s="79"/>
      <c r="V297" s="78"/>
      <c r="W297" s="79"/>
      <c r="X297" s="78"/>
      <c r="Y297" s="79"/>
      <c r="Z297" s="78"/>
      <c r="AA297" s="381"/>
      <c r="AB297" s="386"/>
      <c r="AC297" s="356"/>
      <c r="AD297" s="356"/>
      <c r="AE297" s="356"/>
      <c r="AF297" s="356"/>
      <c r="AG297" s="356"/>
      <c r="AH297" s="356"/>
      <c r="AI297" s="313"/>
      <c r="AJ297" s="396">
        <f t="shared" ref="AJ297:AJ298" si="135">SUM(D297:AA297)</f>
        <v>0</v>
      </c>
      <c r="AK297" s="30" t="str">
        <f>CONCATENATE(IF(D298&gt;D297," * Testing at PNC &gt; 6 weeks For age "&amp;$D$20&amp;" "&amp;$D$21&amp;" is less than Positive result at PNC &gt; 6 weeks"&amp;CHAR(10),""),IF(E298&gt;E297," * Testing at PNC &gt; 6 weeks For age "&amp;$D$20&amp;" "&amp;$E$21&amp;" is less than Positive result at PNC &gt; 6 weeks"&amp;CHAR(10),""),IF(F298&gt;F297," * Testing at PNC &gt; 6 weeks For age "&amp;$F$20&amp;" "&amp;$F$21&amp;" is less than Positive result at PNC &gt; 6 weeks"&amp;CHAR(10),""),IF(G298&gt;G297," * Testing at PNC &gt; 6 weeks For age "&amp;$F$20&amp;" "&amp;$G$21&amp;" is less than Positive result at PNC &gt; 6 weeks"&amp;CHAR(10),""),IF(H298&gt;H297," * Testing at PNC &gt; 6 weeks For age "&amp;$H$20&amp;" "&amp;$H$21&amp;" is less than Positive result at PNC &gt; 6 weeks"&amp;CHAR(10),""),IF(I298&gt;I297," * Testing at PNC &gt; 6 weeks For age "&amp;$H$20&amp;" "&amp;$I$21&amp;" is less than Positive result at PNC &gt; 6 weeks"&amp;CHAR(10),""),IF(J298&gt;J297," * Testing at PNC &gt; 6 weeks For age "&amp;$J$20&amp;" "&amp;$J$21&amp;" is less than Positive result at PNC &gt; 6 weeks"&amp;CHAR(10),""),IF(K298&gt;K297," * Testing at PNC &gt; 6 weeks For age "&amp;$J$20&amp;" "&amp;$K$21&amp;" is less than Positive result at PNC &gt; 6 weeks"&amp;CHAR(10),""),IF(L298&gt;L297," * Testing at PNC &gt; 6 weeks For age "&amp;$L$20&amp;" "&amp;$L$21&amp;" is less than Positive result at PNC &gt; 6 weeks"&amp;CHAR(10),""),IF(M298&gt;M297," * Testing at PNC &gt; 6 weeks For age "&amp;$L$20&amp;" "&amp;$M$21&amp;" is less than Positive result at PNC &gt; 6 weeks"&amp;CHAR(10),""),IF(N298&gt;N297," * Testing at PNC &gt; 6 weeks For age "&amp;$N$20&amp;" "&amp;$N$21&amp;" is less than Positive result at PNC &gt; 6 weeks"&amp;CHAR(10),""),IF(O298&gt;O297," * Testing at PNC &gt; 6 weeks For age "&amp;$N$20&amp;" "&amp;$O$21&amp;" is less than Positive result at PNC &gt; 6 weeks"&amp;CHAR(10),""),IF(P298&gt;P297," * Testing at PNC &gt; 6 weeks For age "&amp;$P$20&amp;" "&amp;$P$21&amp;" is less than Positive result at PNC &gt; 6 weeks"&amp;CHAR(10),""),IF(Q298&gt;Q297," * Testing at PNC &gt; 6 weeks For age "&amp;$P$20&amp;" "&amp;$Q$21&amp;" is less than Positive result at PNC &gt; 6 weeks"&amp;CHAR(10),""),IF(R298&gt;R297," * Testing at PNC &gt; 6 weeks For age "&amp;$R$20&amp;" "&amp;$R$21&amp;" is less than Positive result at PNC &gt; 6 weeks"&amp;CHAR(10),""),IF(S298&gt;S297," * Testing at PNC &gt; 6 weeks For age "&amp;$R$20&amp;" "&amp;$S$21&amp;" is less than Positive result at PNC &gt; 6 weeks"&amp;CHAR(10),""),IF(T298&gt;T297," * Testing at PNC &gt; 6 weeks For age "&amp;$T$20&amp;" "&amp;$T$21&amp;" is less than Positive result at PNC &gt; 6 weeks"&amp;CHAR(10),""),IF(U298&gt;U297," * Testing at PNC &gt; 6 weeks For age "&amp;$T$20&amp;" "&amp;$U$21&amp;" is less than Positive result at PNC &gt; 6 weeks"&amp;CHAR(10),""),IF(V298&gt;V297," * Testing at PNC &gt; 6 weeks For age "&amp;$V$20&amp;" "&amp;$V$21&amp;" is less than Positive result at PNC &gt; 6 weeks"&amp;CHAR(10),""),IF(W298&gt;W297," * Testing at PNC &gt; 6 weeks For age "&amp;$V$20&amp;" "&amp;$W$21&amp;" is less than Positive result at PNC &gt; 6 weeks"&amp;CHAR(10),""),IF(X298&gt;X297," * Testing at PNC &gt; 6 weeks For age "&amp;$X$20&amp;" "&amp;$X$21&amp;" is less than Positive result at PNC &gt; 6 weeks"&amp;CHAR(10),""),IF(Y298&gt;Y297," * Testing at PNC &gt; 6 weeks For age "&amp;$X$20&amp;" "&amp;$Y$21&amp;" is less than Positive result at PNC &gt; 6 weeks"&amp;CHAR(10),""),IF(Z298&gt;Z297," * Testing at PNC &gt; 6 weeks For age "&amp;$Z$20&amp;" "&amp;$Z$21&amp;" is less than Positive result at PNC &gt; 6 weeks"&amp;CHAR(10),""),IF(AA298&gt;AA297," * Testing at PNC &gt; 6 weeks For age "&amp;$Z$20&amp;" "&amp;$AA$21&amp;" is less than Positive result at PNC &gt; 6 weeks"&amp;CHAR(10),""))</f>
        <v/>
      </c>
      <c r="AL297" s="1019"/>
      <c r="AM297" s="31"/>
      <c r="AN297" s="1231"/>
      <c r="AO297" s="13">
        <v>214</v>
      </c>
      <c r="AP297" s="74"/>
      <c r="AQ297" s="75"/>
    </row>
    <row r="298" spans="1:43" ht="27" thickBot="1" x14ac:dyDescent="0.45">
      <c r="A298" s="1246"/>
      <c r="B298" s="299" t="s">
        <v>1253</v>
      </c>
      <c r="C298" s="630" t="s">
        <v>1255</v>
      </c>
      <c r="D298" s="103"/>
      <c r="E298" s="102"/>
      <c r="F298" s="102"/>
      <c r="G298" s="102"/>
      <c r="H298" s="215"/>
      <c r="I298" s="215"/>
      <c r="J298" s="215"/>
      <c r="K298" s="97"/>
      <c r="L298" s="215"/>
      <c r="M298" s="97"/>
      <c r="N298" s="215"/>
      <c r="O298" s="97"/>
      <c r="P298" s="215"/>
      <c r="Q298" s="97"/>
      <c r="R298" s="215"/>
      <c r="S298" s="97"/>
      <c r="T298" s="215"/>
      <c r="U298" s="97"/>
      <c r="V298" s="215"/>
      <c r="W298" s="97"/>
      <c r="X298" s="215"/>
      <c r="Y298" s="97"/>
      <c r="Z298" s="215"/>
      <c r="AA298" s="666"/>
      <c r="AB298" s="842"/>
      <c r="AC298" s="400"/>
      <c r="AD298" s="400"/>
      <c r="AE298" s="400"/>
      <c r="AF298" s="400"/>
      <c r="AG298" s="400"/>
      <c r="AH298" s="400"/>
      <c r="AI298" s="401"/>
      <c r="AJ298" s="397">
        <f t="shared" si="135"/>
        <v>0</v>
      </c>
      <c r="AK298" s="603"/>
      <c r="AL298" s="1019"/>
      <c r="AM298" s="31"/>
      <c r="AN298" s="1231"/>
      <c r="AO298" s="13">
        <v>215</v>
      </c>
      <c r="AP298" s="74"/>
      <c r="AQ298" s="75"/>
    </row>
    <row r="299" spans="1:43" ht="26.25" x14ac:dyDescent="0.4">
      <c r="A299" s="1250" t="s">
        <v>123</v>
      </c>
      <c r="B299" s="1" t="s">
        <v>691</v>
      </c>
      <c r="C299" s="604" t="s">
        <v>284</v>
      </c>
      <c r="D299" s="98"/>
      <c r="E299" s="99"/>
      <c r="F299" s="99"/>
      <c r="G299" s="99"/>
      <c r="H299" s="99"/>
      <c r="I299" s="99"/>
      <c r="J299" s="94"/>
      <c r="K299" s="99"/>
      <c r="L299" s="94"/>
      <c r="M299" s="99"/>
      <c r="N299" s="94"/>
      <c r="O299" s="99"/>
      <c r="P299" s="94"/>
      <c r="Q299" s="99"/>
      <c r="R299" s="94"/>
      <c r="S299" s="99"/>
      <c r="T299" s="94"/>
      <c r="U299" s="99"/>
      <c r="V299" s="94"/>
      <c r="W299" s="99"/>
      <c r="X299" s="94"/>
      <c r="Y299" s="99"/>
      <c r="Z299" s="94"/>
      <c r="AA299" s="374"/>
      <c r="AB299" s="386"/>
      <c r="AC299" s="356"/>
      <c r="AD299" s="356"/>
      <c r="AE299" s="356"/>
      <c r="AF299" s="356"/>
      <c r="AG299" s="356"/>
      <c r="AH299" s="356"/>
      <c r="AI299" s="313"/>
      <c r="AJ299" s="398">
        <f t="shared" si="134"/>
        <v>0</v>
      </c>
      <c r="AK299" s="1083" t="str">
        <f>CONCATENATE(IF(D300&gt;D299," * Male Partners Tested Positive for Age "&amp;D20&amp;" "&amp;D21&amp;" is more than Male Partners Tested"&amp;CHAR(10),""),IF(E300&gt;E299," * Male Partners Tested Positive for Age "&amp;D20&amp;" "&amp;E21&amp;" is more than Male Partners Tested"&amp;CHAR(10),""),IF(F300&gt;F299," * Male Partners Tested Positive for Age "&amp;F20&amp;" "&amp;F21&amp;" is more than Male Partners Tested"&amp;CHAR(10),""),IF(G300&gt;G299," * Male Partners Tested Positive for Age "&amp;F20&amp;" "&amp;G21&amp;" is more than Male Partners Tested"&amp;CHAR(10),""),IF(H300&gt;H299," * Male Partners Tested Positive for Age "&amp;H20&amp;" "&amp;H21&amp;" is more than Male Partners Tested"&amp;CHAR(10),""),IF(I300&gt;I299," * Male Partners Tested Positive for Age "&amp;H20&amp;" "&amp;I21&amp;" is more than Male Partners Tested"&amp;CHAR(10),""),IF(J300&gt;J299," * Male Partners Tested Positive for Age "&amp;J20&amp;" "&amp;J21&amp;" is more than Male Partners Tested"&amp;CHAR(10),""),IF(K300&gt;K299," * Male Partners Tested Positive for Age "&amp;J20&amp;" "&amp;K21&amp;" is more than Male Partners Tested"&amp;CHAR(10),""),IF(L300&gt;L299," * Male Partners Tested Positive for Age "&amp;L20&amp;" "&amp;L21&amp;" is more than Male Partners Tested"&amp;CHAR(10),""),IF(M300&gt;M299," * Male Partners Tested Positive for Age "&amp;L20&amp;" "&amp;M21&amp;" is more than Male Partners Tested"&amp;CHAR(10),""),IF(N300&gt;N299," * Male Partners Tested Positive for Age "&amp;N20&amp;" "&amp;N21&amp;" is more than Male Partners Tested"&amp;CHAR(10),""),IF(O300&gt;O299," * Male Partners Tested Positive for Age "&amp;N20&amp;" "&amp;O21&amp;" is more than Male Partners Tested"&amp;CHAR(10),""),IF(P300&gt;P299," * Male Partners Tested Positive for Age "&amp;P20&amp;" "&amp;P21&amp;" is more than Male Partners Tested"&amp;CHAR(10),""),IF(Q300&gt;Q299," * Male Partners Tested Positive for Age "&amp;P20&amp;" "&amp;Q21&amp;" is more than Male Partners Tested"&amp;CHAR(10),""),IF(R300&gt;R299," * Male Partners Tested Positive for Age "&amp;R20&amp;" "&amp;R21&amp;" is more than Male Partners Tested"&amp;CHAR(10),""),IF(S300&gt;S299," * Male Partners Tested Positive for Age "&amp;R20&amp;" "&amp;S21&amp;" is more than Male Partners Tested"&amp;CHAR(10),""),IF(T300&gt;T299," * Male Partners Tested Positive for Age "&amp;T20&amp;" "&amp;T21&amp;" is more than Male Partners Tested"&amp;CHAR(10),""),IF(U300&gt;U299," * Male Partners Tested Positive for Age "&amp;T20&amp;" "&amp;U21&amp;" is more than Male Partners Tested"&amp;CHAR(10),""),IF(V300&gt;V299," * Male Partners Tested Positive for Age "&amp;V20&amp;" "&amp;V21&amp;" is more than Male Partners Tested"&amp;CHAR(10),""),IF(W300&gt;W299," * Male Partners Tested Positive for Age "&amp;V20&amp;" "&amp;W21&amp;" is more than Male Partners Tested"&amp;CHAR(10),""),IF(X300&gt;X299," * Male Partners Tested Positive for Age "&amp;X20&amp;" "&amp;X21&amp;" is more than Male Partners Tested"&amp;CHAR(10),""),IF(Y300&gt;Y299," * Male Partners Tested Positive for Age "&amp;X20&amp;" "&amp;Y21&amp;" is more than Male Partners Tested"&amp;CHAR(10),""),IF(Z300&gt;Z299," * Male Partners Tested Positive for Age "&amp;Z20&amp;" "&amp;Z21&amp;" is more than Male Partners Tested"&amp;CHAR(10),""),IF(AA300&gt;AA299," * Male Partners Tested Positive for Age "&amp;Z20&amp;" "&amp;AA21&amp;" is more than Male Partners Tested"&amp;CHAR(10),""))</f>
        <v/>
      </c>
      <c r="AL299" s="1019"/>
      <c r="AM299" s="31"/>
      <c r="AN299" s="1231"/>
      <c r="AO299" s="13">
        <v>216</v>
      </c>
      <c r="AP299" s="74"/>
      <c r="AQ299" s="75"/>
    </row>
    <row r="300" spans="1:43" ht="27" thickBot="1" x14ac:dyDescent="0.45">
      <c r="A300" s="1251"/>
      <c r="B300" s="3" t="s">
        <v>692</v>
      </c>
      <c r="C300" s="607" t="s">
        <v>285</v>
      </c>
      <c r="D300" s="103"/>
      <c r="E300" s="102"/>
      <c r="F300" s="102"/>
      <c r="G300" s="102"/>
      <c r="H300" s="102"/>
      <c r="I300" s="102"/>
      <c r="J300" s="152"/>
      <c r="K300" s="102"/>
      <c r="L300" s="152"/>
      <c r="M300" s="102"/>
      <c r="N300" s="152"/>
      <c r="O300" s="102"/>
      <c r="P300" s="152"/>
      <c r="Q300" s="102"/>
      <c r="R300" s="152"/>
      <c r="S300" s="102"/>
      <c r="T300" s="152"/>
      <c r="U300" s="102"/>
      <c r="V300" s="152"/>
      <c r="W300" s="102"/>
      <c r="X300" s="152"/>
      <c r="Y300" s="102"/>
      <c r="Z300" s="152"/>
      <c r="AA300" s="375"/>
      <c r="AB300" s="387"/>
      <c r="AC300" s="388"/>
      <c r="AD300" s="388"/>
      <c r="AE300" s="388"/>
      <c r="AF300" s="388"/>
      <c r="AG300" s="388"/>
      <c r="AH300" s="388"/>
      <c r="AI300" s="314"/>
      <c r="AJ300" s="397">
        <f t="shared" si="134"/>
        <v>0</v>
      </c>
      <c r="AK300" s="1083"/>
      <c r="AL300" s="1044"/>
      <c r="AM300" s="31"/>
      <c r="AN300" s="1232"/>
      <c r="AO300" s="13">
        <v>217</v>
      </c>
      <c r="AP300" s="74"/>
      <c r="AQ300" s="75"/>
    </row>
    <row r="301" spans="1:43" ht="27" hidden="1" thickBot="1" x14ac:dyDescent="0.45">
      <c r="A301" s="1158" t="s">
        <v>507</v>
      </c>
      <c r="B301" s="69" t="s">
        <v>694</v>
      </c>
      <c r="C301" s="611" t="s">
        <v>524</v>
      </c>
      <c r="D301" s="154"/>
      <c r="E301" s="127"/>
      <c r="F301" s="71"/>
      <c r="G301" s="71"/>
      <c r="H301" s="71"/>
      <c r="I301" s="71"/>
      <c r="J301" s="71"/>
      <c r="K301" s="71"/>
      <c r="L301" s="71"/>
      <c r="M301" s="71"/>
      <c r="N301" s="71"/>
      <c r="O301" s="71"/>
      <c r="P301" s="71"/>
      <c r="Q301" s="71"/>
      <c r="R301" s="71"/>
      <c r="S301" s="71"/>
      <c r="T301" s="71"/>
      <c r="U301" s="71"/>
      <c r="V301" s="71"/>
      <c r="W301" s="71"/>
      <c r="X301" s="71"/>
      <c r="Y301" s="71"/>
      <c r="Z301" s="71"/>
      <c r="AA301" s="353"/>
      <c r="AB301" s="386"/>
      <c r="AC301" s="356"/>
      <c r="AD301" s="356"/>
      <c r="AE301" s="356"/>
      <c r="AF301" s="356"/>
      <c r="AG301" s="356"/>
      <c r="AH301" s="356"/>
      <c r="AI301" s="313"/>
      <c r="AJ301" s="398">
        <f t="shared" si="134"/>
        <v>0</v>
      </c>
      <c r="AK301" s="116" t="str">
        <f>CONCATENATE(IF(D304&gt;D301," * EID Tested Positive 0-2 Months for Age "&amp;$D$20&amp;" "&amp;$D$21&amp;" is more than EID Tested 0-2 Months"&amp;CHAR(10),""),IF(E304&gt;E301," * EID Tested Positive 0-2 Months for Age "&amp;$D$20&amp;" "&amp;$E$21&amp;" is more than EID Tested 0-2 Months"&amp;CHAR(10),""))</f>
        <v/>
      </c>
      <c r="AL301" s="1229" t="str">
        <f>CONCATENATE(AK303,AK304,AK305,AK306,AK307,AK308,AK309,AK285,AK301,AK302)</f>
        <v/>
      </c>
      <c r="AM301" s="31"/>
      <c r="AN301" s="1233" t="str">
        <f>CONCATENATE(AM301,AM302,AM303,AM304,AM305,AM306,AM307,AM308,AM309)</f>
        <v/>
      </c>
      <c r="AO301" s="13">
        <v>218</v>
      </c>
      <c r="AP301" s="74"/>
      <c r="AQ301" s="75"/>
    </row>
    <row r="302" spans="1:43" s="61" customFormat="1" ht="26.25" hidden="1" x14ac:dyDescent="0.4">
      <c r="A302" s="1159"/>
      <c r="B302" s="76" t="s">
        <v>693</v>
      </c>
      <c r="C302" s="576" t="s">
        <v>525</v>
      </c>
      <c r="D302" s="201"/>
      <c r="E302" s="129"/>
      <c r="F302" s="78"/>
      <c r="G302" s="78"/>
      <c r="H302" s="78"/>
      <c r="I302" s="78"/>
      <c r="J302" s="78"/>
      <c r="K302" s="78"/>
      <c r="L302" s="78"/>
      <c r="M302" s="78"/>
      <c r="N302" s="78"/>
      <c r="O302" s="78"/>
      <c r="P302" s="78"/>
      <c r="Q302" s="78"/>
      <c r="R302" s="78"/>
      <c r="S302" s="78"/>
      <c r="T302" s="78"/>
      <c r="U302" s="78"/>
      <c r="V302" s="78"/>
      <c r="W302" s="78"/>
      <c r="X302" s="78"/>
      <c r="Y302" s="78"/>
      <c r="Z302" s="78"/>
      <c r="AA302" s="354"/>
      <c r="AB302" s="386"/>
      <c r="AC302" s="356"/>
      <c r="AD302" s="356"/>
      <c r="AE302" s="356"/>
      <c r="AF302" s="356"/>
      <c r="AG302" s="356"/>
      <c r="AH302" s="356"/>
      <c r="AI302" s="313"/>
      <c r="AJ302" s="396">
        <f t="shared" si="134"/>
        <v>0</v>
      </c>
      <c r="AK302" s="116" t="str">
        <f>CONCATENATE(IF(D305&gt;D302," * EID Tested Positive 2-12 Months for Age "&amp;$D$20&amp;" "&amp;$D$21&amp;" is more than EID Tested 2-12 Months"&amp;CHAR(10),""),IF(E305&gt;E302," * EID Tested Positive 2-12 Months for Age "&amp;$D$20&amp;" "&amp;$E$21&amp;" is more than EID Tested 2-12 Months"&amp;CHAR(10),""))</f>
        <v/>
      </c>
      <c r="AL302" s="1019"/>
      <c r="AM302" s="60"/>
      <c r="AN302" s="1231"/>
      <c r="AO302" s="13">
        <v>219</v>
      </c>
      <c r="AP302" s="80"/>
      <c r="AQ302" s="75"/>
    </row>
    <row r="303" spans="1:43" ht="27" hidden="1" thickBot="1" x14ac:dyDescent="0.45">
      <c r="A303" s="1160"/>
      <c r="B303" s="218" t="s">
        <v>510</v>
      </c>
      <c r="C303" s="577" t="s">
        <v>526</v>
      </c>
      <c r="D303" s="219">
        <f>D301+D302</f>
        <v>0</v>
      </c>
      <c r="E303" s="212">
        <f>E301+E302</f>
        <v>0</v>
      </c>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324"/>
      <c r="AB303" s="386"/>
      <c r="AC303" s="356"/>
      <c r="AD303" s="356"/>
      <c r="AE303" s="356"/>
      <c r="AF303" s="356"/>
      <c r="AG303" s="356"/>
      <c r="AH303" s="356"/>
      <c r="AI303" s="313"/>
      <c r="AJ303" s="397">
        <f t="shared" si="134"/>
        <v>0</v>
      </c>
      <c r="AK303" s="116"/>
      <c r="AL303" s="1019"/>
      <c r="AM303" s="31" t="str">
        <f>IF(AJ303&gt;SUM(AJ294,AJ292,AJ290,AJ288,AJ286,AJ284,AJ280,AJ278)," EID Testing cannot be more than PMTCT HIV Positive Mothers (ANC 1 Other ANC, L&amp;D and PNC","")</f>
        <v/>
      </c>
      <c r="AN303" s="1231"/>
      <c r="AO303" s="13">
        <v>220</v>
      </c>
      <c r="AP303" s="74"/>
      <c r="AQ303" s="75"/>
    </row>
    <row r="304" spans="1:43" ht="26.25" hidden="1" x14ac:dyDescent="0.4">
      <c r="A304" s="1158" t="s">
        <v>511</v>
      </c>
      <c r="B304" s="91" t="s">
        <v>515</v>
      </c>
      <c r="C304" s="575" t="s">
        <v>527</v>
      </c>
      <c r="D304" s="220"/>
      <c r="E304" s="221"/>
      <c r="F304" s="99"/>
      <c r="G304" s="99"/>
      <c r="H304" s="99"/>
      <c r="I304" s="99"/>
      <c r="J304" s="99"/>
      <c r="K304" s="99"/>
      <c r="L304" s="99"/>
      <c r="M304" s="99"/>
      <c r="N304" s="99"/>
      <c r="O304" s="99"/>
      <c r="P304" s="99"/>
      <c r="Q304" s="99"/>
      <c r="R304" s="99"/>
      <c r="S304" s="99"/>
      <c r="T304" s="99"/>
      <c r="U304" s="99"/>
      <c r="V304" s="99"/>
      <c r="W304" s="99"/>
      <c r="X304" s="99"/>
      <c r="Y304" s="99"/>
      <c r="Z304" s="99"/>
      <c r="AA304" s="323"/>
      <c r="AB304" s="386"/>
      <c r="AC304" s="356"/>
      <c r="AD304" s="356"/>
      <c r="AE304" s="356"/>
      <c r="AF304" s="356"/>
      <c r="AG304" s="356"/>
      <c r="AH304" s="356"/>
      <c r="AI304" s="313"/>
      <c r="AJ304" s="398">
        <f t="shared" si="134"/>
        <v>0</v>
      </c>
      <c r="AK304" s="116" t="str">
        <f>CONCATENATE(IF(D307&gt;D304," * EID initiated on ART 0-2 Months for Age "&amp;$D$20&amp;" "&amp;$D$21&amp;" is more than EID Positive 0-2 Months"&amp;CHAR(10),""),IF(E307&gt;E304," * EID initiated on ART 0-2 Months for Age "&amp;$D$20&amp;" "&amp;$E$21&amp;" is more than EID Positive 0-2 Months"&amp;CHAR(10),""))</f>
        <v/>
      </c>
      <c r="AL304" s="1019"/>
      <c r="AM304" s="116" t="str">
        <f>CONCATENATE(IF(D307&lt;D304," * EID initiated on ART 0-2 Months for Age "&amp;$D$20&amp;" "&amp;$D$21&amp;" is less than EID Positive 0-2 Months"&amp;CHAR(10),""),IF(E307&lt;E304," * EID initiated on ART 0-2 Months for Age "&amp;$D$20&amp;" "&amp;$E$21&amp;" is less than EID Positive 0-2 Months"&amp;CHAR(10),""))</f>
        <v/>
      </c>
      <c r="AN304" s="1231"/>
      <c r="AO304" s="13">
        <v>221</v>
      </c>
      <c r="AP304" s="74"/>
      <c r="AQ304" s="75"/>
    </row>
    <row r="305" spans="1:43" s="61" customFormat="1" ht="26.25" hidden="1" x14ac:dyDescent="0.4">
      <c r="A305" s="1159"/>
      <c r="B305" s="76" t="s">
        <v>512</v>
      </c>
      <c r="C305" s="576" t="s">
        <v>528</v>
      </c>
      <c r="D305" s="222"/>
      <c r="E305" s="223"/>
      <c r="F305" s="78"/>
      <c r="G305" s="78"/>
      <c r="H305" s="78"/>
      <c r="I305" s="78"/>
      <c r="J305" s="78"/>
      <c r="K305" s="78"/>
      <c r="L305" s="78"/>
      <c r="M305" s="78"/>
      <c r="N305" s="78"/>
      <c r="O305" s="78"/>
      <c r="P305" s="78"/>
      <c r="Q305" s="78"/>
      <c r="R305" s="78"/>
      <c r="S305" s="78"/>
      <c r="T305" s="78"/>
      <c r="U305" s="78"/>
      <c r="V305" s="78"/>
      <c r="W305" s="78"/>
      <c r="X305" s="78"/>
      <c r="Y305" s="78"/>
      <c r="Z305" s="78"/>
      <c r="AA305" s="354"/>
      <c r="AB305" s="386"/>
      <c r="AC305" s="356"/>
      <c r="AD305" s="356"/>
      <c r="AE305" s="356"/>
      <c r="AF305" s="356"/>
      <c r="AG305" s="356"/>
      <c r="AH305" s="356"/>
      <c r="AI305" s="313"/>
      <c r="AJ305" s="396">
        <f t="shared" si="134"/>
        <v>0</v>
      </c>
      <c r="AK305" s="116" t="str">
        <f>CONCATENATE(IF(D308&gt;D305," * EID initiated on ART 2-12 Months for Age "&amp;$D$20&amp;" "&amp;$D$21&amp;" is more than EID Positive 2-12 Months"&amp;CHAR(10),""),IF(E308&gt;E305," * EID initiated on ART 2-12 Months for Age "&amp;$D$20&amp;" "&amp;$E$21&amp;" is more than EID Positive 2-12 Months"&amp;CHAR(10),""))</f>
        <v/>
      </c>
      <c r="AL305" s="1019"/>
      <c r="AM305" s="116" t="str">
        <f>CONCATENATE(IF(D308&lt;D305," * EID initiated on ART 2-12 Months for Age "&amp;$D$20&amp;" "&amp;$D$21&amp;" is less than EID Positive 2-12 Months"&amp;CHAR(10),""),IF(E308&lt;E305," * EID initiated on ART 2-12 Months for Age "&amp;$D$20&amp;" "&amp;$E$21&amp;" is less than EID Positive 2-12 Months"&amp;CHAR(10),""))</f>
        <v/>
      </c>
      <c r="AN305" s="1231"/>
      <c r="AO305" s="13">
        <v>222</v>
      </c>
      <c r="AP305" s="80"/>
      <c r="AQ305" s="75"/>
    </row>
    <row r="306" spans="1:43" ht="27" hidden="1" thickBot="1" x14ac:dyDescent="0.45">
      <c r="A306" s="1160"/>
      <c r="B306" s="218" t="s">
        <v>513</v>
      </c>
      <c r="C306" s="577" t="s">
        <v>529</v>
      </c>
      <c r="D306" s="219">
        <f>D304+D305</f>
        <v>0</v>
      </c>
      <c r="E306" s="212">
        <f>E304+E305</f>
        <v>0</v>
      </c>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324"/>
      <c r="AB306" s="386"/>
      <c r="AC306" s="356"/>
      <c r="AD306" s="356"/>
      <c r="AE306" s="356"/>
      <c r="AF306" s="356"/>
      <c r="AG306" s="356"/>
      <c r="AH306" s="356"/>
      <c r="AI306" s="313"/>
      <c r="AJ306" s="397">
        <f t="shared" si="134"/>
        <v>0</v>
      </c>
      <c r="AK306" s="116" t="str">
        <f>CONCATENATE(IF(D309&gt;D306," * EID initiated on ART 0-12 Months for Age "&amp;$D$20&amp;" "&amp;$D$21&amp;" is more than EID Positive 0-12 Months"&amp;CHAR(10),""),IF(E309&gt;E306," * EID initiated on ART 0-12 Months for Age "&amp;$D$20&amp;" "&amp;$E$21&amp;" is more than EID Positive 0-12 Months"&amp;CHAR(10),""))</f>
        <v/>
      </c>
      <c r="AL306" s="1019"/>
      <c r="AM306" s="116" t="str">
        <f>CONCATENATE(IF(D309&lt;D306," * EID initiated on ART 0-12 Months for Age "&amp;$D$20&amp;" "&amp;$D$21&amp;" is less than EID Positive 0-12 Months"&amp;CHAR(10),""),IF(E309&lt;E306," * EID initiated on ART 0-12 Months for Age "&amp;$D$20&amp;" "&amp;$E$21&amp;" is less than EID Positive 0-12 Months"&amp;CHAR(10),""))</f>
        <v/>
      </c>
      <c r="AN306" s="1231"/>
      <c r="AO306" s="13">
        <v>223</v>
      </c>
      <c r="AP306" s="74"/>
      <c r="AQ306" s="75"/>
    </row>
    <row r="307" spans="1:43" ht="26.25" hidden="1" x14ac:dyDescent="0.4">
      <c r="A307" s="1158" t="s">
        <v>508</v>
      </c>
      <c r="B307" s="91" t="s">
        <v>915</v>
      </c>
      <c r="C307" s="575" t="s">
        <v>530</v>
      </c>
      <c r="D307" s="147"/>
      <c r="E307" s="148"/>
      <c r="F307" s="99"/>
      <c r="G307" s="99"/>
      <c r="H307" s="99"/>
      <c r="I307" s="99"/>
      <c r="J307" s="99"/>
      <c r="K307" s="99"/>
      <c r="L307" s="99"/>
      <c r="M307" s="99"/>
      <c r="N307" s="99"/>
      <c r="O307" s="99"/>
      <c r="P307" s="99"/>
      <c r="Q307" s="99"/>
      <c r="R307" s="99"/>
      <c r="S307" s="99"/>
      <c r="T307" s="99"/>
      <c r="U307" s="99"/>
      <c r="V307" s="99"/>
      <c r="W307" s="99"/>
      <c r="X307" s="99"/>
      <c r="Y307" s="99"/>
      <c r="Z307" s="99"/>
      <c r="AA307" s="323"/>
      <c r="AB307" s="386"/>
      <c r="AC307" s="356"/>
      <c r="AD307" s="356"/>
      <c r="AE307" s="356"/>
      <c r="AF307" s="356"/>
      <c r="AG307" s="356"/>
      <c r="AH307" s="356"/>
      <c r="AI307" s="313"/>
      <c r="AJ307" s="398">
        <f t="shared" si="134"/>
        <v>0</v>
      </c>
      <c r="AK307" s="116"/>
      <c r="AL307" s="1019"/>
      <c r="AM307" s="31"/>
      <c r="AN307" s="1231"/>
      <c r="AO307" s="13">
        <v>224</v>
      </c>
      <c r="AP307" s="74"/>
      <c r="AQ307" s="75"/>
    </row>
    <row r="308" spans="1:43" ht="26.25" hidden="1" x14ac:dyDescent="0.4">
      <c r="A308" s="1159"/>
      <c r="B308" s="76" t="s">
        <v>916</v>
      </c>
      <c r="C308" s="576" t="s">
        <v>531</v>
      </c>
      <c r="D308" s="201"/>
      <c r="E308" s="129"/>
      <c r="F308" s="78"/>
      <c r="G308" s="78"/>
      <c r="H308" s="78"/>
      <c r="I308" s="78"/>
      <c r="J308" s="78"/>
      <c r="K308" s="78"/>
      <c r="L308" s="78"/>
      <c r="M308" s="78"/>
      <c r="N308" s="78"/>
      <c r="O308" s="78"/>
      <c r="P308" s="78"/>
      <c r="Q308" s="78"/>
      <c r="R308" s="78"/>
      <c r="S308" s="78"/>
      <c r="T308" s="78"/>
      <c r="U308" s="78"/>
      <c r="V308" s="78"/>
      <c r="W308" s="78"/>
      <c r="X308" s="78"/>
      <c r="Y308" s="78"/>
      <c r="Z308" s="78"/>
      <c r="AA308" s="354"/>
      <c r="AB308" s="386"/>
      <c r="AC308" s="356"/>
      <c r="AD308" s="356"/>
      <c r="AE308" s="356"/>
      <c r="AF308" s="356"/>
      <c r="AG308" s="356"/>
      <c r="AH308" s="356"/>
      <c r="AI308" s="313"/>
      <c r="AJ308" s="396">
        <f t="shared" si="134"/>
        <v>0</v>
      </c>
      <c r="AK308" s="116"/>
      <c r="AL308" s="1019"/>
      <c r="AM308" s="31"/>
      <c r="AN308" s="1231"/>
      <c r="AO308" s="13">
        <v>225</v>
      </c>
      <c r="AP308" s="74"/>
      <c r="AQ308" s="75"/>
    </row>
    <row r="309" spans="1:43" ht="27" hidden="1" thickBot="1" x14ac:dyDescent="0.45">
      <c r="A309" s="1161"/>
      <c r="B309" s="224" t="s">
        <v>937</v>
      </c>
      <c r="C309" s="577" t="s">
        <v>532</v>
      </c>
      <c r="D309" s="225">
        <f>D307+D308</f>
        <v>0</v>
      </c>
      <c r="E309" s="225">
        <f>E307+E308</f>
        <v>0</v>
      </c>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334"/>
      <c r="AB309" s="387"/>
      <c r="AC309" s="388"/>
      <c r="AD309" s="388"/>
      <c r="AE309" s="388"/>
      <c r="AF309" s="388"/>
      <c r="AG309" s="388"/>
      <c r="AH309" s="388"/>
      <c r="AI309" s="314"/>
      <c r="AJ309" s="399">
        <f t="shared" ref="AJ309" si="136">SUM(D309:AA309)</f>
        <v>0</v>
      </c>
      <c r="AK309" s="122" t="str">
        <f>CONCATENATE(IF(D309&lt;&gt;D331,"*Starting ART &lt; 1 M  Must be equals to Infants 0-12 Months HIV +ve started on ART"&amp;CHAR(10),""),IF(E309&lt;&gt;E331,"*Starting ART &lt; 1 F  Must be equals to Infants 0-12 Months +ve started on ART"&amp;CHAR(10),""))</f>
        <v/>
      </c>
      <c r="AL309" s="1020"/>
      <c r="AM309" s="123"/>
      <c r="AN309" s="1234"/>
      <c r="AO309" s="13">
        <v>226</v>
      </c>
      <c r="AP309" s="74"/>
      <c r="AQ309" s="75"/>
    </row>
    <row r="310" spans="1:43" ht="27" thickBot="1" x14ac:dyDescent="0.45">
      <c r="A310" s="1017" t="s">
        <v>127</v>
      </c>
      <c r="B310" s="1015"/>
      <c r="C310" s="1015"/>
      <c r="D310" s="1015"/>
      <c r="E310" s="1015"/>
      <c r="F310" s="1015"/>
      <c r="G310" s="1015"/>
      <c r="H310" s="1015"/>
      <c r="I310" s="1015"/>
      <c r="J310" s="1015"/>
      <c r="K310" s="1015"/>
      <c r="L310" s="1015"/>
      <c r="M310" s="1015"/>
      <c r="N310" s="1015"/>
      <c r="O310" s="1015"/>
      <c r="P310" s="1015"/>
      <c r="Q310" s="1015"/>
      <c r="R310" s="1015"/>
      <c r="S310" s="1015"/>
      <c r="T310" s="1015"/>
      <c r="U310" s="1015"/>
      <c r="V310" s="1015"/>
      <c r="W310" s="1015"/>
      <c r="X310" s="1015"/>
      <c r="Y310" s="1015"/>
      <c r="Z310" s="1015"/>
      <c r="AA310" s="1015"/>
      <c r="AB310" s="1014"/>
      <c r="AC310" s="1014"/>
      <c r="AD310" s="1014"/>
      <c r="AE310" s="1014"/>
      <c r="AF310" s="1014"/>
      <c r="AG310" s="1014"/>
      <c r="AH310" s="1014"/>
      <c r="AI310" s="1014"/>
      <c r="AJ310" s="1015"/>
      <c r="AK310" s="1015"/>
      <c r="AL310" s="1015"/>
      <c r="AM310" s="1015"/>
      <c r="AN310" s="1016"/>
      <c r="AO310" s="13">
        <v>227</v>
      </c>
      <c r="AP310" s="74"/>
      <c r="AQ310" s="75"/>
    </row>
    <row r="311" spans="1:43" ht="26.25" x14ac:dyDescent="0.4">
      <c r="A311" s="1059" t="s">
        <v>37</v>
      </c>
      <c r="B311" s="1055" t="s">
        <v>344</v>
      </c>
      <c r="C311" s="1057" t="s">
        <v>325</v>
      </c>
      <c r="D311" s="1079" t="s">
        <v>0</v>
      </c>
      <c r="E311" s="1037"/>
      <c r="F311" s="1037" t="s">
        <v>1</v>
      </c>
      <c r="G311" s="1037"/>
      <c r="H311" s="1037" t="s">
        <v>2</v>
      </c>
      <c r="I311" s="1037"/>
      <c r="J311" s="1037" t="s">
        <v>3</v>
      </c>
      <c r="K311" s="1037"/>
      <c r="L311" s="1037" t="s">
        <v>4</v>
      </c>
      <c r="M311" s="1037"/>
      <c r="N311" s="1037" t="s">
        <v>5</v>
      </c>
      <c r="O311" s="1037"/>
      <c r="P311" s="1037" t="s">
        <v>6</v>
      </c>
      <c r="Q311" s="1037"/>
      <c r="R311" s="1037" t="s">
        <v>7</v>
      </c>
      <c r="S311" s="1037"/>
      <c r="T311" s="1037" t="s">
        <v>8</v>
      </c>
      <c r="U311" s="1037"/>
      <c r="V311" s="1037" t="s">
        <v>23</v>
      </c>
      <c r="W311" s="1037"/>
      <c r="X311" s="1037" t="s">
        <v>24</v>
      </c>
      <c r="Y311" s="1037"/>
      <c r="Z311" s="1037" t="s">
        <v>9</v>
      </c>
      <c r="AA311" s="1038"/>
      <c r="AB311" s="1038" t="s">
        <v>1017</v>
      </c>
      <c r="AC311" s="1079"/>
      <c r="AD311" s="1038" t="s">
        <v>1018</v>
      </c>
      <c r="AE311" s="1079"/>
      <c r="AF311" s="1038" t="s">
        <v>1188</v>
      </c>
      <c r="AG311" s="1079"/>
      <c r="AH311" s="1038" t="s">
        <v>1189</v>
      </c>
      <c r="AI311" s="1079"/>
      <c r="AJ311" s="1050" t="s">
        <v>19</v>
      </c>
      <c r="AK311" s="1052" t="s">
        <v>378</v>
      </c>
      <c r="AL311" s="1035" t="s">
        <v>384</v>
      </c>
      <c r="AM311" s="1029" t="s">
        <v>385</v>
      </c>
      <c r="AN311" s="1024" t="s">
        <v>385</v>
      </c>
      <c r="AO311" s="13">
        <v>228</v>
      </c>
      <c r="AP311" s="74"/>
      <c r="AQ311" s="75"/>
    </row>
    <row r="312" spans="1:43" ht="27" thickBot="1" x14ac:dyDescent="0.45">
      <c r="A312" s="1060"/>
      <c r="B312" s="1162"/>
      <c r="C312" s="1058"/>
      <c r="D312" s="692" t="s">
        <v>10</v>
      </c>
      <c r="E312" s="294" t="s">
        <v>11</v>
      </c>
      <c r="F312" s="294" t="s">
        <v>10</v>
      </c>
      <c r="G312" s="294" t="s">
        <v>11</v>
      </c>
      <c r="H312" s="294" t="s">
        <v>10</v>
      </c>
      <c r="I312" s="294" t="s">
        <v>11</v>
      </c>
      <c r="J312" s="294" t="s">
        <v>10</v>
      </c>
      <c r="K312" s="294" t="s">
        <v>11</v>
      </c>
      <c r="L312" s="294" t="s">
        <v>10</v>
      </c>
      <c r="M312" s="294" t="s">
        <v>11</v>
      </c>
      <c r="N312" s="294" t="s">
        <v>10</v>
      </c>
      <c r="O312" s="294" t="s">
        <v>11</v>
      </c>
      <c r="P312" s="294" t="s">
        <v>10</v>
      </c>
      <c r="Q312" s="294" t="s">
        <v>11</v>
      </c>
      <c r="R312" s="294" t="s">
        <v>10</v>
      </c>
      <c r="S312" s="294" t="s">
        <v>11</v>
      </c>
      <c r="T312" s="294" t="s">
        <v>10</v>
      </c>
      <c r="U312" s="294" t="s">
        <v>11</v>
      </c>
      <c r="V312" s="294" t="s">
        <v>10</v>
      </c>
      <c r="W312" s="294" t="s">
        <v>11</v>
      </c>
      <c r="X312" s="294" t="s">
        <v>10</v>
      </c>
      <c r="Y312" s="294" t="s">
        <v>11</v>
      </c>
      <c r="Z312" s="294" t="s">
        <v>10</v>
      </c>
      <c r="AA312" s="503" t="s">
        <v>11</v>
      </c>
      <c r="AB312" s="294" t="s">
        <v>10</v>
      </c>
      <c r="AC312" s="294" t="s">
        <v>11</v>
      </c>
      <c r="AD312" s="294" t="s">
        <v>10</v>
      </c>
      <c r="AE312" s="294" t="s">
        <v>11</v>
      </c>
      <c r="AF312" s="294" t="s">
        <v>10</v>
      </c>
      <c r="AG312" s="294" t="s">
        <v>11</v>
      </c>
      <c r="AH312" s="294" t="s">
        <v>10</v>
      </c>
      <c r="AI312" s="693" t="s">
        <v>11</v>
      </c>
      <c r="AJ312" s="1150"/>
      <c r="AK312" s="1053"/>
      <c r="AL312" s="1036"/>
      <c r="AM312" s="1029"/>
      <c r="AN312" s="1025"/>
      <c r="AO312" s="13">
        <v>229</v>
      </c>
      <c r="AP312" s="74"/>
      <c r="AQ312" s="75"/>
    </row>
    <row r="313" spans="1:43" ht="26.25" x14ac:dyDescent="0.4">
      <c r="A313" s="1222" t="s">
        <v>480</v>
      </c>
      <c r="B313" s="1" t="s">
        <v>494</v>
      </c>
      <c r="C313" s="609" t="s">
        <v>370</v>
      </c>
      <c r="D313" s="703"/>
      <c r="E313" s="703"/>
      <c r="F313" s="703"/>
      <c r="G313" s="703"/>
      <c r="H313" s="703"/>
      <c r="I313" s="703"/>
      <c r="J313" s="738"/>
      <c r="K313" s="727"/>
      <c r="L313" s="703"/>
      <c r="M313" s="638"/>
      <c r="N313" s="703"/>
      <c r="O313" s="638"/>
      <c r="P313" s="703"/>
      <c r="Q313" s="638"/>
      <c r="R313" s="703"/>
      <c r="S313" s="638"/>
      <c r="T313" s="703"/>
      <c r="U313" s="638"/>
      <c r="V313" s="703"/>
      <c r="W313" s="638"/>
      <c r="X313" s="703"/>
      <c r="Y313" s="638"/>
      <c r="Z313" s="703"/>
      <c r="AA313" s="725">
        <f>SUM(AC313,AE313,AG313,AI313)</f>
        <v>0</v>
      </c>
      <c r="AB313" s="640"/>
      <c r="AC313" s="704"/>
      <c r="AD313" s="638"/>
      <c r="AE313" s="704"/>
      <c r="AF313" s="638"/>
      <c r="AG313" s="704"/>
      <c r="AH313" s="639"/>
      <c r="AI313" s="700"/>
      <c r="AJ313" s="697">
        <f>SUM(D313:AA313)</f>
        <v>0</v>
      </c>
      <c r="AK313" s="139" t="str">
        <f>CONCATENATE(IF(D314&gt;SUM(D331)," * Start HAART at ANC 1 for Age "&amp;D20&amp;" "&amp;D21&amp;" is more than Starting ART"&amp;CHAR(10),""),IF(E314&gt;SUM(E331)," * Start HAART at ANC 1  for Age "&amp;D20&amp;" "&amp;E21&amp;" is more than Starting ART"&amp;CHAR(10),""),IF(F314&gt;SUM(F331)," * Start HAART at ANC 1  for Age "&amp;F20&amp;" "&amp;F21&amp;" is more than Starting ART"&amp;CHAR(10),""),IF(G314&gt;SUM(G331)," * Start HAART at ANC 1  for Age "&amp;F20&amp;" "&amp;G21&amp;" is more than Starting ART"&amp;CHAR(10),""),IF(H314&gt;SUM(H331)," * Start HAART at ANC 1  for Age "&amp;H20&amp;" "&amp;H21&amp;" is more than Starting ART"&amp;CHAR(10),""),IF(I314&gt;SUM(I331)," * Start HAART at ANC 1  for Age "&amp;H20&amp;" "&amp;I21&amp;" is more than Starting ART"&amp;CHAR(10),""),IF(J314&gt;SUM(J331)," * Start HAART at ANC 1  for Age "&amp;J20&amp;" "&amp;J21&amp;" is more than Starting ART"&amp;CHAR(10),""),IF(K314&gt;SUM(K331)," * Start HAART at ANC 1  for Age "&amp;J20&amp;" "&amp;K21&amp;" is more than Starting ART"&amp;CHAR(10),""),IF(L314&gt;SUM(L331)," * Start HAART at ANC 1  for Age "&amp;L20&amp;" "&amp;L21&amp;" is more than Starting ART"&amp;CHAR(10),""),IF(M314&gt;SUM(M331)," * Start HAART at ANC 1  for Age "&amp;L20&amp;" "&amp;M21&amp;" is more than Starting ART"&amp;CHAR(10),""),IF(N314&gt;SUM(N331)," * Start HAART at ANC 1  for Age "&amp;N20&amp;" "&amp;N21&amp;" is more than Starting ART"&amp;CHAR(10),""),IF(O314&gt;SUM(O331)," * Start HAART at ANC 1  for Age "&amp;N20&amp;" "&amp;O21&amp;" is more than Starting ART"&amp;CHAR(10),""),IF(P314&gt;SUM(P331)," * Start HAART at ANC 1  for Age "&amp;P20&amp;" "&amp;P21&amp;" is more than Starting ART"&amp;CHAR(10),""),IF(Q314&gt;SUM(Q331)," * Start HAART at ANC 1  for Age "&amp;P20&amp;" "&amp;Q21&amp;" is more than Starting ART"&amp;CHAR(10),""),IF(R314&gt;SUM(R331)," * Start HAART at ANC 1  for Age "&amp;R20&amp;" "&amp;R21&amp;" is more than Starting ART"&amp;CHAR(10),""),IF(S314&gt;SUM(S331)," * Start HAART at ANC 1  for Age "&amp;R20&amp;" "&amp;S21&amp;" is more than Starting ART"&amp;CHAR(10),""),IF(T314&gt;SUM(T331)," * Start HAART at ANC 1  for Age "&amp;T20&amp;" "&amp;T21&amp;" is more than Starting ART"&amp;CHAR(10),""),IF(U314&gt;SUM(U331)," * Start HAART at ANC 1  for Age "&amp;T20&amp;" "&amp;U21&amp;" is more than Starting ART"&amp;CHAR(10),""),IF(V314&gt;SUM(V331)," * Start HAART at ANC 1  for Age "&amp;V20&amp;" "&amp;V21&amp;" is more than Starting ART"&amp;CHAR(10),""),IF(W314&gt;SUM(W331)," * Start HAART at ANC 1  for Age "&amp;V20&amp;" "&amp;W21&amp;" is more than Starting ART"&amp;CHAR(10),""),IF(X314&gt;SUM(X331)," * Start HAART at ANC 1  for Age "&amp;X20&amp;" "&amp;X21&amp;" is more than Starting ART"&amp;CHAR(10),""),IF(Y314&gt;SUM(Y331)," * Start HAART at ANC 1  for Age "&amp;X20&amp;" "&amp;Y21&amp;" is more than Starting ART"&amp;CHAR(10),""),IF(Z314&gt;SUM(Z331)," * Start HAART at ANC 1  for Age "&amp;Z20&amp;" "&amp;Z21&amp;" is more than Starting ART"&amp;CHAR(10),""),IF(AA314&gt;SUM(AA331)," * Start HAART at ANC 1  for Age "&amp;Z20&amp;" "&amp;AA21&amp;" is more than Starting ART"&amp;CHAR(10),""))</f>
        <v/>
      </c>
      <c r="AL313" s="1277" t="str">
        <f>CONCATENATE(AK313,AK314,AK318,AK320,AK324,AK325,AK326,AK327,AK319,AK321,AK322,AK316,AK315,AK317,AK323)</f>
        <v/>
      </c>
      <c r="AM313" s="73" t="str">
        <f>CONCATENATE(IF(D313&lt;D278," * ON HAART at 1st ANC for Age "&amp;D20&amp;" "&amp;D21&amp;" is less than KP at 1st ANC "&amp;CHAR(10),""),IF(E313&lt;E278," * ON HAART at 1st ANC for Age "&amp;D20&amp;" "&amp;E21&amp;" is less than KP at 1st ANC "&amp;CHAR(10),""),IF(F313&lt;F278," * ON HAART at 1st ANC for Age "&amp;F20&amp;" "&amp;F21&amp;" is less than KP at 1st ANC "&amp;CHAR(10),""),IF(G313&lt;G278," * ON HAART at 1st ANC for Age "&amp;F20&amp;" "&amp;G21&amp;" is less than KP at 1st ANC "&amp;CHAR(10),""),IF(H313&lt;H278," * ON HAART at 1st ANC for Age "&amp;H20&amp;" "&amp;H21&amp;" is less than KP at 1st ANC "&amp;CHAR(10),""),IF(I313&lt;I278," * ON HAART at 1st ANC for Age "&amp;H20&amp;" "&amp;I21&amp;" is less than KP at 1st ANC "&amp;CHAR(10),""),IF(J313&lt;J278," * ON HAART at 1st ANC for Age "&amp;J20&amp;" "&amp;J21&amp;" is less than KP at 1st ANC "&amp;CHAR(10),""),IF(K313&lt;K278," * ON HAART at 1st ANC for Age "&amp;J20&amp;" "&amp;K21&amp;" is less than KP at 1st ANC "&amp;CHAR(10),""),IF(L313&lt;L278," * ON HAART at 1st ANC for Age "&amp;L20&amp;" "&amp;L21&amp;" is less than KP at 1st ANC "&amp;CHAR(10),""),IF(M313&lt;M278," * ON HAART at 1st ANC for Age "&amp;L20&amp;" "&amp;M21&amp;" is less than KP at 1st ANC "&amp;CHAR(10),""),IF(N313&lt;N278," * ON HAART at 1st ANC for Age "&amp;N20&amp;" "&amp;N21&amp;" is less than KP at 1st ANC "&amp;CHAR(10),""),IF(O313&lt;O278," * ON HAART at 1st ANC for Age "&amp;N20&amp;" "&amp;O21&amp;" is less than KP at 1st ANC "&amp;CHAR(10),""),IF(P313&lt;P278," * ON HAART at 1st ANC for Age "&amp;P20&amp;" "&amp;P21&amp;" is less than KP at 1st ANC "&amp;CHAR(10),""),IF(Q313&lt;Q278," * ON HAART at 1st ANC for Age "&amp;P20&amp;" "&amp;Q21&amp;" is less than KP at 1st ANC "&amp;CHAR(10),""),IF(R313&lt;R278," * ON HAART at 1st ANC for Age "&amp;R20&amp;" "&amp;R21&amp;" is less than KP at 1st ANC "&amp;CHAR(10),""),IF(S313&lt;S278," * ON HAART at 1st ANC for Age "&amp;R20&amp;" "&amp;S21&amp;" is less than KP at 1st ANC "&amp;CHAR(10),""),IF(T313&lt;T278," * ON HAART at 1st ANC for Age "&amp;T20&amp;" "&amp;T21&amp;" is less than KP at 1st ANC "&amp;CHAR(10),""),IF(U313&lt;U278," * ON HAART at 1st ANC for Age "&amp;T20&amp;" "&amp;U21&amp;" is less than KP at 1st ANC "&amp;CHAR(10),""),IF(V313&lt;V278," * ON HAART at 1st ANC for Age "&amp;V20&amp;" "&amp;V21&amp;" is less than KP at 1st ANC "&amp;CHAR(10),""),IF(W313&lt;W278," * ON HAART at 1st ANC for Age "&amp;V20&amp;" "&amp;W21&amp;" is less than KP at 1st ANC "&amp;CHAR(10),""),IF(X313&lt;X278," * ON HAART at 1st ANC for Age "&amp;X20&amp;" "&amp;X21&amp;" is less than KP at 1st ANC "&amp;CHAR(10),""),IF(Y313&lt;Y278," * ON HAART at 1st ANC for Age "&amp;X20&amp;" "&amp;Y21&amp;" is less than KP at 1st ANC "&amp;CHAR(10),""),IF(Z313&lt;Z278," * ON HAART at 1st ANC for Age "&amp;Z20&amp;" "&amp;Z21&amp;" is less than KP at 1st ANC "&amp;CHAR(10),""),IF(AA313&lt;AA278," * ON HAART at 1st ANC for Age "&amp;Z20&amp;" "&amp;AA21&amp;" is less than KP at 1st ANC "&amp;CHAR(10),""))</f>
        <v/>
      </c>
      <c r="AN313" s="1268" t="str">
        <f>CONCATENATE(AM313,AM314,AM318,AM320,AM324,AM325,AM326,AM327,AM315,AM316,AM317,AM321,AM322)</f>
        <v/>
      </c>
      <c r="AO313" s="13">
        <v>230</v>
      </c>
      <c r="AP313" s="74"/>
      <c r="AQ313" s="75"/>
    </row>
    <row r="314" spans="1:43" ht="26.25" x14ac:dyDescent="0.4">
      <c r="A314" s="1223"/>
      <c r="B314" s="2" t="s">
        <v>495</v>
      </c>
      <c r="C314" s="588" t="s">
        <v>371</v>
      </c>
      <c r="D314" s="694"/>
      <c r="E314" s="694"/>
      <c r="F314" s="694"/>
      <c r="G314" s="694"/>
      <c r="H314" s="694"/>
      <c r="I314" s="694"/>
      <c r="J314" s="739"/>
      <c r="K314" s="737"/>
      <c r="L314" s="694"/>
      <c r="M314" s="695"/>
      <c r="N314" s="694"/>
      <c r="O314" s="695"/>
      <c r="P314" s="694"/>
      <c r="Q314" s="695"/>
      <c r="R314" s="694"/>
      <c r="S314" s="695"/>
      <c r="T314" s="694"/>
      <c r="U314" s="695"/>
      <c r="V314" s="694"/>
      <c r="W314" s="695"/>
      <c r="X314" s="694"/>
      <c r="Y314" s="695"/>
      <c r="Z314" s="694"/>
      <c r="AA314" s="747">
        <f t="shared" ref="AA314:AA323" si="137">SUM(AC314,AE314,AG314,AI314)</f>
        <v>0</v>
      </c>
      <c r="AB314" s="641"/>
      <c r="AC314" s="696"/>
      <c r="AD314" s="695"/>
      <c r="AE314" s="696"/>
      <c r="AF314" s="695"/>
      <c r="AG314" s="696"/>
      <c r="AH314" s="705"/>
      <c r="AI314" s="701"/>
      <c r="AJ314" s="697">
        <f t="shared" ref="AJ314:AJ327" si="138">SUM(D314:AA314)</f>
        <v>0</v>
      </c>
      <c r="AK314" s="116" t="str">
        <f>CONCATENATE(IF(D314&gt;SUM(D280)," * Start HAART at ANC 1 for Age "&amp;D20&amp;" "&amp;D21&amp;" is more than Positive Test at ANC 1"&amp;CHAR(10),""),IF(E314&gt;SUM(E280)," * Start HAART at ANC 1  for Age "&amp;D20&amp;" "&amp;E21&amp;" is more than Positive Test at ANC 1"&amp;CHAR(10),""),IF(F314&gt;SUM(F280)," * Start HAART at ANC 1  for Age "&amp;F20&amp;" "&amp;F21&amp;" is more than Positive Test at ANC 1"&amp;CHAR(10),""),IF(G314&gt;SUM(G280)," * Start HAART at ANC 1  for Age "&amp;F20&amp;" "&amp;G21&amp;" is more than Positive Test at ANC 1"&amp;CHAR(10),""),IF(H314&gt;SUM(H280)," * Start HAART at ANC 1  for Age "&amp;H20&amp;" "&amp;H21&amp;" is more than Positive Test at ANC 1"&amp;CHAR(10),""),IF(I314&gt;SUM(I280)," * Start HAART at ANC 1  for Age "&amp;H20&amp;" "&amp;I21&amp;" is more than Positive Test at ANC 1"&amp;CHAR(10),""),IF(J314&gt;SUM(J280)," * Start HAART at ANC 1  for Age "&amp;J20&amp;" "&amp;J21&amp;" is more than Positive Test at ANC 1"&amp;CHAR(10),""),IF(K314&gt;SUM(K280)," * Start HAART at ANC 1  for Age "&amp;J20&amp;" "&amp;K21&amp;" is more than Positive Test at ANC 1"&amp;CHAR(10),""),IF(L314&gt;SUM(L280)," * Start HAART at ANC 1  for Age "&amp;L20&amp;" "&amp;L21&amp;" is more than Positive Test at ANC 1"&amp;CHAR(10),""),IF(M314&gt;SUM(M280)," * Start HAART at ANC 1  for Age "&amp;L20&amp;" "&amp;M21&amp;" is more than Positive Test at ANC 1"&amp;CHAR(10),""),IF(N314&gt;SUM(N280)," * Start HAART at ANC 1  for Age "&amp;N20&amp;" "&amp;N21&amp;" is more than Positive Test at ANC 1"&amp;CHAR(10),""),IF(O314&gt;SUM(O280)," * Start HAART at ANC 1  for Age "&amp;N20&amp;" "&amp;O21&amp;" is more than Positive Test at ANC 1"&amp;CHAR(10),""),IF(P314&gt;SUM(P280)," * Start HAART at ANC 1  for Age "&amp;P20&amp;" "&amp;P21&amp;" is more than Positive Test at ANC 1"&amp;CHAR(10),""),IF(Q314&gt;SUM(Q280)," * Start HAART at ANC 1  for Age "&amp;P20&amp;" "&amp;Q21&amp;" is more than Positive Test at ANC 1"&amp;CHAR(10),""),IF(R314&gt;SUM(R280)," * Start HAART at ANC 1  for Age "&amp;R20&amp;" "&amp;R21&amp;" is more than Positive Test at ANC 1"&amp;CHAR(10),""),IF(S314&gt;SUM(S280)," * Start HAART at ANC 1  for Age "&amp;R20&amp;" "&amp;S21&amp;" is more than Positive Test at ANC 1"&amp;CHAR(10),""),IF(T314&gt;SUM(T280)," * Start HAART at ANC 1  for Age "&amp;T20&amp;" "&amp;T21&amp;" is more than Positive Test at ANC 1"&amp;CHAR(10),""),IF(U314&gt;SUM(U280)," * Start HAART at ANC 1  for Age "&amp;T20&amp;" "&amp;U21&amp;" is more than Positive Test at ANC 1"&amp;CHAR(10),""),IF(V314&gt;SUM(V280)," * Start HAART at ANC 1  for Age "&amp;V20&amp;" "&amp;V21&amp;" is more than Positive Test at ANC 1"&amp;CHAR(10),""),IF(W314&gt;SUM(W280)," * Start HAART at ANC 1  for Age "&amp;V20&amp;" "&amp;W21&amp;" is more than Positive Test at ANC 1"&amp;CHAR(10),""),IF(X314&gt;SUM(X280)," * Start HAART at ANC 1  for Age "&amp;X20&amp;" "&amp;X21&amp;" is more than Positive Test at ANC 1"&amp;CHAR(10),""),IF(Y314&gt;SUM(Y280)," * Start HAART at ANC 1  for Age "&amp;X20&amp;" "&amp;Y21&amp;" is more than Positive Test at ANC 1"&amp;CHAR(10),""),IF(Z314&gt;SUM(Z280)," * Start HAART at ANC 1  for Age "&amp;Z20&amp;" "&amp;Z21&amp;" is more than Positive Test at ANC 1"&amp;CHAR(10),""),IF(AA314&gt;SUM(AA280)," * Start HAART at ANC 1  for Age "&amp;Z20&amp;" "&amp;AA21&amp;" is more than Positive Test at ANC 1"&amp;CHAR(10),""),IF(AJ314&gt;SUM(AJ280)," * Total Start HAART at ANC 1  is more than Positive Test at ANC 1"&amp;CHAR(10),""))</f>
        <v/>
      </c>
      <c r="AL314" s="1278"/>
      <c r="AM314" s="31" t="str">
        <f>CONCATENATE(IF(D314&lt;SUM(D280)," * New positive at ANC1 for Age "&amp;D20&amp;" "&amp;D21&amp;" is greater than Start HAART ANC1"&amp;CHAR(10),""),IF(E314&lt;SUM(E280)," * New positive at ANC1 for Age "&amp;D20&amp;" "&amp;E21&amp;" is greater than Start HAART ANC1"&amp;CHAR(10),""),IF(F314&lt;SUM(F280)," * New positive at ANC1 for Age "&amp;F20&amp;" "&amp;F21&amp;" is greater than Start HAART ANC1"&amp;CHAR(10),""),IF(G314&lt;SUM(G280)," * New positive at ANC1 for Age "&amp;F20&amp;" "&amp;G21&amp;" is greater than Start HAART ANC1"&amp;CHAR(10),""),IF(H314&lt;SUM(H280)," * New positive at ANC1 for Age "&amp;H20&amp;" "&amp;H21&amp;" is greater than Start HAART ANC1"&amp;CHAR(10),""),IF(I314&lt;SUM(I280)," * New positive at ANC1 for Age "&amp;H20&amp;" "&amp;I21&amp;" is greater than Start HAART ANC1"&amp;CHAR(10),""),IF(J314&lt;SUM(J280)," * New positive at ANC1 for Age "&amp;J20&amp;" "&amp;J21&amp;" is greater than Start HAART ANC1"&amp;CHAR(10),""),IF(K314&lt;SUM(K280)," * New positive at ANC1 for Age "&amp;J20&amp;" "&amp;K21&amp;" is greater than Start HAART ANC1"&amp;CHAR(10),""),IF(L314&lt;SUM(L280)," * New positive at ANC1 for Age "&amp;L20&amp;" "&amp;L21&amp;" is greater than Start HAART ANC1"&amp;CHAR(10),""),IF(M314&lt;SUM(M280)," * New positive at ANC1 for Age "&amp;L20&amp;" "&amp;M21&amp;" is greater than Start HAART ANC1"&amp;CHAR(10),""),IF(N314&lt;SUM(N280)," * New positive at ANC1 for Age "&amp;N20&amp;" "&amp;N21&amp;" is greater than Start HAART ANC1"&amp;CHAR(10),""),IF(O314&lt;SUM(O280)," * New positive at ANC1 for Age "&amp;N20&amp;" "&amp;O21&amp;" is greater than Start HAART ANC1"&amp;CHAR(10),""),IF(P314&lt;SUM(P280)," * New positive at ANC1 for Age "&amp;P20&amp;" "&amp;P21&amp;" is greater than Start HAART ANC1"&amp;CHAR(10),""),IF(Q314&lt;SUM(Q280)," * New positive at ANC1 for Age "&amp;P20&amp;" "&amp;Q21&amp;" is greater than Start HAART ANC1"&amp;CHAR(10),""),IF(R314&lt;SUM(R280)," * New positive at ANC1 for Age "&amp;R20&amp;" "&amp;R21&amp;" is greater than Start HAART ANC1"&amp;CHAR(10),""),IF(S314&lt;SUM(S280)," * New positive at ANC1 for Age "&amp;R20&amp;" "&amp;S21&amp;" is greater than Start HAART ANC1"&amp;CHAR(10),""),IF(T314&lt;SUM(T280)," * New positive at ANC1 for Age "&amp;T20&amp;" "&amp;T21&amp;" is greater than Start HAART ANC1"&amp;CHAR(10),""),IF(U314&lt;SUM(U280)," * New positive at ANC1 for Age "&amp;T20&amp;" "&amp;U21&amp;" is greater than Start HAART ANC1"&amp;CHAR(10),""),IF(V314&lt;SUM(V280)," * New positive at ANC1 for Age "&amp;V20&amp;" "&amp;V21&amp;" is greater than Start HAART ANC1"&amp;CHAR(10),""),IF(W314&lt;SUM(W280)," * New positive at ANC1 for Age "&amp;V20&amp;" "&amp;W21&amp;" is greater than Start HAART ANC1"&amp;CHAR(10),""),IF(X314&lt;SUM(X280)," * New positive at ANC1 for Age "&amp;X20&amp;" "&amp;X21&amp;" is greater than Start HAART ANC1"&amp;CHAR(10),""),IF(Y314&lt;SUM(Y280)," * New positive at ANC1 for Age "&amp;X20&amp;" "&amp;Y21&amp;" is greater than Start HAART ANC1"&amp;CHAR(10),""),IF(Z314&lt;SUM(Z280)," * New positive at ANC1 for Age "&amp;Z20&amp;" "&amp;Z21&amp;" is greater than Start HAART ANC1"&amp;CHAR(10),""),IF(AA314&lt;SUM(AA280)," * New positive at ANC1 for Age "&amp;Z20&amp;" "&amp;AA21&amp;" is greater than Start HAART ANC1"&amp;CHAR(10),""))</f>
        <v/>
      </c>
      <c r="AN314" s="1269"/>
      <c r="AO314" s="13">
        <v>231</v>
      </c>
      <c r="AP314" s="74"/>
      <c r="AQ314" s="75"/>
    </row>
    <row r="315" spans="1:43" ht="27" thickBot="1" x14ac:dyDescent="0.45">
      <c r="A315" s="1224"/>
      <c r="B315" s="272" t="s">
        <v>496</v>
      </c>
      <c r="C315" s="610" t="s">
        <v>502</v>
      </c>
      <c r="D315" s="706"/>
      <c r="E315" s="706"/>
      <c r="F315" s="706"/>
      <c r="G315" s="706"/>
      <c r="H315" s="706"/>
      <c r="I315" s="706"/>
      <c r="J315" s="740"/>
      <c r="K315" s="748">
        <f>SUM(K313:K314)</f>
        <v>0</v>
      </c>
      <c r="L315" s="706"/>
      <c r="M315" s="707">
        <f>SUM(M313:M314)</f>
        <v>0</v>
      </c>
      <c r="N315" s="706"/>
      <c r="O315" s="707">
        <f>SUM(O313:O314)</f>
        <v>0</v>
      </c>
      <c r="P315" s="706"/>
      <c r="Q315" s="707">
        <f>SUM(Q313:Q314)</f>
        <v>0</v>
      </c>
      <c r="R315" s="706"/>
      <c r="S315" s="707">
        <f>SUM(S313:S314)</f>
        <v>0</v>
      </c>
      <c r="T315" s="706"/>
      <c r="U315" s="707">
        <f>SUM(U313:U314)</f>
        <v>0</v>
      </c>
      <c r="V315" s="706"/>
      <c r="W315" s="707">
        <f>SUM(W313:W314)</f>
        <v>0</v>
      </c>
      <c r="X315" s="706"/>
      <c r="Y315" s="707">
        <f>SUM(Y313:Y314)</f>
        <v>0</v>
      </c>
      <c r="Z315" s="706"/>
      <c r="AA315" s="726">
        <f t="shared" si="137"/>
        <v>0</v>
      </c>
      <c r="AB315" s="744">
        <f>SUM(AB313:AB314)</f>
        <v>0</v>
      </c>
      <c r="AC315" s="706"/>
      <c r="AD315" s="707">
        <f>SUM(AD313:AD314)</f>
        <v>0</v>
      </c>
      <c r="AE315" s="706"/>
      <c r="AF315" s="707">
        <f>SUM(AF313:AF314)</f>
        <v>0</v>
      </c>
      <c r="AG315" s="706"/>
      <c r="AH315" s="708">
        <f>SUM(AH313:AH314)</f>
        <v>0</v>
      </c>
      <c r="AI315" s="702"/>
      <c r="AJ315" s="697">
        <f t="shared" si="138"/>
        <v>0</v>
      </c>
      <c r="AK315" s="116"/>
      <c r="AL315" s="1278"/>
      <c r="AM315" s="31"/>
      <c r="AN315" s="1269"/>
      <c r="AO315" s="13">
        <v>232</v>
      </c>
      <c r="AP315" s="74"/>
      <c r="AQ315" s="75"/>
    </row>
    <row r="316" spans="1:43" ht="26.25" x14ac:dyDescent="0.4">
      <c r="A316" s="994" t="s">
        <v>1004</v>
      </c>
      <c r="B316" s="1" t="s">
        <v>695</v>
      </c>
      <c r="C316" s="609" t="s">
        <v>503</v>
      </c>
      <c r="D316" s="703"/>
      <c r="E316" s="703"/>
      <c r="F316" s="703"/>
      <c r="G316" s="703"/>
      <c r="H316" s="703"/>
      <c r="I316" s="703"/>
      <c r="J316" s="738"/>
      <c r="K316" s="727"/>
      <c r="L316" s="703"/>
      <c r="M316" s="638"/>
      <c r="N316" s="703"/>
      <c r="O316" s="638"/>
      <c r="P316" s="703"/>
      <c r="Q316" s="638"/>
      <c r="R316" s="703"/>
      <c r="S316" s="638"/>
      <c r="T316" s="703"/>
      <c r="U316" s="638"/>
      <c r="V316" s="703"/>
      <c r="W316" s="638"/>
      <c r="X316" s="703"/>
      <c r="Y316" s="638"/>
      <c r="Z316" s="703"/>
      <c r="AA316" s="725">
        <f t="shared" si="137"/>
        <v>0</v>
      </c>
      <c r="AB316" s="640"/>
      <c r="AC316" s="704"/>
      <c r="AD316" s="638"/>
      <c r="AE316" s="704"/>
      <c r="AF316" s="638"/>
      <c r="AG316" s="704"/>
      <c r="AH316" s="639"/>
      <c r="AI316" s="709"/>
      <c r="AJ316" s="624">
        <f t="shared" si="138"/>
        <v>0</v>
      </c>
      <c r="AK316" s="116"/>
      <c r="AL316" s="1278"/>
      <c r="AM316" s="60" t="str">
        <f>CONCATENATE(IF(D317&lt;&gt;SUM(D286)," * Retest Positive Result at ANC 2 and above for Age "&amp;D20&amp;" "&amp;D21&amp;" is not equal to Initial start HAART at ANC2 and above"&amp;CHAR(10),""),IF(E317&lt;&gt;SUM(E286)," * Retest Positive Result at ANC 2 and above for Age "&amp;D20&amp;" "&amp;E21&amp;" is not equal to Initial start HAART at ANC2 and above"&amp;CHAR(10),""),IF(F317&lt;&gt;SUM(F286)," * Retest Positive Result at ANC 2 and above for Age "&amp;F20&amp;" "&amp;F21&amp;" is not equal to Initial start HAART at ANC2 and above"&amp;CHAR(10),""),IF(G317&lt;&gt;SUM(G286)," * Retest Positive Result at ANC 2 and above for Age "&amp;F20&amp;" "&amp;G21&amp;" is not equal to Initial start HAART at ANC2 and above"&amp;CHAR(10),""),IF(H317&lt;&gt;SUM(H286)," * Retest Positive Result at ANC 2 and above for Age "&amp;H20&amp;" "&amp;H21&amp;" is not equal to Initial start HAART at ANC2 and above"&amp;CHAR(10),""),IF(I317&lt;&gt;SUM(I286)," * Retest Positive Result at ANC 2 and above for Age "&amp;H20&amp;" "&amp;I21&amp;" is not equal to Initial start HAART at ANC2 and above"&amp;CHAR(10),""),IF(J317&lt;&gt;SUM(J286)," * Retest Positive Result at ANC 2 and above for Age "&amp;J20&amp;" "&amp;J21&amp;" is not equal to Initial start HAART at ANC2 and above"&amp;CHAR(10),""),IF(K317&lt;&gt;K286," * Retest Positive Result at ANC 2 and above for Age "&amp;J20&amp;" "&amp;K21&amp;" is not equal to Initial start HAART at ANC2 and above"&amp;CHAR(10),""),IF(L317&lt;&gt;SUM(L286)," * Retest Positive Result at ANC 2 and above for Age "&amp;L20&amp;" "&amp;L21&amp;" is not equal to Initial start HAART at ANC2 and above"&amp;CHAR(10),""),IF(M317&lt;&gt;SUM(M286)," * Retest Positive Result at ANC 2 and above for Age "&amp;L20&amp;" "&amp;M21&amp;" is not equal to Initial start HAART at ANC2 and above"&amp;CHAR(10),""),IF(N317&lt;&gt;SUM(N286)," * Retest Positive Result at ANC 2 and above for Age "&amp;N20&amp;" "&amp;N21&amp;" is not equal to Initial start HAART at ANC2 and above"&amp;CHAR(10),""),IF(O317&lt;&gt;SUM(O286)," * Retest Positive Result at ANC 2 and above for Age "&amp;N20&amp;" "&amp;O21&amp;" is not equal to Initial start HAART at ANC2 and above"&amp;CHAR(10),""),IF(P317&lt;&gt;SUM(P286)," * Retest Positive Result at ANC 2 and above for Age "&amp;P20&amp;" "&amp;P21&amp;" is not equal to Initial start HAART at ANC2 and above"&amp;CHAR(10),""),IF(Q317&lt;&gt;SUM(Q286)," * Retest Positive Result at ANC 2 and above for Age "&amp;P20&amp;" "&amp;Q21&amp;" is not equal to Initial start HAART at ANC2 and above"&amp;CHAR(10),""),IF(R317&lt;&gt;SUM(R286)," * Retest Positive Result at ANC 2 and above for Age "&amp;R20&amp;" "&amp;R21&amp;" is not equal to Initial start HAART at ANC2 and above"&amp;CHAR(10),""),IF(S317&lt;&gt;SUM(S286)," * Retest Positive Result at ANC 2 and above for Age "&amp;R20&amp;" "&amp;S21&amp;" is not equal to Initial start HAART at ANC2 and above"&amp;CHAR(10),""),IF(T317&lt;&gt;SUM(T286)," * Retest Positive Result at ANC 2 and above for Age "&amp;T20&amp;" "&amp;T21&amp;" is not equal to Initial start HAART at ANC2 and above"&amp;CHAR(10),""),IF(U317&lt;&gt;SUM(U286)," * Retest Positive Result at ANC 2 and above for Age "&amp;T20&amp;" "&amp;U21&amp;" is not equal to Initial start HAART at ANC2 and above"&amp;CHAR(10),""),IF(V317&lt;&gt;SUM(V286)," * Retest Positive Result at ANC 2 and above for Age "&amp;V20&amp;" "&amp;V21&amp;" is not equal to Initial start HAART at ANC2 and above"&amp;CHAR(10),""),IF(W317&lt;&gt;SUM(W286)," * Retest Positive Result at ANC 2 and above for Age "&amp;V20&amp;" "&amp;W21&amp;" is not equal to Initial start HAART at ANC2 and above"&amp;CHAR(10),""),IF(X317&lt;&gt;SUM(X286)," * Retest Positive Result at ANC 2 and above for Age "&amp;X20&amp;" "&amp;X21&amp;" is not equal to Initial start HAART at ANC2 and above"&amp;CHAR(10),""),IF(Y317&lt;&gt;SUM(Y286)," * Retest Positive Result at ANC 2 and above for Age "&amp;X20&amp;" "&amp;Y21&amp;" is not equal to Initial start HAART at ANC2 and above"&amp;CHAR(10),""),IF(Z317&lt;&gt;SUM(Z286)," * Retest Positive Result at ANC 2 and above for Age "&amp;Z20&amp;" "&amp;Z21&amp;" is not equal to Initial start HAART at ANC2 and above"&amp;CHAR(10),""),IF(AA317&lt;&gt;SUM(AA286)," * Retest Positive Result at ANC 2 and above for Age "&amp;Z20&amp;" "&amp;AA21&amp;" is not equal to Initial start HAART at ANC2 and above"&amp;CHAR(10),""))</f>
        <v/>
      </c>
      <c r="AN316" s="1269"/>
      <c r="AO316" s="13">
        <v>233</v>
      </c>
      <c r="AP316" s="74"/>
      <c r="AQ316" s="75"/>
    </row>
    <row r="317" spans="1:43" ht="27" thickBot="1" x14ac:dyDescent="0.45">
      <c r="A317" s="1124"/>
      <c r="B317" s="3" t="s">
        <v>498</v>
      </c>
      <c r="C317" s="610" t="s">
        <v>504</v>
      </c>
      <c r="D317" s="706"/>
      <c r="E317" s="706"/>
      <c r="F317" s="706"/>
      <c r="G317" s="706"/>
      <c r="H317" s="706"/>
      <c r="I317" s="706"/>
      <c r="J317" s="740"/>
      <c r="K317" s="728"/>
      <c r="L317" s="706"/>
      <c r="M317" s="711"/>
      <c r="N317" s="706"/>
      <c r="O317" s="711"/>
      <c r="P317" s="706"/>
      <c r="Q317" s="711"/>
      <c r="R317" s="706"/>
      <c r="S317" s="711"/>
      <c r="T317" s="706"/>
      <c r="U317" s="711"/>
      <c r="V317" s="706"/>
      <c r="W317" s="711"/>
      <c r="X317" s="706"/>
      <c r="Y317" s="711"/>
      <c r="Z317" s="706"/>
      <c r="AA317" s="726">
        <f t="shared" si="137"/>
        <v>0</v>
      </c>
      <c r="AB317" s="745"/>
      <c r="AC317" s="712"/>
      <c r="AD317" s="711"/>
      <c r="AE317" s="712"/>
      <c r="AF317" s="711"/>
      <c r="AG317" s="712"/>
      <c r="AH317" s="713"/>
      <c r="AI317" s="710"/>
      <c r="AJ317" s="624">
        <f t="shared" si="138"/>
        <v>0</v>
      </c>
      <c r="AK317" s="116"/>
      <c r="AL317" s="1278"/>
      <c r="AM317" s="60" t="str">
        <f>CONCATENATE(IF(D317&lt;&gt;SUM(D286)," * Retest Positive Result at ANC 2 and above for Age "&amp;D20&amp;" "&amp;D21&amp;" is not equal to Retest start HAART at ANC2 and above"&amp;CHAR(10),""),IF(E317&lt;&gt;SUM(E286)," * Retest Positive Result at ANC 2 and above for Age "&amp;D20&amp;" "&amp;E21&amp;" is not equal to Retest start HAART at ANC2 and above"&amp;CHAR(10),""),IF(F317&lt;&gt;SUM(F286)," * Retest Positive Result at ANC 2 and above for Age "&amp;F20&amp;" "&amp;F21&amp;" is not equal to Retest start HAART at ANC2 and above"&amp;CHAR(10),""),IF(G317&lt;&gt;SUM(G286)," * Retest Positive Result at ANC 2 and above for Age "&amp;F20&amp;" "&amp;G21&amp;" is not equal to Retest start HAART at ANC2 and above"&amp;CHAR(10),""),IF(H317&lt;&gt;SUM(H286)," * Retest Positive Result at ANC 2 and above for Age "&amp;H20&amp;" "&amp;H21&amp;" is not equal to Retest start HAART at ANC2 and above"&amp;CHAR(10),""),IF(I317&lt;&gt;SUM(I286)," * Retest Positive Result at ANC 2 and above for Age "&amp;H20&amp;" "&amp;I21&amp;" is not equal to Retest start HAART at ANC2 and above"&amp;CHAR(10),""),IF(J317&lt;&gt;SUM(J286)," * Retest Positive Result at ANC 2 and above for Age "&amp;J20&amp;" "&amp;J21&amp;" is not equal to Retest start HAART at ANC2 and above"&amp;CHAR(10),""),IF(K317&lt;&gt;K286," * Retest Positive Result at ANC 2 and above for Age "&amp;J20&amp;" "&amp;K21&amp;" is not equal to Retest start HAART at ANC2 and above"&amp;CHAR(10),""),IF(L317&lt;&gt;SUM(L286)," * Retest Positive Result at ANC 2 and above for Age "&amp;L20&amp;" "&amp;L21&amp;" is not equal to Retest start HAART at ANC2 and above"&amp;CHAR(10),""),IF(M317&lt;&gt;SUM(M286)," * Retest Positive Result at ANC 2 and above for Age "&amp;L20&amp;" "&amp;M21&amp;" is not equal to Retest start HAART at ANC2 and above"&amp;CHAR(10),""),IF(N317&lt;&gt;SUM(N286)," * Retest Positive Result at ANC 2 and above for Age "&amp;N20&amp;" "&amp;N21&amp;" is not equal to Retest start HAART at ANC2 and above"&amp;CHAR(10),""),IF(O317&lt;&gt;SUM(O286)," * Retest Positive Result at ANC 2 and above for Age "&amp;N20&amp;" "&amp;O21&amp;" is not equal to Retest start HAART at ANC2 and above"&amp;CHAR(10),""),IF(P317&lt;&gt;SUM(P286)," * Retest Positive Result at ANC 2 and above for Age "&amp;P20&amp;" "&amp;P21&amp;" is not equal to Retest start HAART at ANC2 and above"&amp;CHAR(10),""),IF(Q317&lt;&gt;SUM(Q286)," * Retest Positive Result at ANC 2 and above for Age "&amp;P20&amp;" "&amp;Q21&amp;" is not equal to Retest start HAART at ANC2 and above"&amp;CHAR(10),""),IF(R317&lt;&gt;SUM(R286)," * Retest Positive Result at ANC 2 and above for Age "&amp;R20&amp;" "&amp;R21&amp;" is not equal to Retest start HAART at ANC2 and above"&amp;CHAR(10),""),IF(S317&lt;&gt;SUM(S286)," * Retest Positive Result at ANC 2 and above for Age "&amp;R20&amp;" "&amp;S21&amp;" is not equal to Retest start HAART at ANC2 and above"&amp;CHAR(10),""),IF(T317&lt;&gt;SUM(T286)," * Retest Positive Result at ANC 2 and above for Age "&amp;T20&amp;" "&amp;T21&amp;" is not equal to Retest start HAART at ANC2 and above"&amp;CHAR(10),""),IF(U317&lt;&gt;SUM(U286)," * Retest Positive Result at ANC 2 and above for Age "&amp;T20&amp;" "&amp;U21&amp;" is not equal to Retest start HAART at ANC2 and above"&amp;CHAR(10),""),IF(V317&lt;&gt;SUM(V286)," * Retest Positive Result at ANC 2 and above for Age "&amp;V20&amp;" "&amp;V21&amp;" is not equal to Retest start HAART at ANC2 and above"&amp;CHAR(10),""),IF(W317&lt;&gt;SUM(W286)," * Retest Positive Result at ANC 2 and above for Age "&amp;V20&amp;" "&amp;W21&amp;" is not equal to Retest start HAART at ANC2 and above"&amp;CHAR(10),""),IF(X317&lt;&gt;SUM(X286)," * Retest Positive Result at ANC 2 and above for Age "&amp;X20&amp;" "&amp;X21&amp;" is not equal to Retest start HAART at ANC2 and above"&amp;CHAR(10),""),IF(Y317&lt;&gt;SUM(Y286)," * Retest Positive Result at ANC 2 and above for Age "&amp;X20&amp;" "&amp;Y21&amp;" is not equal to Retest start HAART at ANC2 and above"&amp;CHAR(10),""),IF(Z317&lt;&gt;SUM(Z286)," * Retest Positive Result at ANC 2 and above for Age "&amp;Z20&amp;" "&amp;Z21&amp;" is not equal to Retest start HAART at ANC2 and above"&amp;CHAR(10),""),IF(AA317&lt;&gt;SUM(AA286)," * Retest Positive Result at ANC 2 and above for Age "&amp;Z20&amp;" "&amp;AA21&amp;" is not equal to Retest start HAART at ANC2 and above"&amp;CHAR(10),""))</f>
        <v/>
      </c>
      <c r="AN317" s="1269"/>
      <c r="AO317" s="13">
        <v>234</v>
      </c>
      <c r="AP317" s="74"/>
      <c r="AQ317" s="75"/>
    </row>
    <row r="318" spans="1:43" s="61" customFormat="1" ht="26.25" x14ac:dyDescent="0.4">
      <c r="A318" s="1263" t="s">
        <v>485</v>
      </c>
      <c r="B318" s="1" t="s">
        <v>1313</v>
      </c>
      <c r="C318" s="609" t="s">
        <v>372</v>
      </c>
      <c r="D318" s="703"/>
      <c r="E318" s="703"/>
      <c r="F318" s="703"/>
      <c r="G318" s="703"/>
      <c r="H318" s="703"/>
      <c r="I318" s="703"/>
      <c r="J318" s="738"/>
      <c r="K318" s="727"/>
      <c r="L318" s="703"/>
      <c r="M318" s="638"/>
      <c r="N318" s="703"/>
      <c r="O318" s="638"/>
      <c r="P318" s="703"/>
      <c r="Q318" s="638"/>
      <c r="R318" s="703"/>
      <c r="S318" s="638"/>
      <c r="T318" s="703"/>
      <c r="U318" s="638"/>
      <c r="V318" s="703"/>
      <c r="W318" s="638"/>
      <c r="X318" s="703"/>
      <c r="Y318" s="638"/>
      <c r="Z318" s="703"/>
      <c r="AA318" s="725">
        <f t="shared" si="137"/>
        <v>0</v>
      </c>
      <c r="AB318" s="640"/>
      <c r="AC318" s="704"/>
      <c r="AD318" s="638"/>
      <c r="AE318" s="704"/>
      <c r="AF318" s="638"/>
      <c r="AG318" s="704"/>
      <c r="AH318" s="639"/>
      <c r="AI318" s="710"/>
      <c r="AJ318" s="624">
        <f t="shared" si="138"/>
        <v>0</v>
      </c>
      <c r="AK318" s="226" t="str">
        <f>CONCATENATE(IF(D318&gt;D288," * start HAART L&amp;D  for Age "&amp;D20&amp;" "&amp;D21&amp;" is more than Positive Result L&amp;D "&amp;CHAR(10),""),IF(E318&gt;E288," * start HAART L&amp;D  for Age "&amp;D20&amp;" "&amp;E21&amp;" is more than Positive Result L&amp;D "&amp;CHAR(10),""),IF(F318&gt;F288," * start HAART L&amp;D  for Age "&amp;F20&amp;" "&amp;F21&amp;" is more than Positive Result L&amp;D "&amp;CHAR(10),""),IF(G318&gt;G288," * start HAART L&amp;D  for Age "&amp;F20&amp;" "&amp;G21&amp;" is more than Positive Result L&amp;D "&amp;CHAR(10),""),IF(H318&gt;H288," * start HAART L&amp;D  for Age "&amp;H20&amp;" "&amp;H21&amp;" is more than Positive Result L&amp;D "&amp;CHAR(10),""),IF(I318&gt;I288," * start HAART L&amp;D  for Age "&amp;H20&amp;" "&amp;I21&amp;" is more than Positive Result L&amp;D "&amp;CHAR(10),""),IF(J318&gt;J288," * start HAART L&amp;D  for Age "&amp;J20&amp;" "&amp;J21&amp;" is more than Positive Result L&amp;D "&amp;CHAR(10),""),IF(K318&gt;K288," * start HAART L&amp;D  for Age "&amp;J20&amp;" "&amp;K21&amp;" is more than Positive Result L&amp;D "&amp;CHAR(10),""),IF(L318&gt;L288," * start HAART L&amp;D  for Age "&amp;L20&amp;" "&amp;L21&amp;" is more than Positive Result L&amp;D "&amp;CHAR(10),""),IF(M318&gt;M288," * start HAART L&amp;D  for Age "&amp;L20&amp;" "&amp;M21&amp;" is more than Positive Result L&amp;D "&amp;CHAR(10),""),IF(N318&gt;N288," * start HAART L&amp;D  for Age "&amp;N20&amp;" "&amp;N21&amp;" is more than Positive Result L&amp;D "&amp;CHAR(10),""),IF(O318&gt;O288," * start HAART L&amp;D  for Age "&amp;N20&amp;" "&amp;O21&amp;" is more than Positive Result L&amp;D "&amp;CHAR(10),""),IF(P318&gt;P288," * start HAART L&amp;D  for Age "&amp;P20&amp;" "&amp;P21&amp;" is more than Positive Result L&amp;D "&amp;CHAR(10),""),IF(Q318&gt;Q288," * start HAART L&amp;D  for Age "&amp;P20&amp;" "&amp;Q21&amp;" is more than Positive Result L&amp;D "&amp;CHAR(10),""),IF(R318&gt;R288," * start HAART L&amp;D  for Age "&amp;R20&amp;" "&amp;R21&amp;" is more than Positive Result L&amp;D "&amp;CHAR(10),""),IF(S318&gt;S288," * start HAART L&amp;D  for Age "&amp;R20&amp;" "&amp;S21&amp;" is more than Positive Result L&amp;D "&amp;CHAR(10),""),IF(T318&gt;T288," * start HAART L&amp;D  for Age "&amp;T20&amp;" "&amp;T21&amp;" is more than Positive Result L&amp;D "&amp;CHAR(10),""),IF(U318&gt;U288," * start HAART L&amp;D  for Age "&amp;T20&amp;" "&amp;U21&amp;" is more than Positive Result L&amp;D "&amp;CHAR(10),""),IF(V318&gt;V288," * start HAART L&amp;D  for Age "&amp;V20&amp;" "&amp;V21&amp;" is more than Positive Result L&amp;D "&amp;CHAR(10),""),IF(W318&gt;W288," * start HAART L&amp;D  for Age "&amp;V20&amp;" "&amp;W21&amp;" is more than Positive Result L&amp;D "&amp;CHAR(10),""),IF(X318&gt;X288," * start HAART L&amp;D  for Age "&amp;X20&amp;" "&amp;X21&amp;" is more than Positive Result L&amp;D "&amp;CHAR(10),""),IF(Y318&gt;Y288," * start HAART L&amp;D  for Age "&amp;X20&amp;" "&amp;Y21&amp;" is more than Positive Result L&amp;D "&amp;CHAR(10),""),IF(Z318&gt;Z288," * start HAART L&amp;D  for Age "&amp;Z20&amp;" "&amp;Z21&amp;" is more than Positive Result L&amp;D "&amp;CHAR(10),""),IF(AA318&gt;AA288," * start HAART L&amp;D  for Age "&amp;Z20&amp;" "&amp;AA21&amp;" is more than Positive Result L&amp;D "&amp;CHAR(10),"")
)</f>
        <v/>
      </c>
      <c r="AL318" s="1278"/>
      <c r="AM318" s="60" t="str">
        <f>CONCATENATE(IF(D318&lt;D288," * start HAART L&amp;D  for Age "&amp;D20&amp;" "&amp;D21&amp;" is less than Positive Result L&amp;D "&amp;CHAR(10),""),IF(E318&lt;E288," * start HAART L&amp;D  for Age "&amp;D20&amp;" "&amp;E21&amp;" is less than Positive Result L&amp;D "&amp;CHAR(10),""),IF(F318&lt;F288," * start HAART L&amp;D  for Age "&amp;F20&amp;" "&amp;F21&amp;" is less than Positive Result L&amp;D "&amp;CHAR(10),""),IF(G318&lt;G288," * start HAART L&amp;D  for Age "&amp;F20&amp;" "&amp;G21&amp;" is less than Positive Result L&amp;D "&amp;CHAR(10),""),IF(H318&lt;H288," * start HAART L&amp;D  for Age "&amp;H20&amp;" "&amp;H21&amp;" is less than Positive Result L&amp;D "&amp;CHAR(10),""),IF(I318&lt;I288," * start HAART L&amp;D  for Age "&amp;H20&amp;" "&amp;I21&amp;" is less than Positive Result L&amp;D "&amp;CHAR(10),""),IF(J318&lt;J288," * start HAART L&amp;D  for Age "&amp;J20&amp;" "&amp;J21&amp;" is less than Positive Result L&amp;D "&amp;CHAR(10),""),IF(K318&lt;K288," * start HAART L&amp;D  for Age "&amp;J20&amp;" "&amp;K21&amp;" is less than Positive Result L&amp;D "&amp;CHAR(10),""),IF(L318&lt;L288," * start HAART L&amp;D  for Age "&amp;L20&amp;" "&amp;L21&amp;" is less than Positive Result L&amp;D "&amp;CHAR(10),""),IF(M318&lt;M288," * start HAART L&amp;D  for Age "&amp;L20&amp;" "&amp;M21&amp;" is less than Positive Result L&amp;D "&amp;CHAR(10),""),IF(N318&lt;N288," * start HAART L&amp;D  for Age "&amp;N20&amp;" "&amp;N21&amp;" is less than Positive Result L&amp;D "&amp;CHAR(10),""),IF(O318&lt;O288," * start HAART L&amp;D  for Age "&amp;N20&amp;" "&amp;O21&amp;" is less than Positive Result L&amp;D "&amp;CHAR(10),""),IF(P318&lt;P288," * start HAART L&amp;D  for Age "&amp;P20&amp;" "&amp;P21&amp;" is less than Positive Result L&amp;D "&amp;CHAR(10),""),IF(Q318&lt;Q288," * start HAART L&amp;D  for Age "&amp;P20&amp;" "&amp;Q21&amp;" is less than Positive Result L&amp;D "&amp;CHAR(10),""),IF(R318&lt;R288," * start HAART L&amp;D  for Age "&amp;R20&amp;" "&amp;R21&amp;" is less than Positive Result L&amp;D "&amp;CHAR(10),""),IF(S318&lt;S288," * start HAART L&amp;D  for Age "&amp;R20&amp;" "&amp;S21&amp;" is less than Positive Result L&amp;D "&amp;CHAR(10),""),IF(T318&lt;T288," * start HAART L&amp;D  for Age "&amp;T20&amp;" "&amp;T21&amp;" is less than Positive Result L&amp;D "&amp;CHAR(10),""),IF(U318&lt;U288," * start HAART L&amp;D  for Age "&amp;T20&amp;" "&amp;U21&amp;" is less than Positive Result L&amp;D "&amp;CHAR(10),""),IF(V318&lt;V288," * start HAART L&amp;D  for Age "&amp;V20&amp;" "&amp;V21&amp;" is less than Positive Result L&amp;D "&amp;CHAR(10),""),IF(W318&lt;W288," * start HAART L&amp;D  for Age "&amp;V20&amp;" "&amp;W21&amp;" is less than Positive Result L&amp;D "&amp;CHAR(10),""),IF(X318&lt;X288," * start HAART L&amp;D  for Age "&amp;X20&amp;" "&amp;X21&amp;" is less than Positive Result L&amp;D "&amp;CHAR(10),""),IF(Y318&lt;Y288," * start HAART L&amp;D  for Age "&amp;X20&amp;" "&amp;Y21&amp;" is less than Positive Result L&amp;D "&amp;CHAR(10),""),IF(Z318&lt;Z288," * start HAART L&amp;D  for Age "&amp;Z20&amp;" "&amp;Z21&amp;" is less than Positive Result L&amp;D "&amp;CHAR(10),""),IF(AA318&lt;AA288," * start HAART L&amp;D  for Age "&amp;Z20&amp;" "&amp;AA21&amp;" is less than Positive Result L&amp;D "&amp;CHAR(10),""))</f>
        <v/>
      </c>
      <c r="AN318" s="1269"/>
      <c r="AO318" s="13">
        <v>235</v>
      </c>
      <c r="AP318" s="80"/>
      <c r="AQ318" s="75"/>
    </row>
    <row r="319" spans="1:43" s="61" customFormat="1" ht="27" thickBot="1" x14ac:dyDescent="0.45">
      <c r="A319" s="1264"/>
      <c r="B319" s="3" t="s">
        <v>635</v>
      </c>
      <c r="C319" s="610" t="s">
        <v>636</v>
      </c>
      <c r="D319" s="706"/>
      <c r="E319" s="706"/>
      <c r="F319" s="706"/>
      <c r="G319" s="706"/>
      <c r="H319" s="706"/>
      <c r="I319" s="706"/>
      <c r="J319" s="740"/>
      <c r="K319" s="728"/>
      <c r="L319" s="706"/>
      <c r="M319" s="711"/>
      <c r="N319" s="706"/>
      <c r="O319" s="711"/>
      <c r="P319" s="706"/>
      <c r="Q319" s="711"/>
      <c r="R319" s="706"/>
      <c r="S319" s="711"/>
      <c r="T319" s="706"/>
      <c r="U319" s="711"/>
      <c r="V319" s="706"/>
      <c r="W319" s="711"/>
      <c r="X319" s="706"/>
      <c r="Y319" s="711"/>
      <c r="Z319" s="706"/>
      <c r="AA319" s="726">
        <f t="shared" si="137"/>
        <v>0</v>
      </c>
      <c r="AB319" s="745"/>
      <c r="AC319" s="712"/>
      <c r="AD319" s="711"/>
      <c r="AE319" s="712"/>
      <c r="AF319" s="711"/>
      <c r="AG319" s="712"/>
      <c r="AH319" s="713"/>
      <c r="AI319" s="710"/>
      <c r="AJ319" s="624">
        <f t="shared" si="138"/>
        <v>0</v>
      </c>
      <c r="AK319" s="226" t="str">
        <f>CONCATENATE(IF(D319&gt;D290," * Retested start HAART L&amp;D  for Age "&amp;D20&amp;" "&amp;D21&amp;" is more than Retested Positive Result L&amp;D "&amp;CHAR(10),""),IF(E319&gt;E290," * Retested start HAART L&amp;D  for Age "&amp;D20&amp;" "&amp;E21&amp;" is more than Retested Positive Result L&amp;D "&amp;CHAR(10),""),IF(F319&gt;F290," * Retested start HAART L&amp;D  for Age "&amp;F20&amp;" "&amp;F21&amp;" is more than Retested Positive Result L&amp;D "&amp;CHAR(10),""),IF(G319&gt;G290," * Retested start HAART L&amp;D  for Age "&amp;F20&amp;" "&amp;G21&amp;" is more than Retested Positive Result L&amp;D "&amp;CHAR(10),""),IF(H319&gt;H290," * Retested start HAART L&amp;D  for Age "&amp;H20&amp;" "&amp;H21&amp;" is more than Retested Positive Result L&amp;D "&amp;CHAR(10),""),IF(I319&gt;I290," * Retested start HAART L&amp;D  for Age "&amp;H20&amp;" "&amp;I21&amp;" is more than Retested Positive Result L&amp;D "&amp;CHAR(10),""),IF(J319&gt;J290," * Retested start HAART L&amp;D  for Age "&amp;J20&amp;" "&amp;J21&amp;" is more than Retested Positive Result L&amp;D "&amp;CHAR(10),""),IF(K319&gt;K290," * Retested start HAART L&amp;D  for Age "&amp;J20&amp;" "&amp;K21&amp;" is more than Retested Positive Result L&amp;D "&amp;CHAR(10),""),IF(L319&gt;L290," * Retested start HAART L&amp;D  for Age "&amp;L20&amp;" "&amp;L21&amp;" is more than Retested Positive Result L&amp;D "&amp;CHAR(10),""),IF(M319&gt;M290," * Retested start HAART L&amp;D  for Age "&amp;L20&amp;" "&amp;M21&amp;" is more than Retested Positive Result L&amp;D "&amp;CHAR(10),""),IF(N319&gt;N290," * Retested start HAART L&amp;D  for Age "&amp;N20&amp;" "&amp;N21&amp;" is more than Retested Positive Result L&amp;D "&amp;CHAR(10),""),IF(O319&gt;O290," * Retested start HAART L&amp;D  for Age "&amp;N20&amp;" "&amp;O21&amp;" is more than Retested Positive Result L&amp;D "&amp;CHAR(10),""),IF(P319&gt;P290," * Retested start HAART L&amp;D  for Age "&amp;P20&amp;" "&amp;P21&amp;" is more than Retested Positive Result L&amp;D "&amp;CHAR(10),""),IF(Q319&gt;Q290," * Retested start HAART L&amp;D  for Age "&amp;P20&amp;" "&amp;Q21&amp;" is more than Retested Positive Result L&amp;D "&amp;CHAR(10),""),IF(R319&gt;R290," * Retested start HAART L&amp;D  for Age "&amp;R20&amp;" "&amp;R21&amp;" is more than Retested Positive Result L&amp;D "&amp;CHAR(10),""),IF(S319&gt;S290," * Retested start HAART L&amp;D  for Age "&amp;R20&amp;" "&amp;S21&amp;" is more than Retested Positive Result L&amp;D "&amp;CHAR(10),""),IF(T319&gt;T290," * Retested start HAART L&amp;D  for Age "&amp;T20&amp;" "&amp;T21&amp;" is more than Retested Positive Result L&amp;D "&amp;CHAR(10),""),IF(U319&gt;U290," * Retested start HAART L&amp;D  for Age "&amp;T20&amp;" "&amp;U21&amp;" is more than Retested Positive Result L&amp;D "&amp;CHAR(10),""),IF(V319&gt;V290," * Retested start HAART L&amp;D  for Age "&amp;V20&amp;" "&amp;V21&amp;" is more than Retested Positive Result L&amp;D "&amp;CHAR(10),""),IF(W319&gt;W290," * Retested start HAART L&amp;D  for Age "&amp;V20&amp;" "&amp;W21&amp;" is more than Retested Positive Result L&amp;D "&amp;CHAR(10),""),IF(X319&gt;X290," * Retested start HAART L&amp;D  for Age "&amp;X20&amp;" "&amp;X21&amp;" is more than Retested Positive Result L&amp;D "&amp;CHAR(10),""),IF(Y319&gt;Y290," * Retested start HAART L&amp;D  for Age "&amp;X20&amp;" "&amp;Y21&amp;" is more than Retested Positive Result L&amp;D "&amp;CHAR(10),""),IF(Z319&gt;Z290," * Retested start HAART L&amp;D  for Age "&amp;Z20&amp;" "&amp;Z21&amp;" is more than Retested Positive Result L&amp;D "&amp;CHAR(10),""),IF(AA319&gt;AA290," * Retested start HAART L&amp;D  for Age "&amp;Z20&amp;" "&amp;AA21&amp;" is more than Retested Positive Result L&amp;D "&amp;CHAR(10),"")
)</f>
        <v/>
      </c>
      <c r="AL319" s="1278"/>
      <c r="AM319" s="60"/>
      <c r="AN319" s="1269"/>
      <c r="AO319" s="13">
        <v>236</v>
      </c>
      <c r="AP319" s="80"/>
      <c r="AQ319" s="75"/>
    </row>
    <row r="320" spans="1:43" ht="26.25" x14ac:dyDescent="0.4">
      <c r="A320" s="1021" t="s">
        <v>488</v>
      </c>
      <c r="B320" s="1" t="s">
        <v>500</v>
      </c>
      <c r="C320" s="609" t="s">
        <v>373</v>
      </c>
      <c r="D320" s="703"/>
      <c r="E320" s="703"/>
      <c r="F320" s="703"/>
      <c r="G320" s="703"/>
      <c r="H320" s="703"/>
      <c r="I320" s="703"/>
      <c r="J320" s="738"/>
      <c r="K320" s="727"/>
      <c r="L320" s="703"/>
      <c r="M320" s="638"/>
      <c r="N320" s="703"/>
      <c r="O320" s="638"/>
      <c r="P320" s="703"/>
      <c r="Q320" s="638"/>
      <c r="R320" s="703"/>
      <c r="S320" s="638"/>
      <c r="T320" s="703"/>
      <c r="U320" s="638"/>
      <c r="V320" s="703"/>
      <c r="W320" s="638"/>
      <c r="X320" s="703"/>
      <c r="Y320" s="638"/>
      <c r="Z320" s="703"/>
      <c r="AA320" s="725">
        <f t="shared" si="137"/>
        <v>0</v>
      </c>
      <c r="AB320" s="640"/>
      <c r="AC320" s="704"/>
      <c r="AD320" s="638"/>
      <c r="AE320" s="704"/>
      <c r="AF320" s="638"/>
      <c r="AG320" s="704"/>
      <c r="AH320" s="639"/>
      <c r="AI320" s="710"/>
      <c r="AJ320" s="624">
        <f t="shared" si="138"/>
        <v>0</v>
      </c>
      <c r="AK320" s="116" t="str">
        <f>CONCATENATE(IF(D320&gt;D292," * F06-16 for Age "&amp;D20&amp;" "&amp;D21&amp;" is more than F06-10"&amp;CHAR(10),""),IF(E320&gt;E292," * F06-16 for Age "&amp;D20&amp;" "&amp;E21&amp;" is more than F06-10"&amp;CHAR(10),""),IF(F320&gt;F292," * F06-16 for Age "&amp;F20&amp;" "&amp;F21&amp;" is more than F06-10"&amp;CHAR(10),""),IF(G320&gt;G292," * F06-16 for Age "&amp;F20&amp;" "&amp;G21&amp;" is more than F06-10"&amp;CHAR(10),""),IF(H320&gt;H292," * F06-16 for Age "&amp;H20&amp;" "&amp;H21&amp;" is more than F06-10"&amp;CHAR(10),""),IF(I320&gt;I292," * F06-16 for Age "&amp;H20&amp;" "&amp;I21&amp;" is more than F06-10"&amp;CHAR(10),""),IF(J320&gt;J292," * F06-16 for Age "&amp;J20&amp;" "&amp;J21&amp;" is more than F06-10"&amp;CHAR(10),""),IF(K320&gt;K292," * F06-16 for Age "&amp;J20&amp;" "&amp;K21&amp;" is more than F06-10"&amp;CHAR(10),""),IF(L320&gt;L292," * F06-16 for Age "&amp;L20&amp;" "&amp;L21&amp;" is more than F06-10"&amp;CHAR(10),""),IF(M320&gt;M292," * F06-16 for Age "&amp;L20&amp;" "&amp;M21&amp;" is more than F06-10"&amp;CHAR(10),""),IF(N320&gt;N292," * F06-16 for Age "&amp;N20&amp;" "&amp;N21&amp;" is more than F06-10"&amp;CHAR(10),""),IF(O320&gt;O292," * F06-16 for Age "&amp;N20&amp;" "&amp;O21&amp;" is more than F06-10"&amp;CHAR(10),""),IF(P320&gt;P292," * F06-16 for Age "&amp;P20&amp;" "&amp;P21&amp;" is more than F06-10"&amp;CHAR(10),""),IF(Q320&gt;Q292," * F06-16 for Age "&amp;P20&amp;" "&amp;Q21&amp;" is more than F06-10"&amp;CHAR(10),""),IF(R320&gt;R292," * F06-16 for Age "&amp;R20&amp;" "&amp;R21&amp;" is more than F06-10"&amp;CHAR(10),""),IF(S320&gt;S292," * F06-16 for Age "&amp;R20&amp;" "&amp;S21&amp;" is more than F06-10"&amp;CHAR(10),""),IF(T320&gt;T292," * F06-16 for Age "&amp;T20&amp;" "&amp;T21&amp;" is more than F06-10"&amp;CHAR(10),""),IF(U320&gt;U292," * F06-16 for Age "&amp;T20&amp;" "&amp;U21&amp;" is more than F06-10"&amp;CHAR(10),""),IF(V320&gt;V292," * F06-16 for Age "&amp;V20&amp;" "&amp;V21&amp;" is more than F06-10"&amp;CHAR(10),""),IF(W320&gt;W292," * F06-16 for Age "&amp;V20&amp;" "&amp;W21&amp;" is more than F06-10"&amp;CHAR(10),""),IF(X320&gt;X292," * F06-16 for Age "&amp;X20&amp;" "&amp;X21&amp;" is more than F06-10"&amp;CHAR(10),""),IF(Y320&gt;Y292," * F06-16 for Age "&amp;X20&amp;" "&amp;Y21&amp;" is more than F06-10"&amp;CHAR(10),""),IF(Z320&gt;Z292," * F06-16 for Age "&amp;Z20&amp;" "&amp;Z21&amp;" is more than F06-10"&amp;CHAR(10),""),IF(AA320&gt;AA292," * F06-16 for Age "&amp;Z20&amp;" "&amp;AA21&amp;" is more than F06-10"&amp;CHAR(10),""),IF(AJ320&gt;AJ292," * Total F06-16 is more than Total F06-10"&amp;CHAR(10),""))</f>
        <v/>
      </c>
      <c r="AL320" s="1278"/>
      <c r="AM320" s="31" t="str">
        <f>CONCATENATE(IF(D320&lt;D292," * F06-16 for Age "&amp;D20&amp;" "&amp;D21&amp;" is less than F06-10"&amp;CHAR(10),""),IF(E320&lt;E292," * F06-16 for Age "&amp;D20&amp;" "&amp;E21&amp;" is less than F06-10"&amp;CHAR(10),""),IF(F320&lt;F292," * F06-16 for Age "&amp;F20&amp;" "&amp;F21&amp;" is less than F06-10"&amp;CHAR(10),""),IF(G320&lt;G292," * F06-16 for Age "&amp;F20&amp;" "&amp;G21&amp;" is less than F06-10"&amp;CHAR(10),""),IF(H320&lt;H292," * F06-16 for Age "&amp;H20&amp;" "&amp;H21&amp;" is less than F06-10"&amp;CHAR(10),""),IF(I320&lt;I292," * F06-16 for Age "&amp;H20&amp;" "&amp;I21&amp;" is less than F06-10"&amp;CHAR(10),""),IF(J320&lt;J292," * F06-16 for Age "&amp;J20&amp;" "&amp;J21&amp;" is less than F06-10"&amp;CHAR(10),""),IF(K320&lt;K292," * F06-16 for Age "&amp;J20&amp;" "&amp;K21&amp;" is less than F06-10"&amp;CHAR(10),""),IF(L320&lt;L292," * F06-16 for Age "&amp;L20&amp;" "&amp;L21&amp;" is less than F06-10"&amp;CHAR(10),""),IF(M320&lt;M292," * F06-16 for Age "&amp;L20&amp;" "&amp;M21&amp;" is less than F06-10"&amp;CHAR(10),""),IF(N320&lt;N292," * F06-16 for Age "&amp;N20&amp;" "&amp;N21&amp;" is less than F06-10"&amp;CHAR(10),""),IF(O320&lt;O292," * F06-16 for Age "&amp;N20&amp;" "&amp;O21&amp;" is less than F06-10"&amp;CHAR(10),""),IF(P320&lt;P292," * F06-16 for Age "&amp;P20&amp;" "&amp;P21&amp;" is less than F06-10"&amp;CHAR(10),""),IF(Q320&lt;Q292," * F06-16 for Age "&amp;P20&amp;" "&amp;Q21&amp;" is less than F06-10"&amp;CHAR(10),""),IF(R320&lt;R292," * F06-16 for Age "&amp;R20&amp;" "&amp;R21&amp;" is less than F06-10"&amp;CHAR(10),""),IF(S320&lt;S292," * F06-16 for Age "&amp;R20&amp;" "&amp;S21&amp;" is less than F06-10"&amp;CHAR(10),""),IF(T320&lt;T292," * F06-16 for Age "&amp;T20&amp;" "&amp;T21&amp;" is less than F06-10"&amp;CHAR(10),""),IF(U320&lt;U292," * F06-16 for Age "&amp;T20&amp;" "&amp;U21&amp;" is less than F06-10"&amp;CHAR(10),""),IF(V320&lt;V292," * F06-16 for Age "&amp;V20&amp;" "&amp;V21&amp;" is less than F06-10"&amp;CHAR(10),""),IF(W320&lt;W292," * F06-16 for Age "&amp;V20&amp;" "&amp;W21&amp;" is less than F06-10"&amp;CHAR(10),""),IF(X320&lt;X292," * F06-16 for Age "&amp;X20&amp;" "&amp;X21&amp;" is less than F06-10"&amp;CHAR(10),""),IF(Y320&lt;Y292," * F06-16 for Age "&amp;X20&amp;" "&amp;Y21&amp;" is less than F06-10"&amp;CHAR(10),""),IF(Z320&lt;Z292," * F06-16 for Age "&amp;Z20&amp;" "&amp;Z21&amp;" is less than F06-10"&amp;CHAR(10),""),IF(AA320&lt;AA292," * F06-16 for Age "&amp;Z20&amp;" "&amp;AA21&amp;" is less than F06-10"&amp;CHAR(10),""),IF(AJ320&lt;AJ292," * Total F06-16 is less than Total F06-10"&amp;CHAR(10),""))</f>
        <v/>
      </c>
      <c r="AN320" s="1269"/>
      <c r="AO320" s="13">
        <v>237</v>
      </c>
      <c r="AP320" s="74"/>
      <c r="AQ320" s="75"/>
    </row>
    <row r="321" spans="1:43" ht="27" thickBot="1" x14ac:dyDescent="0.45">
      <c r="A321" s="1022"/>
      <c r="B321" s="3" t="s">
        <v>501</v>
      </c>
      <c r="C321" s="610" t="s">
        <v>505</v>
      </c>
      <c r="D321" s="706"/>
      <c r="E321" s="706"/>
      <c r="F321" s="706"/>
      <c r="G321" s="706"/>
      <c r="H321" s="706"/>
      <c r="I321" s="706"/>
      <c r="J321" s="740"/>
      <c r="K321" s="728"/>
      <c r="L321" s="706"/>
      <c r="M321" s="711"/>
      <c r="N321" s="706"/>
      <c r="O321" s="711"/>
      <c r="P321" s="706"/>
      <c r="Q321" s="711"/>
      <c r="R321" s="706"/>
      <c r="S321" s="711"/>
      <c r="T321" s="706"/>
      <c r="U321" s="711"/>
      <c r="V321" s="706"/>
      <c r="W321" s="711"/>
      <c r="X321" s="706"/>
      <c r="Y321" s="711"/>
      <c r="Z321" s="706"/>
      <c r="AA321" s="726">
        <f t="shared" si="137"/>
        <v>0</v>
      </c>
      <c r="AB321" s="745"/>
      <c r="AC321" s="712"/>
      <c r="AD321" s="711"/>
      <c r="AE321" s="712"/>
      <c r="AF321" s="711"/>
      <c r="AG321" s="712"/>
      <c r="AH321" s="713"/>
      <c r="AI321" s="710"/>
      <c r="AJ321" s="624">
        <f t="shared" si="138"/>
        <v>0</v>
      </c>
      <c r="AK321" s="116" t="str">
        <f>CONCATENATE(IF(D321&gt;D294," * Retest Start HAART at PNC &lt; = 6 weeks for Age "&amp;D20&amp;" "&amp;D21&amp;" is more than Retesting positive result at PNC &lt; = 6 weeks"&amp;CHAR(10),""),IF(E321&gt;E294," * Retest Start HAART at PNC &lt; = 6 weeks for Age "&amp;D20&amp;" "&amp;E21&amp;" is more than Retesting positive result at PNC &lt; = 6 weeks"&amp;CHAR(10),""),IF(F321&gt;F294," * Retest Start HAART at PNC &lt; = 6 weeks for Age "&amp;F20&amp;" "&amp;F21&amp;" is more than Retesting positive result at PNC &lt; = 6 weeks"&amp;CHAR(10),""),IF(G321&gt;G294," * Retest Start HAART at PNC &lt; = 6 weeks for Age "&amp;F20&amp;" "&amp;G21&amp;" is more than Retesting positive result at PNC &lt; = 6 weeks"&amp;CHAR(10),""),IF(H321&gt;H294," * Retest Start HAART at PNC &lt; = 6 weeks for Age "&amp;H20&amp;" "&amp;H21&amp;" is more than Retesting positive result at PNC &lt; = 6 weeks"&amp;CHAR(10),""),IF(I321&gt;I294," * Retest Start HAART at PNC &lt; = 6 weeks for Age "&amp;H20&amp;" "&amp;I21&amp;" is more than Retesting positive result at PNC &lt; = 6 weeks"&amp;CHAR(10),""),IF(J321&gt;J294," * Retest Start HAART at PNC &lt; = 6 weeks for Age "&amp;J20&amp;" "&amp;J21&amp;" is more than Retesting positive result at PNC &lt; = 6 weeks"&amp;CHAR(10),""),IF(K321&gt;K294," * Retest Start HAART at PNC &lt; = 6 weeks for Age "&amp;J20&amp;" "&amp;K21&amp;" is more than Retesting positive result at PNC &lt; = 6 weeks"&amp;CHAR(10),""),IF(L321&gt;L294," * Retest Start HAART at PNC &lt; = 6 weeks for Age "&amp;L20&amp;" "&amp;L21&amp;" is more than Retesting positive result at PNC &lt; = 6 weeks"&amp;CHAR(10),""),IF(M321&gt;M294," * Retest Start HAART at PNC &lt; = 6 weeks for Age "&amp;L20&amp;" "&amp;M21&amp;" is more than Retesting positive result at PNC &lt; = 6 weeks"&amp;CHAR(10),""),IF(N321&gt;N294," * Retest Start HAART at PNC &lt; = 6 weeks for Age "&amp;N20&amp;" "&amp;N21&amp;" is more than Retesting positive result at PNC &lt; = 6 weeks"&amp;CHAR(10),""),IF(O321&gt;O294," * Retest Start HAART at PNC &lt; = 6 weeks for Age "&amp;N20&amp;" "&amp;O21&amp;" is more than Retesting positive result at PNC &lt; = 6 weeks"&amp;CHAR(10),""),IF(P321&gt;P294," * Retest Start HAART at PNC &lt; = 6 weeks for Age "&amp;P20&amp;" "&amp;P21&amp;" is more than Retesting positive result at PNC &lt; = 6 weeks"&amp;CHAR(10),""),IF(Q321&gt;Q294," * Retest Start HAART at PNC &lt; = 6 weeks for Age "&amp;P20&amp;" "&amp;Q21&amp;" is more than Retesting positive result at PNC &lt; = 6 weeks"&amp;CHAR(10),""),IF(R321&gt;R294," * Retest Start HAART at PNC &lt; = 6 weeks for Age "&amp;R20&amp;" "&amp;R21&amp;" is more than Retesting positive result at PNC &lt; = 6 weeks"&amp;CHAR(10),""),IF(S321&gt;S294," * Retest Start HAART at PNC &lt; = 6 weeks for Age "&amp;R20&amp;" "&amp;S21&amp;" is more than Retesting positive result at PNC &lt; = 6 weeks"&amp;CHAR(10),""),IF(T321&gt;T294," * Retest Start HAART at PNC &lt; = 6 weeks for Age "&amp;T20&amp;" "&amp;T21&amp;" is more than Retesting positive result at PNC &lt; = 6 weeks"&amp;CHAR(10),""),IF(U321&gt;U294," * Retest Start HAART at PNC &lt; = 6 weeks for Age "&amp;T20&amp;" "&amp;U21&amp;" is more than Retesting positive result at PNC &lt; = 6 weeks"&amp;CHAR(10),""),IF(V321&gt;V294," * Retest Start HAART at PNC &lt; = 6 weeks for Age "&amp;V20&amp;" "&amp;V21&amp;" is more than Retesting positive result at PNC &lt; = 6 weeks"&amp;CHAR(10),""),IF(W321&gt;W294," * Retest Start HAART at PNC &lt; = 6 weeks for Age "&amp;V20&amp;" "&amp;W21&amp;" is more than Retesting positive result at PNC &lt; = 6 weeks"&amp;CHAR(10),""),IF(X321&gt;X294," * Retest Start HAART at PNC &lt; = 6 weeks for Age "&amp;X20&amp;" "&amp;X21&amp;" is more than Retesting positive result at PNC &lt; = 6 weeks"&amp;CHAR(10),""),IF(Y321&gt;Y294," * Retest Start HAART at PNC &lt; = 6 weeks for Age "&amp;X20&amp;" "&amp;Y21&amp;" is more than Retesting positive result at PNC &lt; = 6 weeks"&amp;CHAR(10),""),IF(Z321&gt;Z294," * Retest Start HAART at PNC &lt; = 6 weeks for Age "&amp;Z20&amp;" "&amp;Z21&amp;" is more than Retesting positive result at PNC &lt; = 6 weeks"&amp;CHAR(10),""),IF(AA321&gt;AA294," * Retest Start HAART at PNC &lt; = 6 weeks for Age "&amp;Z20&amp;" "&amp;AA21&amp;" is more than Retesting positive result at PNC &lt; = 6 weeks"&amp;CHAR(10),""))</f>
        <v/>
      </c>
      <c r="AL321" s="1278"/>
      <c r="AM321" s="31"/>
      <c r="AN321" s="1269"/>
      <c r="AO321" s="13">
        <v>238</v>
      </c>
      <c r="AP321" s="74"/>
      <c r="AQ321" s="75"/>
    </row>
    <row r="322" spans="1:43" s="61" customFormat="1" ht="26.25" x14ac:dyDescent="0.4">
      <c r="A322" s="1022"/>
      <c r="B322" s="724" t="s">
        <v>1276</v>
      </c>
      <c r="C322" s="609" t="s">
        <v>506</v>
      </c>
      <c r="D322" s="698"/>
      <c r="E322" s="698"/>
      <c r="F322" s="698"/>
      <c r="G322" s="698"/>
      <c r="H322" s="698"/>
      <c r="I322" s="698"/>
      <c r="J322" s="741"/>
      <c r="K322" s="749"/>
      <c r="L322" s="698"/>
      <c r="M322" s="699"/>
      <c r="N322" s="698"/>
      <c r="O322" s="699"/>
      <c r="P322" s="698"/>
      <c r="Q322" s="699"/>
      <c r="R322" s="698"/>
      <c r="S322" s="699"/>
      <c r="T322" s="698"/>
      <c r="U322" s="699"/>
      <c r="V322" s="698"/>
      <c r="W322" s="699"/>
      <c r="X322" s="698"/>
      <c r="Y322" s="699"/>
      <c r="Z322" s="698"/>
      <c r="AA322" s="750">
        <f t="shared" si="137"/>
        <v>0</v>
      </c>
      <c r="AB322" s="640"/>
      <c r="AC322" s="704"/>
      <c r="AD322" s="638"/>
      <c r="AE322" s="704"/>
      <c r="AF322" s="638"/>
      <c r="AG322" s="704"/>
      <c r="AH322" s="639"/>
      <c r="AI322" s="710"/>
      <c r="AJ322" s="624">
        <f t="shared" si="138"/>
        <v>0</v>
      </c>
      <c r="AK322" s="116" t="str">
        <f>CONCATENATE(IF(D322&gt;D296," * Initial Start HAART at PNC  &gt; 6 weeks for Age "&amp;D20&amp;" "&amp;D21&amp;" is more than Initial Tested Positive  at PNC  &gt; 6 weeks"&amp;CHAR(10),""),IF(E322&gt;E296," * Initial Start HAART at PNC  &gt; 6 weeks for Age "&amp;D20&amp;" "&amp;E21&amp;" is more than Initial Tested Positive  at PNC  &gt; 6 weeks"&amp;CHAR(10),""),IF(F322&gt;F296," * Initial Start HAART at PNC  &gt; 6 weeks for Age "&amp;F20&amp;" "&amp;F21&amp;" is more than Initial Tested Positive  at PNC  &gt; 6 weeks"&amp;CHAR(10),""),IF(G322&gt;G296," * Initial Start HAART at PNC  &gt; 6 weeks for Age "&amp;F20&amp;" "&amp;G21&amp;" is more than Initial Tested Positive  at PNC  &gt; 6 weeks"&amp;CHAR(10),""),IF(H322&gt;H296," * Initial Start HAART at PNC  &gt; 6 weeks for Age "&amp;H20&amp;" "&amp;H21&amp;" is more than Initial Tested Positive  at PNC  &gt; 6 weeks"&amp;CHAR(10),""),IF(I322&gt;I296," * Initial Start HAART at PNC  &gt; 6 weeks for Age "&amp;H20&amp;" "&amp;I21&amp;" is more than Initial Tested Positive  at PNC  &gt; 6 weeks"&amp;CHAR(10),""),IF(J322&gt;J296," * Initial Start HAART at PNC  &gt; 6 weeks for Age "&amp;J20&amp;" "&amp;J21&amp;" is more than Initial Tested Positive  at PNC  &gt; 6 weeks"&amp;CHAR(10),""),IF(K322&gt;K296," * Initial Start HAART at PNC  &gt; 6 weeks for Age "&amp;J20&amp;" "&amp;K21&amp;" is more than Initial Tested Positive  at PNC  &gt; 6 weeks"&amp;CHAR(10),""),IF(L322&gt;L296," * Initial Start HAART at PNC  &gt; 6 weeks for Age "&amp;L20&amp;" "&amp;L21&amp;" is more than Initial Tested Positive  at PNC  &gt; 6 weeks"&amp;CHAR(10),""),IF(M322&gt;M296," * Initial Start HAART at PNC  &gt; 6 weeks for Age "&amp;L20&amp;" "&amp;M21&amp;" is more than Initial Tested Positive  at PNC  &gt; 6 weeks"&amp;CHAR(10),""),IF(N322&gt;N296," * Initial Start HAART at PNC  &gt; 6 weeks for Age "&amp;N20&amp;" "&amp;N21&amp;" is more than Initial Tested Positive  at PNC  &gt; 6 weeks"&amp;CHAR(10),""),IF(O322&gt;O296," * Initial Start HAART at PNC  &gt; 6 weeks for Age "&amp;N20&amp;" "&amp;O21&amp;" is more than Initial Tested Positive  at PNC  &gt; 6 weeks"&amp;CHAR(10),""),IF(P322&gt;P296," * Initial Start HAART at PNC  &gt; 6 weeks for Age "&amp;P20&amp;" "&amp;P21&amp;" is more than Initial Tested Positive  at PNC  &gt; 6 weeks"&amp;CHAR(10),""),IF(Q322&gt;Q296," * Initial Start HAART at PNC  &gt; 6 weeks for Age "&amp;P20&amp;" "&amp;Q21&amp;" is more than Initial Tested Positive  at PNC  &gt; 6 weeks"&amp;CHAR(10),""),IF(R322&gt;R296," * Initial Start HAART at PNC  &gt; 6 weeks for Age "&amp;R20&amp;" "&amp;R21&amp;" is more than Initial Tested Positive  at PNC  &gt; 6 weeks"&amp;CHAR(10),""),IF(S322&gt;S296," * Initial Start HAART at PNC  &gt; 6 weeks for Age "&amp;R20&amp;" "&amp;S21&amp;" is more than Initial Tested Positive  at PNC  &gt; 6 weeks"&amp;CHAR(10),""),IF(T322&gt;T296," * Initial Start HAART at PNC  &gt; 6 weeks for Age "&amp;T20&amp;" "&amp;T21&amp;" is more than Initial Tested Positive  at PNC  &gt; 6 weeks"&amp;CHAR(10),""),IF(U322&gt;U296," * Initial Start HAART at PNC  &gt; 6 weeks for Age "&amp;T20&amp;" "&amp;U21&amp;" is more than Initial Tested Positive  at PNC  &gt; 6 weeks"&amp;CHAR(10),""),IF(V322&gt;V296," * Initial Start HAART at PNC  &gt; 6 weeks for Age "&amp;V20&amp;" "&amp;V21&amp;" is more than Initial Tested Positive  at PNC  &gt; 6 weeks"&amp;CHAR(10),""),IF(W322&gt;W296," * Initial Start HAART at PNC  &gt; 6 weeks for Age "&amp;V20&amp;" "&amp;W21&amp;" is more than Initial Tested Positive  at PNC  &gt; 6 weeks"&amp;CHAR(10),""),IF(X322&gt;X296," * Initial Start HAART at PNC  &gt; 6 weeks for Age "&amp;X20&amp;" "&amp;X21&amp;" is more than Initial Tested Positive  at PNC  &gt; 6 weeks"&amp;CHAR(10),""),IF(Y322&gt;Y296," * Initial Start HAART at PNC  &gt; 6 weeks for Age "&amp;X20&amp;" "&amp;Y21&amp;" is more than Initial Tested Positive  at PNC  &gt; 6 weeks"&amp;CHAR(10),""),IF(Z322&gt;Z296," * Initial Start HAART at PNC  &gt; 6 weeks for Age "&amp;Z20&amp;" "&amp;Z21&amp;" is more than Initial Tested Positive  at PNC  &gt; 6 weeks"&amp;CHAR(10),""),IF(AA322&gt;AA296," * Initial Start HAART at PNC  &gt; 6 weeks for Age "&amp;Z20&amp;" "&amp;AA21&amp;" is more than Initial Tested Positive  at PNC  &gt; 6 weeks"&amp;CHAR(10),""))</f>
        <v/>
      </c>
      <c r="AL322" s="1278"/>
      <c r="AM322" s="60"/>
      <c r="AN322" s="1269"/>
      <c r="AO322" s="13">
        <v>239</v>
      </c>
      <c r="AP322" s="80"/>
      <c r="AQ322" s="75"/>
    </row>
    <row r="323" spans="1:43" s="61" customFormat="1" ht="27" thickBot="1" x14ac:dyDescent="0.45">
      <c r="A323" s="1023"/>
      <c r="B323" s="3" t="s">
        <v>1275</v>
      </c>
      <c r="C323" s="716" t="s">
        <v>1274</v>
      </c>
      <c r="D323" s="718"/>
      <c r="E323" s="718"/>
      <c r="F323" s="718"/>
      <c r="G323" s="718"/>
      <c r="H323" s="718"/>
      <c r="I323" s="718"/>
      <c r="J323" s="742"/>
      <c r="K323" s="751"/>
      <c r="L323" s="718"/>
      <c r="M323" s="719"/>
      <c r="N323" s="718"/>
      <c r="O323" s="719"/>
      <c r="P323" s="718"/>
      <c r="Q323" s="719"/>
      <c r="R323" s="718"/>
      <c r="S323" s="719"/>
      <c r="T323" s="718"/>
      <c r="U323" s="719"/>
      <c r="V323" s="718"/>
      <c r="W323" s="719"/>
      <c r="X323" s="718"/>
      <c r="Y323" s="719"/>
      <c r="Z323" s="718"/>
      <c r="AA323" s="752">
        <f t="shared" si="137"/>
        <v>0</v>
      </c>
      <c r="AB323" s="745"/>
      <c r="AC323" s="712"/>
      <c r="AD323" s="711"/>
      <c r="AE323" s="712"/>
      <c r="AF323" s="711"/>
      <c r="AG323" s="712"/>
      <c r="AH323" s="713"/>
      <c r="AI323" s="710"/>
      <c r="AJ323" s="624">
        <f t="shared" ref="AJ323" si="139">SUM(D323:AA323)</f>
        <v>0</v>
      </c>
      <c r="AK323" s="608" t="str">
        <f>CONCATENATE(IF(D323&gt;D298," * Retest Start HAART at PNC &gt; 6 weeks to 6 months for Age "&amp;D21&amp;" "&amp;D22&amp;" is more than  Retesting positive result at PNC &gt; 6 weeks to 6 months"&amp;CHAR(10),""),IF(E323&gt;E298," * Retest Start HAART at PNC &gt; 6 weeks to 6 months for Age "&amp;D21&amp;" "&amp;E22&amp;" is more than  Retesting positive result at PNC &gt; 6 weeks to 6 months"&amp;CHAR(10),""),IF(F323&gt;F298," * Retest Start HAART at PNC &gt; 6 weeks to 6 months for Age "&amp;F21&amp;" "&amp;F22&amp;" is more than  Retesting positive result at PNC &gt; 6 weeks to 6 months"&amp;CHAR(10),""),IF(G323&gt;G298," * Retest Start HAART at PNC &gt; 6 weeks to 6 months for Age "&amp;F21&amp;" "&amp;G22&amp;" is more than  Retesting positive result at PNC &gt; 6 weeks to 6 months"&amp;CHAR(10),""),IF(H323&gt;H298," * Retest Start HAART at PNC &gt; 6 weeks to 6 months for Age "&amp;H21&amp;" "&amp;H22&amp;" is more than  Retesting positive result at PNC &gt; 6 weeks to 6 months"&amp;CHAR(10),""),IF(I323&gt;I298," * Retest Start HAART at PNC &gt; 6 weeks to 6 months for Age "&amp;H21&amp;" "&amp;I22&amp;" is more than  Retesting positive result at PNC &gt; 6 weeks to 6 months"&amp;CHAR(10),""),IF(J323&gt;J298," * Retest Start HAART at PNC &gt; 6 weeks to 6 months for Age "&amp;J21&amp;" "&amp;J22&amp;" is more than  Retesting positive result at PNC &gt; 6 weeks to 6 months"&amp;CHAR(10),""),IF(K323&gt;K298," * Retest Start HAART at PNC &gt; 6 weeks to 6 months for Age "&amp;J21&amp;" "&amp;K22&amp;" is more than  Retesting positive result at PNC &gt; 6 weeks to 6 months"&amp;CHAR(10),""),IF(L323&gt;L298," * Retest Start HAART at PNC &gt; 6 weeks to 6 months for Age "&amp;L21&amp;" "&amp;L22&amp;" is more than  Retesting positive result at PNC &gt; 6 weeks to 6 months"&amp;CHAR(10),""),IF(M323&gt;M298," * Retest Start HAART at PNC &gt; 6 weeks to 6 months for Age "&amp;L21&amp;" "&amp;M22&amp;" is more than  Retesting positive result at PNC &gt; 6 weeks to 6 months"&amp;CHAR(10),""),IF(N323&gt;N298," * Retest Start HAART at PNC &gt; 6 weeks to 6 months for Age "&amp;N21&amp;" "&amp;N22&amp;" is more than  Retesting positive result at PNC &gt; 6 weeks to 6 months"&amp;CHAR(10),""),IF(O323&gt;O298," * Retest Start HAART at PNC &gt; 6 weeks to 6 months for Age "&amp;N21&amp;" "&amp;O22&amp;" is more than  Retesting positive result at PNC &gt; 6 weeks to 6 months"&amp;CHAR(10),""),IF(P323&gt;P298," * Retest Start HAART at PNC &gt; 6 weeks to 6 months for Age "&amp;P21&amp;" "&amp;P22&amp;" is more than  Retesting positive result at PNC &gt; 6 weeks to 6 months"&amp;CHAR(10),""),IF(Q323&gt;Q298," * Retest Start HAART at PNC &gt; 6 weeks to 6 months for Age "&amp;P21&amp;" "&amp;Q22&amp;" is more than  Retesting positive result at PNC &gt; 6 weeks to 6 months"&amp;CHAR(10),""),IF(R323&gt;R298," * Retest Start HAART at PNC &gt; 6 weeks to 6 months for Age "&amp;R21&amp;" "&amp;R22&amp;" is more than  Retesting positive result at PNC &gt; 6 weeks to 6 months"&amp;CHAR(10),""),IF(S323&gt;S298," * Retest Start HAART at PNC &gt; 6 weeks to 6 months for Age "&amp;R21&amp;" "&amp;S22&amp;" is more than  Retesting positive result at PNC &gt; 6 weeks to 6 months"&amp;CHAR(10),""),IF(T323&gt;T298," * Retest Start HAART at PNC &gt; 6 weeks to 6 months for Age "&amp;T21&amp;" "&amp;T22&amp;" is more than  Retesting positive result at PNC &gt; 6 weeks to 6 months"&amp;CHAR(10),""),IF(U323&gt;U298," * Retest Start HAART at PNC &gt; 6 weeks to 6 months for Age "&amp;T21&amp;" "&amp;U22&amp;" is more than  Retesting positive result at PNC &gt; 6 weeks to 6 months"&amp;CHAR(10),""),IF(V323&gt;V298," * Retest Start HAART at PNC &gt; 6 weeks to 6 months for Age "&amp;V21&amp;" "&amp;V22&amp;" is more than  Retesting positive result at PNC &gt; 6 weeks to 6 months"&amp;CHAR(10),""),IF(W323&gt;W298," * Retest Start HAART at PNC &gt; 6 weeks to 6 months for Age "&amp;V21&amp;" "&amp;W22&amp;" is more than  Retesting positive result at PNC &gt; 6 weeks to 6 months"&amp;CHAR(10),""),IF(X323&gt;X298," * Retest Start HAART at PNC &gt; 6 weeks to 6 months for Age "&amp;X21&amp;" "&amp;X22&amp;" is more than  Retesting positive result at PNC &gt; 6 weeks to 6 months"&amp;CHAR(10),""),IF(Y323&gt;Y298," * Retest Start HAART at PNC &gt; 6 weeks to 6 months for Age "&amp;X21&amp;" "&amp;Y22&amp;" is more than  Retesting positive result at PNC &gt; 6 weeks to 6 months"&amp;CHAR(10),""),IF(Z323&gt;Z298," * Retest Start HAART at PNC &gt; 6 weeks to 6 months for Age "&amp;Z21&amp;" "&amp;Z22&amp;" is more than  Retesting positive result at PNC &gt; 6 weeks to 6 months"&amp;CHAR(10),""),IF(AA323&gt;AA298," * Retest Start HAART at PNC &gt; 6 weeks to 6 months for Age "&amp;Z21&amp;" "&amp;AA22&amp;" is more than  Retesting positive result at PNC &gt; 6 weeks to 6 months"&amp;CHAR(10),""))</f>
        <v/>
      </c>
      <c r="AL323" s="1278"/>
      <c r="AM323" s="60"/>
      <c r="AN323" s="1269"/>
      <c r="AO323" s="13">
        <v>239</v>
      </c>
      <c r="AP323" s="80"/>
      <c r="AQ323" s="75"/>
    </row>
    <row r="324" spans="1:43" ht="27" thickBot="1" x14ac:dyDescent="0.45">
      <c r="A324" s="670" t="s">
        <v>287</v>
      </c>
      <c r="B324" s="671" t="s">
        <v>287</v>
      </c>
      <c r="C324" s="691" t="s">
        <v>374</v>
      </c>
      <c r="D324" s="720"/>
      <c r="E324" s="721"/>
      <c r="F324" s="721"/>
      <c r="G324" s="721"/>
      <c r="H324" s="721"/>
      <c r="I324" s="721"/>
      <c r="J324" s="743"/>
      <c r="K324" s="753"/>
      <c r="L324" s="721"/>
      <c r="M324" s="722"/>
      <c r="N324" s="721"/>
      <c r="O324" s="722"/>
      <c r="P324" s="721"/>
      <c r="Q324" s="722"/>
      <c r="R324" s="721"/>
      <c r="S324" s="722"/>
      <c r="T324" s="721"/>
      <c r="U324" s="722"/>
      <c r="V324" s="721"/>
      <c r="W324" s="722"/>
      <c r="X324" s="721"/>
      <c r="Y324" s="722"/>
      <c r="Z324" s="721"/>
      <c r="AA324" s="723"/>
      <c r="AB324" s="729"/>
      <c r="AC324" s="730"/>
      <c r="AD324" s="730"/>
      <c r="AE324" s="730"/>
      <c r="AF324" s="730"/>
      <c r="AG324" s="730"/>
      <c r="AH324" s="731"/>
      <c r="AI324" s="710"/>
      <c r="AJ324" s="624">
        <f t="shared" si="138"/>
        <v>0</v>
      </c>
      <c r="AK324" s="116"/>
      <c r="AL324" s="1278"/>
      <c r="AM324" s="31"/>
      <c r="AN324" s="1269"/>
      <c r="AO324" s="13">
        <v>240</v>
      </c>
      <c r="AP324" s="74"/>
      <c r="AQ324" s="75"/>
    </row>
    <row r="325" spans="1:43" s="61" customFormat="1" ht="26.25" x14ac:dyDescent="0.4">
      <c r="A325" s="1247" t="s">
        <v>1005</v>
      </c>
      <c r="B325" s="69" t="s">
        <v>696</v>
      </c>
      <c r="C325" s="690" t="s">
        <v>375</v>
      </c>
      <c r="D325" s="732"/>
      <c r="E325" s="703"/>
      <c r="F325" s="703"/>
      <c r="G325" s="703"/>
      <c r="H325" s="703"/>
      <c r="I325" s="703"/>
      <c r="J325" s="738"/>
      <c r="K325" s="727"/>
      <c r="L325" s="703"/>
      <c r="M325" s="638"/>
      <c r="N325" s="703"/>
      <c r="O325" s="638"/>
      <c r="P325" s="703"/>
      <c r="Q325" s="638"/>
      <c r="R325" s="703"/>
      <c r="S325" s="638"/>
      <c r="T325" s="703"/>
      <c r="U325" s="638"/>
      <c r="V325" s="703"/>
      <c r="W325" s="638"/>
      <c r="X325" s="703"/>
      <c r="Y325" s="638"/>
      <c r="Z325" s="703"/>
      <c r="AA325" s="733"/>
      <c r="AB325" s="746"/>
      <c r="AC325" s="703"/>
      <c r="AD325" s="703"/>
      <c r="AE325" s="703"/>
      <c r="AF325" s="703"/>
      <c r="AG325" s="703"/>
      <c r="AH325" s="733"/>
      <c r="AI325" s="710"/>
      <c r="AJ325" s="624">
        <f t="shared" si="138"/>
        <v>0</v>
      </c>
      <c r="AK325" s="116" t="str">
        <f>CONCATENATE(IF(D325&gt;SUM(D280,D284,D278,D286)," * Infant Prophylaxis ANC for Age "&amp;D20&amp;" "&amp;D21&amp;" is more than Positive at ANC (F06-02+F06-04+F06-06+F06-062)"&amp;CHAR(10),""),IF(E325&gt;SUM(E280,E284,E278,E286)," * Infant Prophylaxis ANC  for Age "&amp;D20&amp;" "&amp;E21&amp;" is more than Positive at ANC (F06-02+F06-04+F06-06+F06-062)"&amp;CHAR(10),""),IF(F325&gt;SUM(F280,F284,F278,F286)," * Infant Prophylaxis ANC  for Age "&amp;F20&amp;" "&amp;F21&amp;" is more than Positive at ANC (F06-02+F06-04+F06-06+F06-062)"&amp;CHAR(10),""),IF(G325&gt;SUM(G280,G284,G278,F286)," * Infant Prophylaxis ANC  for Age "&amp;F20&amp;" "&amp;G21&amp;" is more than Positive at ANC (F06-02+F06-04+F06-06+F06-062)"&amp;CHAR(10),""),IF(H325&gt;SUM(H280,H284,H278)," * Infant Prophylaxis ANC  for Age "&amp;H20&amp;" "&amp;H21&amp;" is more than Positive at ANC (F06-02+F06-04+F06-06+F06-062)"&amp;CHAR(10),""),IF(I325&gt;SUM(I280,I284,I278)," * Infant Prophylaxis ANC  for Age "&amp;H20&amp;" "&amp;I21&amp;" is more than Positive at ANC (F06-02+F06-04+F06-06+F06-062)"&amp;CHAR(10),""),IF(J325&gt;SUM(J280,J284,J278)," * Infant Prophylaxis ANC  for Age "&amp;J20&amp;" "&amp;J21&amp;" is more than Positive at ANC (F06-02+F06-04+F06-06+F06-062)"&amp;CHAR(10),""),IF(K325&gt;SUM(K280,K284,K278,K286)," * Infant Prophylaxis ANC  for Age "&amp;J20&amp;" "&amp;K21&amp;" is more than Positive at ANC (F06-02+F06-04+F06-06+F06-062)"&amp;CHAR(10),""),IF(L325&gt;SUM(L280,L284,L278,L286)," * Infant Prophylaxis ANC  for Age "&amp;L20&amp;" "&amp;L21&amp;" is more than Positive at ANC (F06-02+F06-04+F06-06+F06-062)"&amp;CHAR(10),""),IF(M325&gt;SUM(M280,M284,M278,M286)," * Infant Prophylaxis ANC  for Age "&amp;L20&amp;" "&amp;M21&amp;" is more than Positive at ANC (F06-02+F06-04+F06-06+F06-062)"&amp;CHAR(10),""),IF(N325&gt;SUM(N280,N284,N278,N286)," * Infant Prophylaxis ANC  for Age "&amp;N20&amp;" "&amp;N21&amp;" is more than Positive at ANC (F06-02+F06-04+F06-06+F06-062)"&amp;CHAR(10),""),IF(O325&gt;SUM(O280,O284,O278,O286)," * Infant Prophylaxis ANC  for Age "&amp;N20&amp;" "&amp;O21&amp;" is more than Positive at ANC (F06-02+F06-04+F06-06+F06-062)"&amp;CHAR(10),""),IF(P325&gt;SUM(P280,P284,P278,P286)," * Infant Prophylaxis ANC  for Age "&amp;P20&amp;" "&amp;P21&amp;" is more than Positive at ANC (F06-02+F06-04+F06-06+F06-062)"&amp;CHAR(10),""),IF(Q325&gt;SUM(Q280,Q284,Q278,Q286)," * Infant Prophylaxis ANC  for Age "&amp;P20&amp;" "&amp;Q21&amp;" is more than Positive at ANC (F06-02+F06-04+F06-06+F06-062)"&amp;CHAR(10),""),IF(R325&gt;SUM(R280,R284,R278,R286)," * Infant Prophylaxis ANC  for Age "&amp;R20&amp;" "&amp;R21&amp;" is more than Positive at ANC (F06-02+F06-04+F06-06+F06-062)"&amp;CHAR(10),""),IF(S325&gt;SUM(S280,S284,S278,S286)," * Infant Prophylaxis ANC  for Age "&amp;R20&amp;" "&amp;S21&amp;" is more than Positive at ANC (F06-02+F06-04+F06-06+F06-062)"&amp;CHAR(10),""),IF(T325&gt;SUM(T280,T284,T278,T286)," * Infant Prophylaxis ANC  for Age "&amp;T20&amp;" "&amp;T21&amp;" is more than Positive at ANC (F06-02+F06-04+F06-06+F06-062)"&amp;CHAR(10),""),IF(U325&gt;SUM(U280,U284,U278,U286)," * Infant Prophylaxis ANC  for Age "&amp;T20&amp;" "&amp;U21&amp;" is more than Positive at ANC (F06-02+F06-04+F06-06+F06-062)"&amp;CHAR(10),""),IF(V325&gt;SUM(V280,V284,V278,V286)," * Infant Prophylaxis ANC  for Age "&amp;V20&amp;" "&amp;V21&amp;" is more than Positive at ANC (F06-02+F06-04+F06-06+F06-062)"&amp;CHAR(10),""),IF(W325&gt;SUM(W280,W284,W278,W286)," * Infant Prophylaxis ANC  for Age "&amp;V20&amp;" "&amp;W21&amp;" is more than Positive at ANC (F06-02+F06-04+F06-06+F06-062)"&amp;CHAR(10),""),IF(X325&gt;SUM(X280,X284,X278,X286)," * Infant Prophylaxis ANC  for Age "&amp;X20&amp;" "&amp;X21&amp;" is more than Positive at ANC (F06-02+F06-04+F06-06+F06-062)"&amp;CHAR(10),""),IF(Y325&gt;SUM(Y280,Y284,Y278,Y286)," * Infant Prophylaxis ANC  for Age "&amp;X20&amp;" "&amp;Y21&amp;" is more than Positive at ANC (F06-02+F06-04+F06-06+F06-062)"&amp;CHAR(10),""),IF(Z325&gt;SUM(Z280,Z284,Z278,Z286)," * Infant Prophylaxis ANC  for Age "&amp;Z20&amp;" "&amp;Z21&amp;" is more than Positive at ANC (F06-02+F06-04+F06-06+F06-062)"&amp;CHAR(10),""),IF(AA325&gt;SUM(AA280,AA284,AA278,AA286)," * Infant Prophylaxis ANC  for Age "&amp;Z20&amp;" "&amp;AA21&amp;" is more than Positive at ANC (F06-02+F06-04+F06-06+F06-062)"&amp;CHAR(10),""))</f>
        <v/>
      </c>
      <c r="AL325" s="1278"/>
      <c r="AM325" s="60" t="str">
        <f>CONCATENATE(IF(D325&lt;SUM(D280,D278,D284,D286)," * Sum of (KP at 1st ANC +New positive at ANC1 + New positive at ANC2 or More+Retesting positive Result at ANC2 or More) for Age "&amp;D20&amp;" "&amp;D21&amp;" is greater than Infant Prophylaxis ANC"&amp;CHAR(10),""),IF(E325&lt;SUM(E280,E278,E284,E286)," * Sum of (KP at 1st ANC +New positive at ANC1 + New positive at ANC2 or More+Retesting positive Result at ANC2 or More) for Age "&amp;D20&amp;" "&amp;E21&amp;" is greater than Infant Prophylaxis ANC"&amp;CHAR(10),""),IF(F325&lt;SUM(F280,F278,F284,F286)," * Sum of (KP at 1st ANC +New positive at ANC1 + New positive at ANC2 or More+Retesting positive Result at ANC2 or More) for Age "&amp;F20&amp;" "&amp;F21&amp;" is greater than Infant Prophylaxis ANC"&amp;CHAR(10),""),IF(G325&lt;SUM(G280,G278,G284,G286)," * Sum of (KP at 1st ANC +New positive at ANC1 + New positive at ANC2 or More+Retesting positive Result at ANC2 or More) for Age "&amp;F20&amp;" "&amp;G21&amp;" is greater than Infant Prophylaxis ANC"&amp;CHAR(10),""),IF(H325&lt;SUM(H280,H278,H284,H286)," * Sum of (KP at 1st ANC +New positive at ANC1 + New positive at ANC2 or More+Retesting positive Result at ANC2 or More) for Age "&amp;H20&amp;" "&amp;H21&amp;" is greater than Infant Prophylaxis ANC"&amp;CHAR(10),""),IF(I325&lt;SUM(I280,I278,I284,I286)," * Sum of (KP at 1st ANC +New positive at ANC1 + New positive at ANC2 or More+Retesting positive Result at ANC2 or More) for Age "&amp;H20&amp;" "&amp;I21&amp;" is greater than Infant Prophylaxis ANC"&amp;CHAR(10),""),IF(J325&lt;SUM(J280,J278,J284,J286)," * Sum of (KP at 1st ANC +New positive at ANC1 + New positive at ANC2 or More+Retesting positive Result at ANC2 or More) for Age "&amp;J20&amp;" "&amp;J21&amp;" is greater than Infant Prophylaxis ANC"&amp;CHAR(10),""),IF(K325&lt;SUM(K280,K278,K284,K286)," * Sum of (KP at 1st ANC +New positive at ANC1 + New positive at ANC2 or More+Retesting positive Result at ANC2 or More) for Age "&amp;J20&amp;" "&amp;K21&amp;" is greater than Infant Prophylaxis ANC"&amp;CHAR(10),""),IF(L325&lt;SUM(L280,L278,L284,L286)," * Sum of (KP at 1st ANC +New positive at ANC1 + New positive at ANC2 or More+Retesting positive Result at ANC2 or More) for Age "&amp;L20&amp;" "&amp;L21&amp;" is greater than Infant Prophylaxis ANC"&amp;CHAR(10),""),IF(M325&lt;SUM(M280,M278,M284,M286)," * Sum of (KP at 1st ANC +New positive at ANC1 + New positive at ANC2 or More+Retesting positive Result at ANC2 or More) for Age "&amp;L20&amp;" "&amp;M21&amp;" is greater than Infant Prophylaxis ANC"&amp;CHAR(10),""),IF(N325&lt;SUM(N280,N278,N284,N286)," * Sum of (KP at 1st ANC +New positive at ANC1 + New positive at ANC2 or More+Retesting positive Result at ANC2 or More) for Age "&amp;N20&amp;" "&amp;N21&amp;" is greater than Infant Prophylaxis ANC"&amp;CHAR(10),""),IF(O325&lt;SUM(O280,O278,O284,O286)," * Sum of (KP at 1st ANC +New positive at ANC1 + New positive at ANC2 or More+Retesting positive Result at ANC2 or More) for Age "&amp;N20&amp;" "&amp;O21&amp;" is greater than Infant Prophylaxis ANC"&amp;CHAR(10),""),IF(P325&lt;SUM(P280,P278,P284,P286)," * Sum of (KP at 1st ANC +New positive at ANC1 + New positive at ANC2 or More+Retesting positive Result at ANC2 or More) for Age "&amp;P20&amp;" "&amp;P21&amp;" is greater than Infant Prophylaxis ANC"&amp;CHAR(10),""),IF(Q325&lt;SUM(Q280,Q278,Q284,Q286)," * Sum of (KP at 1st ANC +New positive at ANC1 + New positive at ANC2 or More+Retesting positive Result at ANC2 or More) for Age "&amp;P20&amp;" "&amp;Q21&amp;" is greater than Infant Prophylaxis ANC"&amp;CHAR(10),""),IF(R325&lt;SUM(R280,R278,R284,R286)," * Sum of (KP at 1st ANC +New positive at ANC1 + New positive at ANC2 or More+Retesting positive Result at ANC2 or More) for Age "&amp;R20&amp;" "&amp;R21&amp;" is greater than Infant Prophylaxis ANC"&amp;CHAR(10),""),IF(S325&lt;SUM(S280,S278,S284,S286)," * Sum of (KP at 1st ANC +New positive at ANC1 + New positive at ANC2 or More+Retesting positive Result at ANC2 or More) for Age "&amp;R20&amp;" "&amp;S21&amp;" is greater than Infant Prophylaxis ANC"&amp;CHAR(10),""),IF(T325&lt;SUM(T280,T278,T284&lt;T286)," * Sum of (KP at 1st ANC +New positive at ANC1 + New positive at ANC2 or More+Retesting positive Result at ANC2 or More) for Age "&amp;T20&amp;" "&amp;T21&amp;" is greater than Infant Prophylaxis ANC"&amp;CHAR(10),""),IF(U325&lt;SUM(U280,U278,U284,U286)," * Sum of (KP at 1st ANC +New positive at ANC1 + New positive at ANC2 or More+Retesting positive Result at ANC2 or More) for Age "&amp;T20&amp;" "&amp;U21&amp;" is greater than Infant Prophylaxis ANC"&amp;CHAR(10),""),IF(V325&lt;SUM(V280,V278,V284,V286)," * Sum of (KP at 1st ANC +New positive at ANC1 + New positive at ANC2 or More+Retesting positive Result at ANC2 or More) for Age "&amp;V20&amp;" "&amp;V21&amp;" is greater than Infant Prophylaxis ANC"&amp;CHAR(10),""),IF(W325&lt;SUM(W280,W278,W284,W286)," * Sum of (KP at 1st ANC +New positive at ANC1 + New positive at ANC2 or More+Retesting positive Result at ANC2 or More) for Age "&amp;V20&amp;" "&amp;W21&amp;" is greater than Infant Prophylaxis ANC"&amp;CHAR(10),""),IF(X325&lt;SUM(X280,X278,X284,X286)," * Sum of (KP at 1st ANC +New positive at ANC1 + New positive at ANC2 or More+Retesting positive Result at ANC2 or More) for Age "&amp;X20&amp;" "&amp;X21&amp;" is greater than Infant Prophylaxis ANC"&amp;CHAR(10),""),IF(Y325&lt;SUM(Y280,Y278,Y284,Y286)," * Sum of (KP at 1st ANC +New positive at ANC1 + New positive at ANC2 or More+Retesting positive Result at ANC2 or More) for Age "&amp;X20&amp;" "&amp;Y21&amp;" is greater than Infant Prophylaxis ANC"&amp;CHAR(10),""),IF(Z325&lt;SUM(Z280,Z278,Z284,Z286)," * Sum of (KP at 1st ANC +New positive at ANC1 + New positive at ANC2 or More+Retesting positive Result at ANC2 or More) for Age "&amp;Z20&amp;" "&amp;Z21&amp;" is greater than Infant Prophylaxis ANC"&amp;CHAR(10),""),IF(AA325&lt;SUM(AA280,AA278,AA284,AA286)," * Sum of (KP at 1st ANC +New positive at ANC1 + New positive at ANC2 or More+Retesting positive Result at ANC2 or More) for Age "&amp;Z20&amp;" "&amp;AA21&amp;" is greater than Infant Prophylaxis ANC"&amp;CHAR(10),""))</f>
        <v/>
      </c>
      <c r="AN325" s="1269"/>
      <c r="AO325" s="13">
        <v>241</v>
      </c>
      <c r="AP325" s="80"/>
      <c r="AQ325" s="75"/>
    </row>
    <row r="326" spans="1:43" ht="26.25" x14ac:dyDescent="0.4">
      <c r="A326" s="1248"/>
      <c r="B326" s="76" t="s">
        <v>697</v>
      </c>
      <c r="C326" s="588" t="s">
        <v>376</v>
      </c>
      <c r="D326" s="734"/>
      <c r="E326" s="694"/>
      <c r="F326" s="694"/>
      <c r="G326" s="694"/>
      <c r="H326" s="694"/>
      <c r="I326" s="694"/>
      <c r="J326" s="739"/>
      <c r="K326" s="737"/>
      <c r="L326" s="694"/>
      <c r="M326" s="695"/>
      <c r="N326" s="694"/>
      <c r="O326" s="695"/>
      <c r="P326" s="694"/>
      <c r="Q326" s="695"/>
      <c r="R326" s="694"/>
      <c r="S326" s="695"/>
      <c r="T326" s="694"/>
      <c r="U326" s="695"/>
      <c r="V326" s="694"/>
      <c r="W326" s="695"/>
      <c r="X326" s="694"/>
      <c r="Y326" s="695"/>
      <c r="Z326" s="694"/>
      <c r="AA326" s="735"/>
      <c r="AB326" s="710"/>
      <c r="AC326" s="694"/>
      <c r="AD326" s="694"/>
      <c r="AE326" s="694"/>
      <c r="AF326" s="694"/>
      <c r="AG326" s="694"/>
      <c r="AH326" s="735"/>
      <c r="AI326" s="710"/>
      <c r="AJ326" s="624">
        <f t="shared" si="138"/>
        <v>0</v>
      </c>
      <c r="AK326" s="116" t="str">
        <f>CONCATENATE(IF(D326&gt;(D288+D290)," * Infant Prophylaxis LD for Age "&amp;D20&amp;" "&amp;D21&amp;" is more than Initial LD Positive + Retest LD positive"&amp;CHAR(10),""),IF(E326&gt;(E288+E290)," * Infant Prophylaxis LD for Age "&amp;D20&amp;" "&amp;E21&amp;" is more than Initial LD Positive + Retest LD positive"&amp;CHAR(10),""),IF(F326&gt;(F288+F290)," * Infant Prophylaxis LD for Age "&amp;F20&amp;" "&amp;F21&amp;" is more than Initial LD Positive + Retest LD positive"&amp;CHAR(10),""),IF(G326&gt;(G288+G290)," * Infant Prophylaxis LD for Age "&amp;F20&amp;" "&amp;G21&amp;" is more than Initial LD Positive + Retest LD positive"&amp;CHAR(10),""),IF(H326&gt;(H288+H290)," * Infant Prophylaxis LD for Age "&amp;H20&amp;" "&amp;H21&amp;" is more than Initial LD Positive + Retest LD positive"&amp;CHAR(10),""),IF(I326&gt;(I288+I290)," * Infant Prophylaxis LD for Age "&amp;H20&amp;" "&amp;I21&amp;" is more than Initial LD Positive + Retest LD positive"&amp;CHAR(10),""),IF(J326&gt;(J288+J290)," * Infant Prophylaxis LD for Age "&amp;J20&amp;" "&amp;J21&amp;" is more than Initial LD Positive + Retest LD positive"&amp;CHAR(10),""),IF(K326&gt;(K288+K290)," * Infant Prophylaxis LD for Age "&amp;J20&amp;" "&amp;K21&amp;" is more than Initial LD Positive + Retest LD positive"&amp;CHAR(10),""),IF(L326&gt;(L288+L290)," * Infant Prophylaxis LD for Age "&amp;L20&amp;" "&amp;L21&amp;" is more than Initial LD Positive + Retest LD positive"&amp;CHAR(10),""),IF(M326&gt;(M288+M290)," * Infant Prophylaxis LD for Age "&amp;L20&amp;" "&amp;M21&amp;" is more than Initial LD Positive + Retest LD positive"&amp;CHAR(10),""),IF(N326&gt;(N288+N290)," * Infant Prophylaxis LD for Age "&amp;N20&amp;" "&amp;N21&amp;" is more than Initial LD Positive + Retest LD positive"&amp;CHAR(10),""),IF(O326&gt;(O288+O290)," * Infant Prophylaxis LD for Age "&amp;N20&amp;" "&amp;O21&amp;" is more than Initial LD Positive + Retest LD positive"&amp;CHAR(10),""),IF(P326&gt;(P288+P290)," * Infant Prophylaxis LD for Age "&amp;P20&amp;" "&amp;P21&amp;" is more than Initial LD Positive + Retest LD positive"&amp;CHAR(10),""),IF(Q326&gt;(Q288+Q290)," * Infant Prophylaxis LD for Age "&amp;P20&amp;" "&amp;Q21&amp;" is more than Initial LD Positive + Retest LD positive"&amp;CHAR(10),""),IF(R326&gt;(R288+R290)," * Infant Prophylaxis LD for Age "&amp;R20&amp;" "&amp;R21&amp;" is more than Initial LD Positive + Retest LD positive"&amp;CHAR(10),""),IF(S326&gt;(S288+S290)," * Infant Prophylaxis LD for Age "&amp;R20&amp;" "&amp;S21&amp;" is more than Initial LD Positive + Retest LD positive"&amp;CHAR(10),""),IF(T326&gt;(T288+T290)," * Infant Prophylaxis LD for Age "&amp;T20&amp;" "&amp;T21&amp;" is more than Initial LD Positive + Retest LD positive"&amp;CHAR(10),""),IF(U326&gt;(U288+U290)," * Infant Prophylaxis LD for Age "&amp;T20&amp;" "&amp;U21&amp;" is more than Initial LD Positive + Retest LD positive"&amp;CHAR(10),""),IF(V326&gt;(V288+V290)," * Infant Prophylaxis LD for Age "&amp;V20&amp;" "&amp;V21&amp;" is more than Initial LD Positive + Retest LD positive"&amp;CHAR(10),""),IF(W326&gt;(W288+W290)," * Infant Prophylaxis LD for Age "&amp;V20&amp;" "&amp;W21&amp;" is more than Initial LD Positive + Retest LD positive"&amp;CHAR(10),""),IF(X326&gt;X288," * Infant Prophylaxis LD for Age "&amp;X20&amp;" "&amp;X21&amp;" is more than Initial LD Positive + Retest LD positive"&amp;CHAR(10),""),IF(Y326&gt;(Y288+Y290)," * Infant Prophylaxis LD for Age "&amp;X20&amp;" "&amp;Y21&amp;" is more than Initial LD Positive + Retest LD positive"&amp;CHAR(10),""),IF(Z326&gt;(Z288+Z290)," * Infant Prophylaxis LD for Age "&amp;Z20&amp;" "&amp;Z21&amp;" is more than Initial LD Positive + Retest LD positive"&amp;CHAR(10),""),IF(AA326&gt;(AA288+AA290)," * Infant Prophylaxis LD for Age "&amp;Z20&amp;" "&amp;AA21&amp;" is more than Initial LD Positive + Retest LD positive"&amp;CHAR(10),""),IF(AJ326&gt;(AJ288+AJ290)," * Total Infant Prophylaxis LD is more than Total Initial LD Positive + Retest LD positive"&amp;CHAR(10),""))</f>
        <v/>
      </c>
      <c r="AL326" s="1278"/>
      <c r="AM326" s="31" t="str">
        <f>CONCATENATE(IF(D326&lt;(D288+D290)," * Infant Prophylaxis LD for Age "&amp;D20&amp;" "&amp;D21&amp;" is less than Initial LD Positive + Retest LD positive"&amp;CHAR(10),""),IF(E326&lt;(E288+E290)," * Infant Prophylaxis LD for Age "&amp;D20&amp;" "&amp;E21&amp;" is less than Initial LD Positive + Retest LD positive"&amp;CHAR(10),""),IF(F326&lt;(F288+F290)," * Infant Prophylaxis LD for Age "&amp;F20&amp;" "&amp;F21&amp;" is less than Initial LD Positive + Retest LD positive"&amp;CHAR(10),""),IF(G326&lt;(G288+G290)," * Infant Prophylaxis LD for Age "&amp;F20&amp;" "&amp;G21&amp;" is less than Initial LD Positive + Retest LD positive"&amp;CHAR(10),""),IF(H326&lt;(H288+H290)," * Infant Prophylaxis LD for Age "&amp;H20&amp;" "&amp;H21&amp;" is less than Initial LD Positive + Retest LD positive"&amp;CHAR(10),""),IF(I326&lt;(I288+I290)," * Infant Prophylaxis LD for Age "&amp;H20&amp;" "&amp;I21&amp;" is less than Initial LD Positive + Retest LD positive"&amp;CHAR(10),""),IF(J326&lt;(J288+J290)," * Infant Prophylaxis LD for Age "&amp;J20&amp;" "&amp;J21&amp;" is less than Initial LD Positive + Retest LD positive"&amp;CHAR(10),""),IF(K326&lt;(K288+K290)," * Infant Prophylaxis LD for Age "&amp;J20&amp;" "&amp;K21&amp;" is less than Initial LD Positive + Retest LD positive"&amp;CHAR(10),""),IF(L326&lt;(L288+L290)," * Infant Prophylaxis LD for Age "&amp;L20&amp;" "&amp;L21&amp;" is less than Initial LD Positive + Retest LD positive"&amp;CHAR(10),""),IF(M326&lt;(M288+M290)," * Infant Prophylaxis LD for Age "&amp;L20&amp;" "&amp;M21&amp;" is less than Initial LD Positive + Retest LD positive"&amp;CHAR(10),""),IF(N326&lt;(N288+N290)," * Infant Prophylaxis LD for Age "&amp;N20&amp;" "&amp;N21&amp;" is less than Initial LD Positive + Retest LD positive"&amp;CHAR(10),""),IF(O326&lt;(O288+O290)," * Infant Prophylaxis LD for Age "&amp;N20&amp;" "&amp;O21&amp;" is less than Initial LD Positive + Retest LD positive"&amp;CHAR(10),""),IF(P326&lt;(P288+P290)," * Infant Prophylaxis LD for Age "&amp;P20&amp;" "&amp;P21&amp;" is less than Initial LD Positive + Retest LD positive"&amp;CHAR(10),""),IF(Q326&lt;(Q288+Q290)," * Infant Prophylaxis LD for Age "&amp;P20&amp;" "&amp;Q21&amp;" is less than Initial LD Positive + Retest LD positive"&amp;CHAR(10),""),IF(R326&lt;(R288+R290)," * Infant Prophylaxis LD for Age "&amp;R20&amp;" "&amp;R21&amp;" is less than Initial LD Positive + Retest LD positive"&amp;CHAR(10),""),IF(S326&lt;(S288+S290)," * Infant Prophylaxis LD for Age "&amp;R20&amp;" "&amp;S21&amp;" is less than Initial LD Positive + Retest LD positive"&amp;CHAR(10),""),IF(T326&lt;(T288+T290)," * Infant Prophylaxis LD for Age "&amp;T20&amp;" "&amp;T21&amp;" is less than Initial LD Positive + Retest LD positive"&amp;CHAR(10),""),IF(U326&lt;(U288+U290)," * Infant Prophylaxis LD for Age "&amp;T20&amp;" "&amp;U21&amp;" is less than Initial LD Positive + Retest LD positive"&amp;CHAR(10),""),IF(V326&lt;(V288+V290)," * Infant Prophylaxis LD for Age "&amp;V20&amp;" "&amp;V21&amp;" is less than Initial LD Positive + Retest LD positive"&amp;CHAR(10),""),IF(W326&lt;(W288+W290)," * Infant Prophylaxis LD for Age "&amp;V20&amp;" "&amp;W21&amp;" is less than Initial LD Positive + Retest LD positive"&amp;CHAR(10),""),IF(X326&lt;X288," * Infant Prophylaxis LD for Age "&amp;X20&amp;" "&amp;X21&amp;" is less than Initial LD Positive + Retest LD positive"&amp;CHAR(10),""),IF(Y326&lt;(Y288+Y290)," * Infant Prophylaxis LD for Age "&amp;X20&amp;" "&amp;Y21&amp;" is less than Initial LD Positive + Retest LD positive"&amp;CHAR(10),""),IF(Z326&lt;(Z288+Z290)," * Infant Prophylaxis LD for Age "&amp;Z20&amp;" "&amp;Z21&amp;" is less than Initial LD Positive + Retest LD positive"&amp;CHAR(10),""),IF(AA326&lt;(AA288+AA290)," * Infant Prophylaxis LD for Age "&amp;Z20&amp;" "&amp;AA21&amp;" is less than Initial LD Positive + Retest LD positive"&amp;CHAR(10),""),IF(AJ326&lt;(AJ288+AJ290)," * Total Infant Prophylaxis LD is less than Total Initial LD Positive + Retest LD positive"&amp;CHAR(10),""))</f>
        <v/>
      </c>
      <c r="AN326" s="1269"/>
      <c r="AO326" s="13">
        <v>242</v>
      </c>
      <c r="AP326" s="74"/>
      <c r="AQ326" s="75"/>
    </row>
    <row r="327" spans="1:43" ht="27" thickBot="1" x14ac:dyDescent="0.45">
      <c r="A327" s="1262"/>
      <c r="B327" s="118" t="s">
        <v>698</v>
      </c>
      <c r="C327" s="610" t="s">
        <v>377</v>
      </c>
      <c r="D327" s="736"/>
      <c r="E327" s="706"/>
      <c r="F327" s="706"/>
      <c r="G327" s="706"/>
      <c r="H327" s="706"/>
      <c r="I327" s="706"/>
      <c r="J327" s="740"/>
      <c r="K327" s="728"/>
      <c r="L327" s="706"/>
      <c r="M327" s="711"/>
      <c r="N327" s="706"/>
      <c r="O327" s="711"/>
      <c r="P327" s="706"/>
      <c r="Q327" s="711"/>
      <c r="R327" s="706"/>
      <c r="S327" s="711"/>
      <c r="T327" s="706"/>
      <c r="U327" s="711"/>
      <c r="V327" s="706"/>
      <c r="W327" s="711"/>
      <c r="X327" s="706"/>
      <c r="Y327" s="711"/>
      <c r="Z327" s="706"/>
      <c r="AA327" s="715"/>
      <c r="AB327" s="717"/>
      <c r="AC327" s="706"/>
      <c r="AD327" s="706"/>
      <c r="AE327" s="706"/>
      <c r="AF327" s="706"/>
      <c r="AG327" s="706"/>
      <c r="AH327" s="715"/>
      <c r="AI327" s="710"/>
      <c r="AJ327" s="624">
        <f t="shared" si="138"/>
        <v>0</v>
      </c>
      <c r="AK327" s="122" t="str">
        <f>CONCATENATE(IF(D327&gt;D292+D294," * Infant Prophylaxis PNC &lt; 6 Weeks for Age "&amp;D20&amp;" "&amp;D21&amp;" is more than Positive PNC &lt;= 6 weeks"&amp;CHAR(10),""),IF(E327&gt;E292+E294," * Infant Prophylaxis PNC &lt; 6 Weeks for Age "&amp;D20&amp;" "&amp;E21&amp;" is more than Positive PNC &lt;= 6 weeks"&amp;CHAR(10),""),IF(F327&gt;F292+F294," * Infant Prophylaxis PNC &lt; 6 Weeks for Age "&amp;F20&amp;" "&amp;F21&amp;" is more than Positive PNC &lt;= 6 weeks"&amp;CHAR(10),""),IF(G327&gt;G292+G294," * Infant Prophylaxis PNC &lt; 6 Weeks for Age "&amp;F20&amp;" "&amp;G21&amp;" is more than Positive PNC &lt;= 6 weeks"&amp;CHAR(10),""),IF(H327&gt;H292+H294," * Infant Prophylaxis PNC &lt; 6 Weeks for Age "&amp;H20&amp;" "&amp;H21&amp;" is more than Positive PNC &lt;= 6 weeks"&amp;CHAR(10),""),IF(I327&gt;I292+I294," * Infant Prophylaxis PNC &lt; 6 Weeks for Age "&amp;H20&amp;" "&amp;I21&amp;" is more than Positive PNC &lt;= 6 weeks"&amp;CHAR(10),""),IF(J327&gt;J292+J294," * Infant Prophylaxis PNC &lt; 6 Weeks for Age "&amp;J20&amp;" "&amp;J21&amp;" is more than Positive PNC &lt;= 6 weeks"&amp;CHAR(10),""),IF(K327&gt;K292+K294," * Infant Prophylaxis PNC &lt; 6 Weeks for Age "&amp;J20&amp;" "&amp;K21&amp;" is more than Positive PNC &lt;= 6 weeks"&amp;CHAR(10),""),IF(L327&gt;L292+L294," * Infant Prophylaxis PNC &lt; 6 Weeks for Age "&amp;L20&amp;" "&amp;L21&amp;" is more than Positive PNC &lt;= 6 weeks"&amp;CHAR(10),""),IF(M327&gt;M292+M294," * Infant Prophylaxis PNC &lt; 6 Weeks for Age "&amp;L20&amp;" "&amp;M21&amp;" is more than Positive PNC &lt;= 6 weeks"&amp;CHAR(10),""),IF(N327&gt;N292+N294," * Infant Prophylaxis PNC &lt; 6 Weeks for Age "&amp;N20&amp;" "&amp;N21&amp;" is more than Positive PNC &lt;= 6 weeks"&amp;CHAR(10),""),IF(O327&gt;O292+O294," * Infant Prophylaxis PNC &lt; 6 Weeks for Age "&amp;N20&amp;" "&amp;O21&amp;" is more than Positive PNC &lt;= 6 weeks"&amp;CHAR(10),""),IF(P327&gt;P292+P294," * Infant Prophylaxis PNC &lt; 6 Weeks for Age "&amp;P20&amp;" "&amp;P21&amp;" is more than Positive PNC &lt;= 6 weeks"&amp;CHAR(10),""),IF(Q327&gt;Q292+Q294," * Infant Prophylaxis PNC &lt; 6 Weeks for Age "&amp;P20&amp;" "&amp;Q21&amp;" is more than Positive PNC &lt;= 6 weeks"&amp;CHAR(10),""),IF(R327&gt;R292+R294," * Infant Prophylaxis PNC &lt; 6 Weeks for Age "&amp;R20&amp;" "&amp;R21&amp;" is more than Positive PNC &lt;= 6 weeks"&amp;CHAR(10),""),IF(S327&gt;S292+S294+S294," * Infant Prophylaxis PNC &lt; 6 Weeks for Age "&amp;R20&amp;" "&amp;S21&amp;" is more than Positive PNC &lt;= 6 weeks"&amp;CHAR(10),""),IF(T327&gt;T292+T294," * Infant Prophylaxis PNC &lt; 6 Weeks for Age "&amp;T20&amp;" "&amp;T21&amp;" is more than Positive PNC &lt;= 6 weeks"&amp;CHAR(10),""),IF(U327&gt;U292+U294," * Infant Prophylaxis PNC &lt; 6 Weeks for Age "&amp;T20&amp;" "&amp;U21&amp;" is more than Positive PNC &lt;= 6 weeks"&amp;CHAR(10),""),IF(V327&gt;V292+V294," * Infant Prophylaxis PNC &lt; 6 Weeks for Age "&amp;V20&amp;" "&amp;V21&amp;" is more than Positive PNC &lt;= 6 weeks"&amp;CHAR(10),""),IF(W327&gt;W292+W294," * Infant Prophylaxis PNC &lt; 6 Weeks for Age "&amp;V20&amp;" "&amp;W21&amp;" is more than Positive PNC &lt;= 6 weeks"&amp;CHAR(10),""),IF(X327&gt;X292+X294," * Infant Prophylaxis PNC &lt; 6 Weeks for Age "&amp;X20&amp;" "&amp;X21&amp;" is more than Positive PNC &lt;= 6 weeks"&amp;CHAR(10),""),IF(Y327&gt;Y292+Y294," * Infant Prophylaxis PNC &lt; 6 Weeks for Age "&amp;X20&amp;" "&amp;Y21&amp;" is more than Positive PNC &lt;= 6 weeks"&amp;CHAR(10),""),IF(Z327&gt;Z292+Z294," * Infant Prophylaxis PNC &lt; 6 Weeks for Age "&amp;Z20&amp;" "&amp;Z21&amp;" is more than Positive PNC &lt;= 6 weeks"&amp;CHAR(10),""),IF(AA327&gt;AA292+AA294," * Infant Prophylaxis PNC &lt; 6 Weeks for Age "&amp;Z20&amp;" "&amp;AA21&amp;" is more than Positive PNC &lt;= 6 weeks"&amp;CHAR(10),""))</f>
        <v/>
      </c>
      <c r="AL327" s="1279"/>
      <c r="AM327" s="123" t="str">
        <f>CONCATENATE(IF(D327&lt;D292," * F06-20 for Age "&amp;D20&amp;" "&amp;D21&amp;" is less than F06-10"&amp;CHAR(10),""),IF(E327&lt;E292," * F06-20 for Age "&amp;D20&amp;" "&amp;E21&amp;" is less than F06-10"&amp;CHAR(10),""),IF(F327&lt;F292," * F06-20 for Age "&amp;F20&amp;" "&amp;F21&amp;" is less than F06-10"&amp;CHAR(10),""),IF(G327&lt;G292," * F06-20 for Age "&amp;F20&amp;" "&amp;G21&amp;" is less than F06-10"&amp;CHAR(10),""),IF(H327&lt;H292," * F06-20 for Age "&amp;H20&amp;" "&amp;H21&amp;" is less than F06-10"&amp;CHAR(10),""),IF(I327&lt;I292," * F06-20 for Age "&amp;H20&amp;" "&amp;I21&amp;" is less than F06-10"&amp;CHAR(10),""),IF(J327&lt;J292," * F06-20 for Age "&amp;J20&amp;" "&amp;J21&amp;" is less than F06-10"&amp;CHAR(10),""),IF(K327&lt;K292," * F06-20 for Age "&amp;J20&amp;" "&amp;K21&amp;" is less than F06-10"&amp;CHAR(10),""),IF(L327&lt;L292," * F06-20 for Age "&amp;L20&amp;" "&amp;L21&amp;" is less than F06-10"&amp;CHAR(10),""),IF(M327&lt;M292," * F06-20 for Age "&amp;L20&amp;" "&amp;M21&amp;" is less than F06-10"&amp;CHAR(10),""),IF(N327&lt;N292," * F06-20 for Age "&amp;N20&amp;" "&amp;N21&amp;" is less than F06-10"&amp;CHAR(10),""),IF(O327&lt;O292," * F06-20 for Age "&amp;N20&amp;" "&amp;O21&amp;" is less than F06-10"&amp;CHAR(10),""),IF(P327&lt;P292," * F06-20 for Age "&amp;P20&amp;" "&amp;P21&amp;" is less than F06-10"&amp;CHAR(10),""),IF(Q327&lt;Q292," * F06-20 for Age "&amp;P20&amp;" "&amp;Q21&amp;" is less than F06-10"&amp;CHAR(10),""),IF(R327&lt;R292," * F06-20 for Age "&amp;R20&amp;" "&amp;R21&amp;" is less than F06-10"&amp;CHAR(10),""),IF(S327&lt;S292," * F06-20 for Age "&amp;R20&amp;" "&amp;S21&amp;" is less than F06-10"&amp;CHAR(10),""),IF(T327&lt;T292," * F06-20 for Age "&amp;T20&amp;" "&amp;T21&amp;" is less than F06-10"&amp;CHAR(10),""),IF(U327&lt;U292," * F06-20 for Age "&amp;T20&amp;" "&amp;U21&amp;" is less than F06-10"&amp;CHAR(10),""),IF(V327&lt;V292," * F06-20 for Age "&amp;V20&amp;" "&amp;V21&amp;" is less than F06-10"&amp;CHAR(10),""),IF(W327&lt;W292," * F06-20 for Age "&amp;V20&amp;" "&amp;W21&amp;" is less than F06-10"&amp;CHAR(10),""),IF(X327&lt;X292," * F06-20 for Age "&amp;X20&amp;" "&amp;X21&amp;" is less than F06-10"&amp;CHAR(10),""),IF(Y327&lt;Y292," * F06-20 for Age "&amp;X20&amp;" "&amp;Y21&amp;" is less than F06-10"&amp;CHAR(10),""),IF(Z327&lt;Z292," * F06-20 for Age "&amp;Z20&amp;" "&amp;Z21&amp;" is less than F06-10"&amp;CHAR(10),""),IF(AA327&lt;AA292," * F06-20 for Age "&amp;Z20&amp;" "&amp;AA21&amp;" is less than F06-10"&amp;CHAR(10),""),IF(AJ327&lt;AJ292," * Total F06-20 is less than Total F06-10"&amp;CHAR(10),""))</f>
        <v/>
      </c>
      <c r="AN327" s="1270"/>
      <c r="AO327" s="13">
        <v>243</v>
      </c>
      <c r="AP327" s="74"/>
      <c r="AQ327" s="75"/>
    </row>
    <row r="328" spans="1:43" ht="27" thickBot="1" x14ac:dyDescent="0.45">
      <c r="A328" s="1017" t="s">
        <v>129</v>
      </c>
      <c r="B328" s="1015"/>
      <c r="C328" s="1015"/>
      <c r="D328" s="1013"/>
      <c r="E328" s="1013"/>
      <c r="F328" s="1013"/>
      <c r="G328" s="1013"/>
      <c r="H328" s="1013"/>
      <c r="I328" s="1013"/>
      <c r="J328" s="1013"/>
      <c r="K328" s="1013"/>
      <c r="L328" s="1013"/>
      <c r="M328" s="1013"/>
      <c r="N328" s="1013"/>
      <c r="O328" s="1013"/>
      <c r="P328" s="1013"/>
      <c r="Q328" s="1013"/>
      <c r="R328" s="1013"/>
      <c r="S328" s="1013"/>
      <c r="T328" s="1013"/>
      <c r="U328" s="1013"/>
      <c r="V328" s="1013"/>
      <c r="W328" s="1013"/>
      <c r="X328" s="1013"/>
      <c r="Y328" s="1013"/>
      <c r="Z328" s="1013"/>
      <c r="AA328" s="1013"/>
      <c r="AB328" s="1013"/>
      <c r="AC328" s="1013"/>
      <c r="AD328" s="1013"/>
      <c r="AE328" s="1013"/>
      <c r="AF328" s="1013"/>
      <c r="AG328" s="1013"/>
      <c r="AH328" s="1013"/>
      <c r="AI328" s="1013"/>
      <c r="AJ328" s="1013"/>
      <c r="AK328" s="1015"/>
      <c r="AL328" s="1015"/>
      <c r="AM328" s="1015"/>
      <c r="AN328" s="1016"/>
      <c r="AO328" s="13">
        <v>244</v>
      </c>
      <c r="AP328" s="74"/>
      <c r="AQ328" s="75"/>
    </row>
    <row r="329" spans="1:43" ht="26.25" customHeight="1" x14ac:dyDescent="0.4">
      <c r="A329" s="1059" t="s">
        <v>37</v>
      </c>
      <c r="B329" s="1055" t="s">
        <v>344</v>
      </c>
      <c r="C329" s="1057" t="s">
        <v>325</v>
      </c>
      <c r="D329" s="1061" t="s">
        <v>0</v>
      </c>
      <c r="E329" s="1061"/>
      <c r="F329" s="1061" t="s">
        <v>1</v>
      </c>
      <c r="G329" s="1061"/>
      <c r="H329" s="1061" t="s">
        <v>2</v>
      </c>
      <c r="I329" s="1061"/>
      <c r="J329" s="1061" t="s">
        <v>3</v>
      </c>
      <c r="K329" s="1061"/>
      <c r="L329" s="1061" t="s">
        <v>4</v>
      </c>
      <c r="M329" s="1061"/>
      <c r="N329" s="1061" t="s">
        <v>5</v>
      </c>
      <c r="O329" s="1061"/>
      <c r="P329" s="1061" t="s">
        <v>6</v>
      </c>
      <c r="Q329" s="1061"/>
      <c r="R329" s="1061" t="s">
        <v>7</v>
      </c>
      <c r="S329" s="1061"/>
      <c r="T329" s="1061" t="s">
        <v>8</v>
      </c>
      <c r="U329" s="1061"/>
      <c r="V329" s="1061" t="s">
        <v>23</v>
      </c>
      <c r="W329" s="1061"/>
      <c r="X329" s="1061" t="s">
        <v>24</v>
      </c>
      <c r="Y329" s="1061"/>
      <c r="Z329" s="1061" t="s">
        <v>9</v>
      </c>
      <c r="AA329" s="1061"/>
      <c r="AB329" s="1038" t="s">
        <v>1017</v>
      </c>
      <c r="AC329" s="1079"/>
      <c r="AD329" s="1038" t="s">
        <v>1018</v>
      </c>
      <c r="AE329" s="1079"/>
      <c r="AF329" s="1038" t="s">
        <v>1188</v>
      </c>
      <c r="AG329" s="1079"/>
      <c r="AH329" s="1038" t="s">
        <v>1189</v>
      </c>
      <c r="AI329" s="1079"/>
      <c r="AJ329" s="1282" t="s">
        <v>19</v>
      </c>
      <c r="AK329" s="1080" t="s">
        <v>378</v>
      </c>
      <c r="AL329" s="1082" t="s">
        <v>384</v>
      </c>
      <c r="AM329" s="1074" t="s">
        <v>385</v>
      </c>
      <c r="AN329" s="1054" t="s">
        <v>385</v>
      </c>
      <c r="AO329" s="13">
        <v>245</v>
      </c>
      <c r="AP329" s="74"/>
      <c r="AQ329" s="75"/>
    </row>
    <row r="330" spans="1:43" ht="27" customHeight="1" thickBot="1" x14ac:dyDescent="0.45">
      <c r="A330" s="1060"/>
      <c r="B330" s="1056"/>
      <c r="C330" s="1120"/>
      <c r="D330" s="294" t="s">
        <v>10</v>
      </c>
      <c r="E330" s="294" t="s">
        <v>11</v>
      </c>
      <c r="F330" s="294" t="s">
        <v>10</v>
      </c>
      <c r="G330" s="294" t="s">
        <v>11</v>
      </c>
      <c r="H330" s="294" t="s">
        <v>10</v>
      </c>
      <c r="I330" s="294" t="s">
        <v>11</v>
      </c>
      <c r="J330" s="294" t="s">
        <v>10</v>
      </c>
      <c r="K330" s="294" t="s">
        <v>11</v>
      </c>
      <c r="L330" s="294" t="s">
        <v>10</v>
      </c>
      <c r="M330" s="294" t="s">
        <v>11</v>
      </c>
      <c r="N330" s="294" t="s">
        <v>10</v>
      </c>
      <c r="O330" s="294" t="s">
        <v>11</v>
      </c>
      <c r="P330" s="294" t="s">
        <v>10</v>
      </c>
      <c r="Q330" s="294" t="s">
        <v>11</v>
      </c>
      <c r="R330" s="294" t="s">
        <v>10</v>
      </c>
      <c r="S330" s="294" t="s">
        <v>11</v>
      </c>
      <c r="T330" s="294" t="s">
        <v>10</v>
      </c>
      <c r="U330" s="294" t="s">
        <v>11</v>
      </c>
      <c r="V330" s="294" t="s">
        <v>10</v>
      </c>
      <c r="W330" s="294" t="s">
        <v>11</v>
      </c>
      <c r="X330" s="294" t="s">
        <v>10</v>
      </c>
      <c r="Y330" s="294" t="s">
        <v>11</v>
      </c>
      <c r="Z330" s="294" t="s">
        <v>10</v>
      </c>
      <c r="AA330" s="294" t="s">
        <v>11</v>
      </c>
      <c r="AB330" s="294" t="s">
        <v>10</v>
      </c>
      <c r="AC330" s="294" t="s">
        <v>11</v>
      </c>
      <c r="AD330" s="294" t="s">
        <v>10</v>
      </c>
      <c r="AE330" s="294" t="s">
        <v>11</v>
      </c>
      <c r="AF330" s="294" t="s">
        <v>10</v>
      </c>
      <c r="AG330" s="294" t="s">
        <v>11</v>
      </c>
      <c r="AH330" s="294" t="s">
        <v>10</v>
      </c>
      <c r="AI330" s="294" t="s">
        <v>11</v>
      </c>
      <c r="AJ330" s="1283"/>
      <c r="AK330" s="1081"/>
      <c r="AL330" s="1036"/>
      <c r="AM330" s="1029"/>
      <c r="AN330" s="1025"/>
      <c r="AO330" s="13">
        <v>246</v>
      </c>
      <c r="AP330" s="74"/>
      <c r="AQ330" s="75"/>
    </row>
    <row r="331" spans="1:43" s="235" customFormat="1" ht="27" thickBot="1" x14ac:dyDescent="0.45">
      <c r="A331" s="656" t="s">
        <v>295</v>
      </c>
      <c r="B331" s="230" t="s">
        <v>840</v>
      </c>
      <c r="C331" s="597" t="s">
        <v>296</v>
      </c>
      <c r="D331" s="231">
        <f>SUM(D332:D337)</f>
        <v>0</v>
      </c>
      <c r="E331" s="232">
        <f>SUM(E332:E337)</f>
        <v>0</v>
      </c>
      <c r="F331" s="232">
        <f t="shared" ref="F331:AI331" si="140">SUM(F332:F337)</f>
        <v>0</v>
      </c>
      <c r="G331" s="232">
        <f t="shared" si="140"/>
        <v>0</v>
      </c>
      <c r="H331" s="232">
        <f t="shared" si="140"/>
        <v>0</v>
      </c>
      <c r="I331" s="232">
        <f t="shared" si="140"/>
        <v>0</v>
      </c>
      <c r="J331" s="232">
        <f t="shared" si="140"/>
        <v>0</v>
      </c>
      <c r="K331" s="232">
        <f t="shared" si="140"/>
        <v>0</v>
      </c>
      <c r="L331" s="232">
        <f t="shared" si="140"/>
        <v>0</v>
      </c>
      <c r="M331" s="232">
        <f t="shared" si="140"/>
        <v>0</v>
      </c>
      <c r="N331" s="232">
        <f t="shared" si="140"/>
        <v>0</v>
      </c>
      <c r="O331" s="232">
        <f t="shared" si="140"/>
        <v>0</v>
      </c>
      <c r="P331" s="232">
        <f t="shared" si="140"/>
        <v>0</v>
      </c>
      <c r="Q331" s="232">
        <f t="shared" si="140"/>
        <v>0</v>
      </c>
      <c r="R331" s="232">
        <f t="shared" si="140"/>
        <v>0</v>
      </c>
      <c r="S331" s="232">
        <f t="shared" si="140"/>
        <v>0</v>
      </c>
      <c r="T331" s="232">
        <f t="shared" si="140"/>
        <v>0</v>
      </c>
      <c r="U331" s="232">
        <f t="shared" si="140"/>
        <v>0</v>
      </c>
      <c r="V331" s="232">
        <f t="shared" si="140"/>
        <v>0</v>
      </c>
      <c r="W331" s="232">
        <f t="shared" si="140"/>
        <v>0</v>
      </c>
      <c r="X331" s="232">
        <f t="shared" si="140"/>
        <v>0</v>
      </c>
      <c r="Y331" s="232">
        <f t="shared" si="140"/>
        <v>0</v>
      </c>
      <c r="Z331" s="232">
        <f t="shared" si="140"/>
        <v>0</v>
      </c>
      <c r="AA331" s="232">
        <f t="shared" si="140"/>
        <v>0</v>
      </c>
      <c r="AB331" s="232">
        <f t="shared" si="140"/>
        <v>0</v>
      </c>
      <c r="AC331" s="232">
        <f t="shared" si="140"/>
        <v>0</v>
      </c>
      <c r="AD331" s="232">
        <f t="shared" si="140"/>
        <v>0</v>
      </c>
      <c r="AE331" s="232">
        <f t="shared" si="140"/>
        <v>0</v>
      </c>
      <c r="AF331" s="232">
        <f t="shared" si="140"/>
        <v>0</v>
      </c>
      <c r="AG331" s="232">
        <f t="shared" si="140"/>
        <v>0</v>
      </c>
      <c r="AH331" s="232">
        <f t="shared" si="140"/>
        <v>0</v>
      </c>
      <c r="AI331" s="232">
        <f t="shared" si="140"/>
        <v>0</v>
      </c>
      <c r="AJ331" s="414">
        <f>SUM(D331:AA331)</f>
        <v>0</v>
      </c>
      <c r="AK331" s="116" t="str">
        <f>CONCATENATE(IF(D331&gt;D341," * Starting ART for Age "&amp;D20&amp;" "&amp;D21&amp;" is more than Current On ART"&amp;CHAR(10),""),IF(E331&gt;E341," * Starting ART for Age "&amp;D20&amp;" "&amp;E21&amp;" is more than Current On ART"&amp;CHAR(10),""),IF(F331&gt;F341," * Starting ART for Age "&amp;F20&amp;" "&amp;F21&amp;" is more than Current On ART"&amp;CHAR(10),""),IF(G331&gt;G341," * Starting ART for Age "&amp;F20&amp;" "&amp;G21&amp;" is more than Current On ART"&amp;CHAR(10),""),IF(H331&gt;H341," * Starting ART for Age "&amp;H20&amp;" "&amp;H21&amp;" is more than Current On ART"&amp;CHAR(10),""),IF(I331&gt;I341," * Starting ART for Age "&amp;H20&amp;" "&amp;I21&amp;" is more than Current On ART"&amp;CHAR(10),""),IF(J331&gt;J341," * Starting ART for Age "&amp;J20&amp;" "&amp;J21&amp;" is more than Current On ART"&amp;CHAR(10),""),IF(K331&gt;K341," * Starting ART for Age "&amp;J20&amp;" "&amp;K21&amp;" is more than Current On ART"&amp;CHAR(10),""),IF(L331&gt;L341," * Starting ART for Age "&amp;L20&amp;" "&amp;L21&amp;" is more than Current On ART"&amp;CHAR(10),""),IF(M331&gt;M341," * Starting ART for Age "&amp;L20&amp;" "&amp;M21&amp;" is more than Current On ART"&amp;CHAR(10),""),IF(N331&gt;N341," * Starting ART for Age "&amp;N20&amp;" "&amp;N21&amp;" is more than Current On ART"&amp;CHAR(10),""),IF(O331&gt;O341," * Starting ART for Age "&amp;N20&amp;" "&amp;O21&amp;" is more than Current On ART"&amp;CHAR(10),""),IF(P331&gt;P341," * Starting ART for Age "&amp;P20&amp;" "&amp;P21&amp;" is more than Current On ART"&amp;CHAR(10),""),IF(Q331&gt;Q341," * Starting ART for Age "&amp;P20&amp;" "&amp;Q21&amp;" is more than Current On ART"&amp;CHAR(10),""),IF(R331&gt;R341," * Starting ART for Age "&amp;R20&amp;" "&amp;R21&amp;" is more than Current On ART"&amp;CHAR(10),""),IF(S331&gt;S341," * Starting ART for Age "&amp;R20&amp;" "&amp;S21&amp;" is more than Current On ART"&amp;CHAR(10),""),IF(T331&gt;T341," * Starting ART for Age "&amp;T20&amp;" "&amp;T21&amp;" is more than Current On ART"&amp;CHAR(10),""),IF(U331&gt;U341," * Starting ART for Age "&amp;T20&amp;" "&amp;U21&amp;" is more than Current On ART"&amp;CHAR(10),""),IF(V331&gt;V341," * Starting ART for Age "&amp;V20&amp;" "&amp;V21&amp;" is more than Current On ART"&amp;CHAR(10),""),IF(W331&gt;W341," * Starting ART for Age "&amp;V20&amp;" "&amp;W21&amp;" is more than Current On ART"&amp;CHAR(10),""),IF(X331&gt;X341," * Starting ART for Age "&amp;X20&amp;" "&amp;X21&amp;" is more than Current On ART"&amp;CHAR(10),""),IF(Y331&gt;Y341," * Starting ART for Age "&amp;X20&amp;" "&amp;Y21&amp;" is more than Current On ART"&amp;CHAR(10),""),IF(Z331&gt;Z341," * Starting ART for Age "&amp;Z20&amp;" "&amp;Z21&amp;" is more than Current On ART"&amp;CHAR(10),""),IF(AA331&gt;AA341," * Starting ART for Age "&amp;Z20&amp;" "&amp;AA21&amp;" is more than Current On ART"&amp;CHAR(10),""))</f>
        <v/>
      </c>
      <c r="AL331" s="1239" t="str">
        <f>CONCATENATE(AK331,AK332,AK333,AK334,AK335,AK336,AK337,AK338,AK340,AK341,AK342,AK343,AK344,AK345,AK346,AK347,AK348,AK350,AK349,AK351,AK352,AK353,AK354,AK355)</f>
        <v/>
      </c>
      <c r="AM331" s="31"/>
      <c r="AN331" s="1230" t="str">
        <f>CONCATENATE(AM331,AM332,AM333,AM334,AM335,AM336,AM337,AM338,AM340,AM341,AM342,AM343,AM344,AM345,AM346,AM347,AM348,AM349,AM350,AM351,AM352,AM353,AM354,AM355)</f>
        <v/>
      </c>
      <c r="AO331" s="13">
        <v>247</v>
      </c>
      <c r="AP331" s="233"/>
      <c r="AQ331" s="234"/>
    </row>
    <row r="332" spans="1:43" ht="26.25" x14ac:dyDescent="0.4">
      <c r="A332" s="994" t="s">
        <v>570</v>
      </c>
      <c r="B332" s="1" t="s">
        <v>393</v>
      </c>
      <c r="C332" s="575" t="s">
        <v>564</v>
      </c>
      <c r="D332" s="236"/>
      <c r="E332" s="94"/>
      <c r="F332" s="94"/>
      <c r="G332" s="94"/>
      <c r="H332" s="94"/>
      <c r="I332" s="94"/>
      <c r="J332" s="94"/>
      <c r="K332" s="94"/>
      <c r="L332" s="94"/>
      <c r="M332" s="94"/>
      <c r="N332" s="94"/>
      <c r="O332" s="94"/>
      <c r="P332" s="94"/>
      <c r="Q332" s="94"/>
      <c r="R332" s="94"/>
      <c r="S332" s="94"/>
      <c r="T332" s="94"/>
      <c r="U332" s="94"/>
      <c r="V332" s="94"/>
      <c r="W332" s="94"/>
      <c r="X332" s="94"/>
      <c r="Y332" s="94"/>
      <c r="Z332" s="502">
        <f t="shared" ref="Z332:Z336" si="141">SUM(AB332,AD332,AF332,AH332)</f>
        <v>0</v>
      </c>
      <c r="AA332" s="502">
        <f t="shared" ref="AA332:AA336" si="142">SUM(AC332,AE332,AG332,AI332)</f>
        <v>0</v>
      </c>
      <c r="AB332" s="321"/>
      <c r="AC332" s="321"/>
      <c r="AD332" s="321"/>
      <c r="AE332" s="321"/>
      <c r="AF332" s="321"/>
      <c r="AG332" s="321"/>
      <c r="AH332" s="321"/>
      <c r="AI332" s="321"/>
      <c r="AJ332" s="612">
        <f t="shared" ref="AJ332:AJ337" si="143">SUM(D332:AA332)</f>
        <v>0</v>
      </c>
      <c r="AK332" s="116"/>
      <c r="AL332" s="1077"/>
      <c r="AM332" s="31"/>
      <c r="AN332" s="1231"/>
      <c r="AO332" s="13">
        <v>248</v>
      </c>
      <c r="AP332" s="74"/>
      <c r="AQ332" s="75"/>
    </row>
    <row r="333" spans="1:43" ht="26.25" x14ac:dyDescent="0.4">
      <c r="A333" s="1119"/>
      <c r="B333" s="2" t="s">
        <v>388</v>
      </c>
      <c r="C333" s="576" t="s">
        <v>565</v>
      </c>
      <c r="D333" s="237"/>
      <c r="E333" s="79"/>
      <c r="F333" s="79"/>
      <c r="G333" s="79"/>
      <c r="H333" s="79"/>
      <c r="I333" s="79"/>
      <c r="J333" s="79"/>
      <c r="K333" s="79"/>
      <c r="L333" s="79"/>
      <c r="M333" s="79"/>
      <c r="N333" s="79"/>
      <c r="O333" s="79"/>
      <c r="P333" s="79"/>
      <c r="Q333" s="79"/>
      <c r="R333" s="79"/>
      <c r="S333" s="79"/>
      <c r="T333" s="79"/>
      <c r="U333" s="79"/>
      <c r="V333" s="79"/>
      <c r="W333" s="79"/>
      <c r="X333" s="79"/>
      <c r="Y333" s="79"/>
      <c r="Z333" s="502">
        <f t="shared" si="141"/>
        <v>0</v>
      </c>
      <c r="AA333" s="502">
        <f t="shared" si="142"/>
        <v>0</v>
      </c>
      <c r="AB333" s="318"/>
      <c r="AC333" s="318"/>
      <c r="AD333" s="318"/>
      <c r="AE333" s="318"/>
      <c r="AF333" s="318"/>
      <c r="AG333" s="318"/>
      <c r="AH333" s="318"/>
      <c r="AI333" s="318"/>
      <c r="AJ333" s="613">
        <f t="shared" si="143"/>
        <v>0</v>
      </c>
      <c r="AK333" s="116"/>
      <c r="AL333" s="1077"/>
      <c r="AM333" s="31"/>
      <c r="AN333" s="1231"/>
      <c r="AO333" s="13">
        <v>249</v>
      </c>
      <c r="AP333" s="74"/>
      <c r="AQ333" s="75"/>
    </row>
    <row r="334" spans="1:43" ht="26.25" x14ac:dyDescent="0.4">
      <c r="A334" s="1119"/>
      <c r="B334" s="2" t="s">
        <v>389</v>
      </c>
      <c r="C334" s="576" t="s">
        <v>566</v>
      </c>
      <c r="D334" s="237"/>
      <c r="E334" s="79"/>
      <c r="F334" s="79"/>
      <c r="G334" s="79"/>
      <c r="H334" s="79"/>
      <c r="I334" s="79"/>
      <c r="J334" s="79"/>
      <c r="K334" s="79"/>
      <c r="L334" s="79"/>
      <c r="M334" s="79"/>
      <c r="N334" s="79"/>
      <c r="O334" s="79"/>
      <c r="P334" s="79"/>
      <c r="Q334" s="79"/>
      <c r="R334" s="79"/>
      <c r="S334" s="79"/>
      <c r="T334" s="79"/>
      <c r="U334" s="79"/>
      <c r="V334" s="79"/>
      <c r="W334" s="79"/>
      <c r="X334" s="79"/>
      <c r="Y334" s="79"/>
      <c r="Z334" s="502">
        <f t="shared" si="141"/>
        <v>0</v>
      </c>
      <c r="AA334" s="502">
        <f t="shared" si="142"/>
        <v>0</v>
      </c>
      <c r="AB334" s="318"/>
      <c r="AC334" s="318"/>
      <c r="AD334" s="318"/>
      <c r="AE334" s="318"/>
      <c r="AF334" s="318"/>
      <c r="AG334" s="318"/>
      <c r="AH334" s="318"/>
      <c r="AI334" s="318"/>
      <c r="AJ334" s="613">
        <f t="shared" si="143"/>
        <v>0</v>
      </c>
      <c r="AK334" s="116"/>
      <c r="AL334" s="1077"/>
      <c r="AM334" s="31"/>
      <c r="AN334" s="1231"/>
      <c r="AO334" s="13">
        <v>250</v>
      </c>
      <c r="AP334" s="74"/>
      <c r="AQ334" s="75"/>
    </row>
    <row r="335" spans="1:43" ht="26.25" hidden="1" x14ac:dyDescent="0.4">
      <c r="A335" s="1119"/>
      <c r="B335" s="2" t="s">
        <v>390</v>
      </c>
      <c r="C335" s="576" t="s">
        <v>567</v>
      </c>
      <c r="D335" s="237"/>
      <c r="E335" s="79"/>
      <c r="F335" s="79"/>
      <c r="G335" s="79"/>
      <c r="H335" s="79"/>
      <c r="I335" s="79"/>
      <c r="J335" s="79"/>
      <c r="K335" s="79"/>
      <c r="L335" s="79"/>
      <c r="M335" s="79"/>
      <c r="N335" s="79"/>
      <c r="O335" s="79"/>
      <c r="P335" s="79"/>
      <c r="Q335" s="79"/>
      <c r="R335" s="79"/>
      <c r="S335" s="79"/>
      <c r="T335" s="79"/>
      <c r="U335" s="79"/>
      <c r="V335" s="79"/>
      <c r="W335" s="79"/>
      <c r="X335" s="79"/>
      <c r="Y335" s="79"/>
      <c r="Z335" s="502">
        <f t="shared" si="141"/>
        <v>0</v>
      </c>
      <c r="AA335" s="502">
        <f t="shared" si="142"/>
        <v>0</v>
      </c>
      <c r="AB335" s="318"/>
      <c r="AC335" s="318"/>
      <c r="AD335" s="318"/>
      <c r="AE335" s="318"/>
      <c r="AF335" s="318"/>
      <c r="AG335" s="318"/>
      <c r="AH335" s="318"/>
      <c r="AI335" s="318"/>
      <c r="AJ335" s="613">
        <f t="shared" si="143"/>
        <v>0</v>
      </c>
      <c r="AK335" s="116"/>
      <c r="AL335" s="1077"/>
      <c r="AM335" s="31"/>
      <c r="AN335" s="1231"/>
      <c r="AO335" s="13">
        <v>251</v>
      </c>
      <c r="AP335" s="74"/>
      <c r="AQ335" s="75"/>
    </row>
    <row r="336" spans="1:43" ht="26.25" x14ac:dyDescent="0.4">
      <c r="A336" s="1119"/>
      <c r="B336" s="2" t="s">
        <v>391</v>
      </c>
      <c r="C336" s="576" t="s">
        <v>568</v>
      </c>
      <c r="D336" s="237"/>
      <c r="E336" s="79"/>
      <c r="F336" s="79"/>
      <c r="G336" s="79"/>
      <c r="H336" s="79"/>
      <c r="I336" s="79"/>
      <c r="J336" s="79"/>
      <c r="K336" s="79"/>
      <c r="L336" s="79"/>
      <c r="M336" s="79"/>
      <c r="N336" s="79"/>
      <c r="O336" s="79"/>
      <c r="P336" s="79"/>
      <c r="Q336" s="79"/>
      <c r="R336" s="79"/>
      <c r="S336" s="79"/>
      <c r="T336" s="79"/>
      <c r="U336" s="79"/>
      <c r="V336" s="79"/>
      <c r="W336" s="79"/>
      <c r="X336" s="79"/>
      <c r="Y336" s="79"/>
      <c r="Z336" s="502">
        <f t="shared" si="141"/>
        <v>0</v>
      </c>
      <c r="AA336" s="502">
        <f t="shared" si="142"/>
        <v>0</v>
      </c>
      <c r="AB336" s="318"/>
      <c r="AC336" s="318"/>
      <c r="AD336" s="318"/>
      <c r="AE336" s="318"/>
      <c r="AF336" s="318"/>
      <c r="AG336" s="318"/>
      <c r="AH336" s="318"/>
      <c r="AI336" s="318"/>
      <c r="AJ336" s="613">
        <f t="shared" si="143"/>
        <v>0</v>
      </c>
      <c r="AK336" s="116"/>
      <c r="AL336" s="1077"/>
      <c r="AM336" s="31"/>
      <c r="AN336" s="1231"/>
      <c r="AO336" s="13">
        <v>252</v>
      </c>
      <c r="AP336" s="74"/>
      <c r="AQ336" s="75"/>
    </row>
    <row r="337" spans="1:43" ht="27" thickBot="1" x14ac:dyDescent="0.45">
      <c r="A337" s="1124"/>
      <c r="B337" s="3" t="s">
        <v>392</v>
      </c>
      <c r="C337" s="577" t="s">
        <v>569</v>
      </c>
      <c r="D337" s="141"/>
      <c r="E337" s="89"/>
      <c r="F337" s="89"/>
      <c r="G337" s="89"/>
      <c r="H337" s="89"/>
      <c r="I337" s="89"/>
      <c r="J337" s="89"/>
      <c r="K337" s="89"/>
      <c r="L337" s="89"/>
      <c r="M337" s="89"/>
      <c r="N337" s="89"/>
      <c r="O337" s="89"/>
      <c r="P337" s="89"/>
      <c r="Q337" s="89"/>
      <c r="R337" s="89"/>
      <c r="S337" s="89"/>
      <c r="T337" s="89"/>
      <c r="U337" s="89"/>
      <c r="V337" s="89"/>
      <c r="W337" s="89"/>
      <c r="X337" s="89"/>
      <c r="Y337" s="89"/>
      <c r="Z337" s="502">
        <f>SUM(AB337,AD337,AF337,AH337)</f>
        <v>0</v>
      </c>
      <c r="AA337" s="502">
        <f>SUM(AC337,AE337,AG337,AI337)</f>
        <v>0</v>
      </c>
      <c r="AB337" s="320"/>
      <c r="AC337" s="320"/>
      <c r="AD337" s="320"/>
      <c r="AE337" s="320"/>
      <c r="AF337" s="320"/>
      <c r="AG337" s="320"/>
      <c r="AH337" s="320"/>
      <c r="AI337" s="320"/>
      <c r="AJ337" s="614">
        <f t="shared" si="143"/>
        <v>0</v>
      </c>
      <c r="AK337" s="116"/>
      <c r="AL337" s="1077"/>
      <c r="AM337" s="31"/>
      <c r="AN337" s="1231"/>
      <c r="AO337" s="13">
        <v>253</v>
      </c>
      <c r="AP337" s="74"/>
      <c r="AQ337" s="75"/>
    </row>
    <row r="338" spans="1:43" ht="27" thickBot="1" x14ac:dyDescent="0.45">
      <c r="A338" s="656" t="s">
        <v>571</v>
      </c>
      <c r="B338" s="238" t="s">
        <v>699</v>
      </c>
      <c r="C338" s="597" t="s">
        <v>297</v>
      </c>
      <c r="D338" s="239"/>
      <c r="E338" s="228"/>
      <c r="F338" s="228"/>
      <c r="G338" s="228"/>
      <c r="H338" s="228"/>
      <c r="I338" s="228"/>
      <c r="J338" s="228"/>
      <c r="K338" s="229"/>
      <c r="L338" s="228"/>
      <c r="M338" s="229"/>
      <c r="N338" s="228"/>
      <c r="O338" s="229"/>
      <c r="P338" s="228"/>
      <c r="Q338" s="229"/>
      <c r="R338" s="228"/>
      <c r="S338" s="229"/>
      <c r="T338" s="228"/>
      <c r="U338" s="229"/>
      <c r="V338" s="228"/>
      <c r="W338" s="229"/>
      <c r="X338" s="228"/>
      <c r="Y338" s="229"/>
      <c r="Z338" s="228"/>
      <c r="AA338" s="355"/>
      <c r="AB338" s="387"/>
      <c r="AC338" s="388"/>
      <c r="AD338" s="388"/>
      <c r="AE338" s="388"/>
      <c r="AF338" s="388"/>
      <c r="AG338" s="388"/>
      <c r="AH338" s="388"/>
      <c r="AI338" s="314"/>
      <c r="AJ338" s="499">
        <f t="shared" ref="AJ338:AJ366" si="144">SUM(D338:AA338)</f>
        <v>0</v>
      </c>
      <c r="AK338" s="305" t="str">
        <f>CONCATENATE(IF(D338&gt;D331," * F07-02 for Age "&amp;D20&amp;" "&amp;D21&amp;" is more than F07-01"&amp;CHAR(10),""),IF(E338&gt;E331," * F07-02 for Age "&amp;D20&amp;" "&amp;E21&amp;" is more than F07-01"&amp;CHAR(10),""),IF(F338&gt;F331," * F07-02 for Age "&amp;F20&amp;" "&amp;F21&amp;" is more than F07-01"&amp;CHAR(10),""),IF(G338&gt;G331," * F07-02 for Age "&amp;F20&amp;" "&amp;G21&amp;" is more than F07-01"&amp;CHAR(10),""),IF(H338&gt;H331," * F07-02 for Age "&amp;H20&amp;" "&amp;H21&amp;" is more than F07-01"&amp;CHAR(10),""),IF(I338&gt;I331," * F07-02 for Age "&amp;H20&amp;" "&amp;I21&amp;" is more than F07-01"&amp;CHAR(10),""),IF(J338&gt;J331," * F07-02 for Age "&amp;J20&amp;" "&amp;J21&amp;" is more than F07-01"&amp;CHAR(10),""),IF(K338&gt;K331," * F07-02 for Age "&amp;J20&amp;" "&amp;K21&amp;" is more than F07-01"&amp;CHAR(10),""),IF(L338&gt;L331," * F07-02 for Age "&amp;L20&amp;" "&amp;L21&amp;" is more than F07-01"&amp;CHAR(10),""),IF(M338&gt;M331," * F07-02 for Age "&amp;L20&amp;" "&amp;M21&amp;" is more than F07-01"&amp;CHAR(10),""),IF(N338&gt;N331," * F07-02 for Age "&amp;N20&amp;" "&amp;N21&amp;" is more than F07-01"&amp;CHAR(10),""),IF(O338&gt;O331," * F07-02 for Age "&amp;N20&amp;" "&amp;O21&amp;" is more than F07-01"&amp;CHAR(10),""),IF(P338&gt;P331," * F07-02 for Age "&amp;P20&amp;" "&amp;P21&amp;" is more than F07-01"&amp;CHAR(10),""),IF(Q338&gt;Q331," * F07-02 for Age "&amp;P20&amp;" "&amp;Q21&amp;" is more than F07-01"&amp;CHAR(10),""),IF(R338&gt;R331," * F07-02 for Age "&amp;R20&amp;" "&amp;R21&amp;" is more than F07-01"&amp;CHAR(10),""),IF(S338&gt;S331," * F07-02 for Age "&amp;R20&amp;" "&amp;S21&amp;" is more than F07-01"&amp;CHAR(10),""),IF(T338&gt;T331," * F07-02 for Age "&amp;T20&amp;" "&amp;T21&amp;" is more than F07-01"&amp;CHAR(10),""),IF(U338&gt;U331," * F07-02 for Age "&amp;T20&amp;" "&amp;U21&amp;" is more than F07-01"&amp;CHAR(10),""),IF(V338&gt;V331," * F07-02 for Age "&amp;V20&amp;" "&amp;V21&amp;" is more than F07-01"&amp;CHAR(10),""),IF(W338&gt;W331," * F07-02 for Age "&amp;V20&amp;" "&amp;W21&amp;" is more than F07-01"&amp;CHAR(10),""),IF(X338&gt;X331," * F07-02 for Age "&amp;X20&amp;" "&amp;X21&amp;" is more than F07-01"&amp;CHAR(10),""),IF(Y338&gt;Y331," * F07-02 for Age "&amp;X20&amp;" "&amp;Y21&amp;" is more than F07-01"&amp;CHAR(10),""),IF(Z338&gt;Z331," * F07-02 for Age "&amp;Z20&amp;" "&amp;Z21&amp;" is more than F07-01"&amp;CHAR(10),""),IF(AA338&gt;AA331," * F07-02 for Age "&amp;Z20&amp;" "&amp;AA21&amp;" is more than F07-01"&amp;CHAR(10),""),IF(AJ338&gt;AJ331," * Total F07-02 is more than Total F07-01"&amp;CHAR(10),""))</f>
        <v/>
      </c>
      <c r="AL338" s="1077"/>
      <c r="AM338" s="60" t="str">
        <f>CONCATENATE(IF(AND(AJ331&gt;0,OR(SUM(AJ28,AJ34,AJ36,AJ38,AJ40,AJ42,AJ44,AJ46,AJ48,AJ50,AJ280,AJ284,AJ288,AJ292)=0,SUM(AJ27,AJ33,AJ35,AJ37,AJ39,AJ41,AJ43,AJ45,AJ47,AJ49,AJ279,AJ283,AJ287,AJ291)=0))," * This site started patients on ART yet it has 0 positives or zero tested "&amp;CHAR(10),""),"")</f>
        <v/>
      </c>
      <c r="AN338" s="1231"/>
      <c r="AO338" s="13">
        <v>254</v>
      </c>
      <c r="AP338" s="74"/>
      <c r="AQ338" s="75"/>
    </row>
    <row r="339" spans="1:43" ht="27" thickBot="1" x14ac:dyDescent="0.45">
      <c r="A339" s="657" t="s">
        <v>968</v>
      </c>
      <c r="B339" s="479" t="s">
        <v>969</v>
      </c>
      <c r="C339" s="578" t="s">
        <v>970</v>
      </c>
      <c r="D339" s="408"/>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542">
        <f t="shared" ref="Z339:AA341" si="145">SUM(AB339,AD339,AF339,AH339)</f>
        <v>0</v>
      </c>
      <c r="AA339" s="542">
        <f t="shared" si="145"/>
        <v>0</v>
      </c>
      <c r="AB339" s="543"/>
      <c r="AC339" s="544"/>
      <c r="AD339" s="544"/>
      <c r="AE339" s="544"/>
      <c r="AF339" s="544"/>
      <c r="AG339" s="544"/>
      <c r="AH339" s="544"/>
      <c r="AI339" s="544"/>
      <c r="AJ339" s="308">
        <f t="shared" si="144"/>
        <v>0</v>
      </c>
      <c r="AK339" s="116"/>
      <c r="AL339" s="1077"/>
      <c r="AM339" s="60"/>
      <c r="AN339" s="1231"/>
      <c r="AO339" s="13">
        <v>255</v>
      </c>
      <c r="AP339" s="74"/>
      <c r="AQ339" s="75"/>
    </row>
    <row r="340" spans="1:43" ht="27" thickBot="1" x14ac:dyDescent="0.45">
      <c r="A340" s="994" t="s">
        <v>572</v>
      </c>
      <c r="B340" s="540" t="s">
        <v>963</v>
      </c>
      <c r="C340" s="571" t="s">
        <v>555</v>
      </c>
      <c r="D340" s="541"/>
      <c r="E340" s="240"/>
      <c r="F340" s="240"/>
      <c r="G340" s="240"/>
      <c r="H340" s="240"/>
      <c r="I340" s="240"/>
      <c r="J340" s="240"/>
      <c r="K340" s="240"/>
      <c r="L340" s="240"/>
      <c r="M340" s="240"/>
      <c r="N340" s="240"/>
      <c r="O340" s="240"/>
      <c r="P340" s="240"/>
      <c r="Q340" s="240"/>
      <c r="R340" s="240"/>
      <c r="S340" s="240"/>
      <c r="T340" s="240"/>
      <c r="U340" s="240"/>
      <c r="V340" s="240"/>
      <c r="W340" s="240"/>
      <c r="X340" s="240"/>
      <c r="Y340" s="333"/>
      <c r="Z340" s="542">
        <f t="shared" si="145"/>
        <v>0</v>
      </c>
      <c r="AA340" s="542">
        <f t="shared" si="145"/>
        <v>0</v>
      </c>
      <c r="AB340" s="543"/>
      <c r="AC340" s="544"/>
      <c r="AD340" s="544"/>
      <c r="AE340" s="544"/>
      <c r="AF340" s="544"/>
      <c r="AG340" s="544"/>
      <c r="AH340" s="544"/>
      <c r="AI340" s="544"/>
      <c r="AJ340" s="545">
        <f t="shared" ref="AJ340" si="146">SUM(D340:AA340)</f>
        <v>0</v>
      </c>
      <c r="AK340" s="116" t="str">
        <f>CONCATENATE(IF(D340&gt;D341," * &lt; 28 Days Defaulters for Age "&amp;D20&amp;" "&amp;D21&amp;" is more than Current On ART"&amp;CHAR(10),""),IF(E340&gt;E341," * &lt; 28 Days Defaulters for Age "&amp;D20&amp;" "&amp;E21&amp;" is more than Current On ART"&amp;CHAR(10),""),IF(F340&gt;F341," * &lt; 28 Days Defaulters for Age "&amp;F20&amp;" "&amp;F21&amp;" is more than Current On ART"&amp;CHAR(10),""),IF(G340&gt;G341," * &lt; 28 Days Defaulters for Age "&amp;F20&amp;" "&amp;G21&amp;" is more than Current On ART"&amp;CHAR(10),""),IF(H340&gt;H341," * &lt; 28 Days Defaulters for Age "&amp;H20&amp;" "&amp;H21&amp;" is more than Current On ART"&amp;CHAR(10),""),IF(I340&gt;I341," * &lt; 28 Days Defaulters for Age "&amp;H20&amp;" "&amp;I21&amp;" is more than Current On ART"&amp;CHAR(10),""),IF(J340&gt;J341," * &lt; 28 Days Defaulters for Age "&amp;J20&amp;" "&amp;J21&amp;" is more than Current On ART"&amp;CHAR(10),""),IF(K340&gt;K341," * &lt; 28 Days Defaulters for Age "&amp;J20&amp;" "&amp;K21&amp;" is more than Current On ART"&amp;CHAR(10),""),IF(L340&gt;L341," * &lt; 28 Days Defaulters for Age "&amp;L20&amp;" "&amp;L21&amp;" is more than Current On ART"&amp;CHAR(10),""),IF(M340&gt;M341," * &lt; 28 Days Defaulters for Age "&amp;L20&amp;" "&amp;M21&amp;" is more than Current On ART"&amp;CHAR(10),""),IF(N340&gt;N341," * &lt; 28 Days Defaulters for Age "&amp;N20&amp;" "&amp;N21&amp;" is more than Current On ART"&amp;CHAR(10),""),IF(O340&gt;O341," * &lt; 28 Days Defaulters for Age "&amp;N20&amp;" "&amp;O21&amp;" is more than Current On ART"&amp;CHAR(10),""),IF(P340&gt;P341," * &lt; 28 Days Defaulters for Age "&amp;P20&amp;" "&amp;P21&amp;" is more than Current On ART"&amp;CHAR(10),""),IF(Q340&gt;Q341," * &lt; 28 Days Defaulters for Age "&amp;P20&amp;" "&amp;Q21&amp;" is more than Current On ART"&amp;CHAR(10),""),IF(R340&gt;R341," * &lt; 28 Days Defaulters for Age "&amp;R20&amp;" "&amp;R21&amp;" is more than Current On ART"&amp;CHAR(10),""),IF(S340&gt;S341," * &lt; 28 Days Defaulters for Age "&amp;R20&amp;" "&amp;S21&amp;" is more than Current On ART"&amp;CHAR(10),""),IF(T340&gt;T341," * &lt; 28 Days Defaulters for Age "&amp;T20&amp;" "&amp;T21&amp;" is more than Current On ART"&amp;CHAR(10),""),IF(U340&gt;U341," * &lt; 28 Days Defaulters for Age "&amp;T20&amp;" "&amp;U21&amp;" is more than Current On ART"&amp;CHAR(10),""),IF(V340&gt;V341," * &lt; 28 Days Defaulters for Age "&amp;V20&amp;" "&amp;V21&amp;" is more than Current On ART"&amp;CHAR(10),""),IF(W340&gt;W341," * &lt; 28 Days Defaulters for Age "&amp;V20&amp;" "&amp;W21&amp;" is more than Current On ART"&amp;CHAR(10),""),IF(X340&gt;X341," * &lt; 28 Days Defaulters for Age "&amp;X20&amp;" "&amp;X21&amp;" is more than Current On ART"&amp;CHAR(10),""),IF(Y340&gt;Y341," * &lt; 28 Days Defaulters for Age "&amp;X20&amp;" "&amp;Y21&amp;" is more than Current On ART"&amp;CHAR(10),""),IF(Z340&gt;Z341," * &lt; 28 Days Defaulters for Age "&amp;Z20&amp;" "&amp;Z21&amp;" is more than Current On ART"&amp;CHAR(10),""),IF(AA340&gt;AA341," * &lt; 28 Days Defaulters for Age "&amp;Z20&amp;" "&amp;AA21&amp;" is more than Current On ART"&amp;CHAR(10),""))</f>
        <v/>
      </c>
      <c r="AL340" s="1077"/>
      <c r="AM340" s="31"/>
      <c r="AN340" s="1231"/>
      <c r="AO340" s="13">
        <v>256</v>
      </c>
      <c r="AP340" s="74"/>
      <c r="AQ340" s="75"/>
    </row>
    <row r="341" spans="1:43" ht="27" thickBot="1" x14ac:dyDescent="0.45">
      <c r="A341" s="1124"/>
      <c r="B341" s="230" t="s">
        <v>839</v>
      </c>
      <c r="C341" s="597" t="s">
        <v>299</v>
      </c>
      <c r="D341" s="548">
        <f>SUM(D342:D347)</f>
        <v>0</v>
      </c>
      <c r="E341" s="549">
        <f t="shared" ref="E341:AG341" si="147">SUM(E342:E347)</f>
        <v>0</v>
      </c>
      <c r="F341" s="549">
        <f t="shared" si="147"/>
        <v>0</v>
      </c>
      <c r="G341" s="549">
        <f t="shared" si="147"/>
        <v>0</v>
      </c>
      <c r="H341" s="549">
        <f t="shared" si="147"/>
        <v>0</v>
      </c>
      <c r="I341" s="549">
        <f t="shared" si="147"/>
        <v>0</v>
      </c>
      <c r="J341" s="549">
        <f t="shared" si="147"/>
        <v>0</v>
      </c>
      <c r="K341" s="549">
        <f t="shared" si="147"/>
        <v>0</v>
      </c>
      <c r="L341" s="549">
        <f t="shared" si="147"/>
        <v>0</v>
      </c>
      <c r="M341" s="549">
        <f t="shared" si="147"/>
        <v>0</v>
      </c>
      <c r="N341" s="549">
        <f t="shared" si="147"/>
        <v>0</v>
      </c>
      <c r="O341" s="549">
        <f t="shared" si="147"/>
        <v>0</v>
      </c>
      <c r="P341" s="549">
        <f t="shared" si="147"/>
        <v>0</v>
      </c>
      <c r="Q341" s="549">
        <f t="shared" si="147"/>
        <v>0</v>
      </c>
      <c r="R341" s="549">
        <f t="shared" si="147"/>
        <v>0</v>
      </c>
      <c r="S341" s="549">
        <f t="shared" si="147"/>
        <v>0</v>
      </c>
      <c r="T341" s="549">
        <f t="shared" si="147"/>
        <v>0</v>
      </c>
      <c r="U341" s="549">
        <f t="shared" si="147"/>
        <v>0</v>
      </c>
      <c r="V341" s="549">
        <f t="shared" si="147"/>
        <v>0</v>
      </c>
      <c r="W341" s="549">
        <f t="shared" si="147"/>
        <v>0</v>
      </c>
      <c r="X341" s="549">
        <f t="shared" si="147"/>
        <v>0</v>
      </c>
      <c r="Y341" s="550">
        <f t="shared" si="147"/>
        <v>0</v>
      </c>
      <c r="Z341" s="537">
        <f t="shared" si="145"/>
        <v>0</v>
      </c>
      <c r="AA341" s="537">
        <f t="shared" si="145"/>
        <v>0</v>
      </c>
      <c r="AB341" s="548">
        <f t="shared" si="147"/>
        <v>0</v>
      </c>
      <c r="AC341" s="549">
        <f t="shared" si="147"/>
        <v>0</v>
      </c>
      <c r="AD341" s="549">
        <f t="shared" si="147"/>
        <v>0</v>
      </c>
      <c r="AE341" s="549">
        <f t="shared" si="147"/>
        <v>0</v>
      </c>
      <c r="AF341" s="549">
        <f t="shared" si="147"/>
        <v>0</v>
      </c>
      <c r="AG341" s="549">
        <f t="shared" si="147"/>
        <v>0</v>
      </c>
      <c r="AH341" s="549">
        <f t="shared" ref="AH341:AI341" si="148">SUM(AH342:AH347)</f>
        <v>0</v>
      </c>
      <c r="AI341" s="549">
        <f t="shared" si="148"/>
        <v>0</v>
      </c>
      <c r="AJ341" s="551">
        <f>SUM(AJ342:AJ347)</f>
        <v>0</v>
      </c>
      <c r="AK341" s="116" t="str">
        <f>CONCATENATE(IF(D341&lt;&gt;D354,""&amp;CHAR(10)&amp;"  * Current on ART by month of dispense F07-16 for age "&amp;D329&amp;" "&amp;D330&amp;" is not equal to Clients current On ART F07-03 age  "&amp;D329&amp;" "&amp;D330&amp;"",""),IF(E341&lt;&gt;E354,""&amp;CHAR(10)&amp;"  * Current on ART by month of dispense F07-16 for age "&amp;D329&amp;" "&amp;E330&amp;" is not equal to Clients current On ART F07-03 age  "&amp;D329&amp;" "&amp;E330&amp;"",""),IF(F341&lt;&gt;F354,""&amp;CHAR(10)&amp;"  * Current on ART by month of dispense F07-16 for age "&amp;F329&amp;" "&amp;F330&amp;" is not equal to Clients current On ART F07-03 age  "&amp;F329&amp;" "&amp;F330&amp;"",""),IF(G341&lt;&gt;G354,""&amp;CHAR(10)&amp;"  * Current on ART by month of dispense F07-16 for age "&amp;F329&amp;" "&amp;G330&amp;" is not equal to Clients current On ART F07-03 age  "&amp;F329&amp;" "&amp;G330&amp;"",""),IF(H341&lt;&gt;H354,""&amp;CHAR(10)&amp;"  * Current on ART by month of dispense F07-16 for age "&amp;H329&amp;" "&amp;H330&amp;" is not equal to Clients current On ART F07-03 age  "&amp;H329&amp;" "&amp;H330&amp;"",""),IF(I341&lt;&gt;I354,""&amp;CHAR(10)&amp;"  * Current on ART by month of dispense F07-16 for age "&amp;H329&amp;" "&amp;I330&amp;" is not equal to Clients current On ART F07-03 age  "&amp;H329&amp;" "&amp;I330&amp;"",""),IF(J341&lt;&gt;J354,""&amp;CHAR(10)&amp;"  * Current on ART by month of dispense F07-16 for age "&amp;J329&amp;" "&amp;J330&amp;" is not equal to Clients current On ART F07-03 age  "&amp;J329&amp;" "&amp;J330&amp;"",""),IF(K341&lt;&gt;K354,""&amp;CHAR(10)&amp;"  * Current on ART by month of dispense F07-16 for age "&amp;J329&amp;" "&amp;K330&amp;" is not equal to Clients current On ART F07-03 age  "&amp;J329&amp;" "&amp;K330&amp;"",""),IF(L341&lt;&gt;L354,""&amp;CHAR(10)&amp;"  * Current on ART by month of dispense F07-16 for age "&amp;L329&amp;" "&amp;L330&amp;" is not equal to Clients current On ART F07-03 age  "&amp;L329&amp;" "&amp;L330&amp;"",""),IF(M341&lt;&gt;M354,""&amp;CHAR(10)&amp;"  * Current on ART by month of dispense F07-16 for age "&amp;L329&amp;" "&amp;M330&amp;" is not equal to Clients current On ART F07-03 age  "&amp;L329&amp;" "&amp;M330&amp;"",""),IF(N341&lt;&gt;N354,""&amp;CHAR(10)&amp;"  * Current on ART by month of dispense F07-16 for age "&amp;N329&amp;" "&amp;N330&amp;" is not equal to Clients current On ART F07-03 age  "&amp;N329&amp;" "&amp;N330&amp;"",""),IF(O341&lt;&gt;O354,""&amp;CHAR(10)&amp;"  * Current on ART by month of dispense F07-16 for age "&amp;N329&amp;" "&amp;O330&amp;" is not equal to Clients current On ART F07-03 age  "&amp;N329&amp;" "&amp;O330&amp;"",""),IF(P341&lt;&gt;P354,""&amp;CHAR(10)&amp;"  * Current on ART by month of dispense F07-16 for age "&amp;P329&amp;" "&amp;P330&amp;" is not equal to Clients current On ART F07-03 age  "&amp;P329&amp;" "&amp;P330&amp;"",""),IF(Q341&lt;&gt;Q354,""&amp;CHAR(10)&amp;"  * Current on ART by month of dispense F07-16 for age "&amp;P329&amp;" "&amp;Q330&amp;" is not equal to Clients current On ART F07-03 age  "&amp;P329&amp;" "&amp;Q330&amp;"",""),IF(R341&lt;&gt;R354,""&amp;CHAR(10)&amp;"  * Current on ART by month of dispense F07-16 for age "&amp;R329&amp;" "&amp;R330&amp;" is not equal to Clients current On ART F07-03 age  "&amp;R329&amp;" "&amp;R330&amp;"",""),IF(S341&lt;&gt;S354,""&amp;CHAR(10)&amp;"  * Current on ART by month of dispense F07-16 for age "&amp;R329&amp;" "&amp;S330&amp;" is not equal to Clients current On ART F07-03 age  "&amp;R329&amp;" "&amp;S330&amp;"",""),IF(T341&lt;&gt;T354,""&amp;CHAR(10)&amp;"  * Current on ART by month of dispense F07-16 for age "&amp;T329&amp;" "&amp;T330&amp;" is not equal to Clients current On ART F07-03 age  "&amp;T329&amp;" "&amp;T330&amp;"",""),IF(U341&lt;&gt;U354,""&amp;CHAR(10)&amp;"  * Current on ART by month of dispense F07-16 for age "&amp;T329&amp;" "&amp;U330&amp;" is not equal to Clients current On ART F07-03 age  "&amp;T329&amp;" "&amp;U330&amp;"",""),IF(V341&lt;&gt;V354,""&amp;CHAR(10)&amp;"  * Current on ART by month of dispense F07-16 for age "&amp;V329&amp;" "&amp;V330&amp;" is not equal to Clients current On ART F07-03 age  "&amp;V329&amp;" "&amp;V330&amp;"",""),IF(W341&lt;&gt;W354,""&amp;CHAR(10)&amp;"  * Current on ART by month of dispense F07-16 for age "&amp;V329&amp;" "&amp;W330&amp;" is not equal to Clients current On ART F07-03 age  "&amp;V329&amp;" "&amp;W330&amp;"",""),IF(X341&lt;&gt;X354,""&amp;CHAR(10)&amp;"  * Current on ART by month of dispense F07-16 for age "&amp;X329&amp;" "&amp;X330&amp;" is not equal to Clients current On ART F07-03 age  "&amp;X329&amp;" "&amp;X330&amp;"",""),IF(Y341&lt;&gt;Y354,""&amp;CHAR(10)&amp;"  * Current on ART by month of dispense F07-16 for age "&amp;X329&amp;" "&amp;Y330&amp;" is not equal to Clients current On ART F07-03 age  "&amp;X329&amp;" "&amp;Y330&amp;"",""),IF(Z341&lt;&gt;Z354,""&amp;CHAR(10)&amp;"  * Current on ART by month of dispense F07-16 for age "&amp;Z329&amp;" "&amp;Z330&amp;" is not equal to Clients current On ART F07-03 age  "&amp;Z329&amp;" "&amp;Z330&amp;"",""),IF(AA341&lt;&gt;AA354,""&amp;CHAR(10)&amp;"  * Current on ART by month of dispense F07-16 for age "&amp;Z329&amp;" "&amp;AA330&amp;" is not equal to Clients current On ART F07-03 age  "&amp;Z329&amp;" "&amp;AA330&amp;"",""))</f>
        <v/>
      </c>
      <c r="AL341" s="1077"/>
      <c r="AM341" s="31"/>
      <c r="AN341" s="1231"/>
      <c r="AO341" s="13">
        <v>257</v>
      </c>
      <c r="AP341" s="74"/>
      <c r="AQ341" s="75"/>
    </row>
    <row r="342" spans="1:43" ht="26.25" x14ac:dyDescent="0.4">
      <c r="A342" s="1280" t="s">
        <v>438</v>
      </c>
      <c r="B342" s="245" t="s">
        <v>393</v>
      </c>
      <c r="C342" s="595" t="s">
        <v>407</v>
      </c>
      <c r="D342" s="546"/>
      <c r="E342" s="72"/>
      <c r="F342" s="72"/>
      <c r="G342" s="72"/>
      <c r="H342" s="72"/>
      <c r="I342" s="72"/>
      <c r="J342" s="72"/>
      <c r="K342" s="72"/>
      <c r="L342" s="72"/>
      <c r="M342" s="72"/>
      <c r="N342" s="72"/>
      <c r="O342" s="72"/>
      <c r="P342" s="72"/>
      <c r="Q342" s="72"/>
      <c r="R342" s="72"/>
      <c r="S342" s="72"/>
      <c r="T342" s="72"/>
      <c r="U342" s="72"/>
      <c r="V342" s="72"/>
      <c r="W342" s="72"/>
      <c r="X342" s="72"/>
      <c r="Y342" s="317"/>
      <c r="Z342" s="539">
        <f t="shared" ref="Z342:Z353" si="149">SUM(AB342,AD342,AF342,AH342)</f>
        <v>0</v>
      </c>
      <c r="AA342" s="539">
        <f t="shared" ref="AA342:AA353" si="150">SUM(AC342,AE342,AG342,AI342)</f>
        <v>0</v>
      </c>
      <c r="AB342" s="547"/>
      <c r="AC342" s="317"/>
      <c r="AD342" s="317"/>
      <c r="AE342" s="317"/>
      <c r="AF342" s="317"/>
      <c r="AG342" s="317"/>
      <c r="AH342" s="317"/>
      <c r="AI342" s="317"/>
      <c r="AJ342" s="66">
        <f t="shared" si="144"/>
        <v>0</v>
      </c>
      <c r="AK342" s="116"/>
      <c r="AL342" s="1077"/>
      <c r="AM342" s="31"/>
      <c r="AN342" s="1231"/>
      <c r="AO342" s="13">
        <v>258</v>
      </c>
      <c r="AP342" s="74"/>
      <c r="AQ342" s="75"/>
    </row>
    <row r="343" spans="1:43" ht="26.25" x14ac:dyDescent="0.4">
      <c r="A343" s="1281"/>
      <c r="B343" s="2" t="s">
        <v>388</v>
      </c>
      <c r="C343" s="576" t="s">
        <v>408</v>
      </c>
      <c r="D343" s="411"/>
      <c r="E343" s="79"/>
      <c r="F343" s="79"/>
      <c r="G343" s="79"/>
      <c r="H343" s="79"/>
      <c r="I343" s="79"/>
      <c r="J343" s="79"/>
      <c r="K343" s="79"/>
      <c r="L343" s="79"/>
      <c r="M343" s="79"/>
      <c r="N343" s="79"/>
      <c r="O343" s="79"/>
      <c r="P343" s="79"/>
      <c r="Q343" s="79"/>
      <c r="R343" s="79"/>
      <c r="S343" s="79"/>
      <c r="T343" s="79"/>
      <c r="U343" s="79"/>
      <c r="V343" s="79"/>
      <c r="W343" s="79"/>
      <c r="X343" s="79"/>
      <c r="Y343" s="318"/>
      <c r="Z343" s="502">
        <f t="shared" si="149"/>
        <v>0</v>
      </c>
      <c r="AA343" s="502">
        <f t="shared" si="150"/>
        <v>0</v>
      </c>
      <c r="AB343" s="360"/>
      <c r="AC343" s="318"/>
      <c r="AD343" s="318"/>
      <c r="AE343" s="318"/>
      <c r="AF343" s="318"/>
      <c r="AG343" s="318"/>
      <c r="AH343" s="318"/>
      <c r="AI343" s="318"/>
      <c r="AJ343" s="29">
        <f t="shared" si="144"/>
        <v>0</v>
      </c>
      <c r="AK343" s="116"/>
      <c r="AL343" s="1077"/>
      <c r="AM343" s="31"/>
      <c r="AN343" s="1231"/>
      <c r="AO343" s="13">
        <v>259</v>
      </c>
      <c r="AP343" s="74"/>
      <c r="AQ343" s="75"/>
    </row>
    <row r="344" spans="1:43" ht="26.25" x14ac:dyDescent="0.4">
      <c r="A344" s="1281"/>
      <c r="B344" s="2" t="s">
        <v>389</v>
      </c>
      <c r="C344" s="576" t="s">
        <v>409</v>
      </c>
      <c r="D344" s="411"/>
      <c r="E344" s="79"/>
      <c r="F344" s="79"/>
      <c r="G344" s="79"/>
      <c r="H344" s="79"/>
      <c r="I344" s="79"/>
      <c r="J344" s="79"/>
      <c r="K344" s="79"/>
      <c r="L344" s="79"/>
      <c r="M344" s="79"/>
      <c r="N344" s="79"/>
      <c r="O344" s="79"/>
      <c r="P344" s="79"/>
      <c r="Q344" s="79"/>
      <c r="R344" s="79"/>
      <c r="S344" s="79"/>
      <c r="T344" s="79"/>
      <c r="U344" s="79"/>
      <c r="V344" s="79"/>
      <c r="W344" s="79"/>
      <c r="X344" s="79"/>
      <c r="Y344" s="318"/>
      <c r="Z344" s="502">
        <f t="shared" si="149"/>
        <v>0</v>
      </c>
      <c r="AA344" s="502">
        <f t="shared" si="150"/>
        <v>0</v>
      </c>
      <c r="AB344" s="360"/>
      <c r="AC344" s="318"/>
      <c r="AD344" s="318"/>
      <c r="AE344" s="318"/>
      <c r="AF344" s="318"/>
      <c r="AG344" s="318"/>
      <c r="AH344" s="318"/>
      <c r="AI344" s="318"/>
      <c r="AJ344" s="29">
        <f t="shared" si="144"/>
        <v>0</v>
      </c>
      <c r="AK344" s="116"/>
      <c r="AL344" s="1077"/>
      <c r="AM344" s="31"/>
      <c r="AN344" s="1231"/>
      <c r="AO344" s="13">
        <v>260</v>
      </c>
      <c r="AP344" s="74"/>
      <c r="AQ344" s="75"/>
    </row>
    <row r="345" spans="1:43" ht="26.25" x14ac:dyDescent="0.4">
      <c r="A345" s="1281"/>
      <c r="B345" s="2" t="s">
        <v>390</v>
      </c>
      <c r="C345" s="576" t="s">
        <v>410</v>
      </c>
      <c r="D345" s="411"/>
      <c r="E345" s="79"/>
      <c r="F345" s="79"/>
      <c r="G345" s="79"/>
      <c r="H345" s="79"/>
      <c r="I345" s="79"/>
      <c r="J345" s="79"/>
      <c r="K345" s="79"/>
      <c r="L345" s="79"/>
      <c r="M345" s="79"/>
      <c r="N345" s="79"/>
      <c r="O345" s="79"/>
      <c r="P345" s="79"/>
      <c r="Q345" s="79"/>
      <c r="R345" s="79"/>
      <c r="S345" s="79"/>
      <c r="T345" s="79"/>
      <c r="U345" s="79"/>
      <c r="V345" s="79"/>
      <c r="W345" s="79"/>
      <c r="X345" s="79"/>
      <c r="Y345" s="318"/>
      <c r="Z345" s="502">
        <f t="shared" si="149"/>
        <v>0</v>
      </c>
      <c r="AA345" s="502">
        <f t="shared" si="150"/>
        <v>0</v>
      </c>
      <c r="AB345" s="360"/>
      <c r="AC345" s="318"/>
      <c r="AD345" s="318"/>
      <c r="AE345" s="318"/>
      <c r="AF345" s="318"/>
      <c r="AG345" s="318"/>
      <c r="AH345" s="318"/>
      <c r="AI345" s="318"/>
      <c r="AJ345" s="29">
        <f t="shared" si="144"/>
        <v>0</v>
      </c>
      <c r="AK345" s="116"/>
      <c r="AL345" s="1077"/>
      <c r="AM345" s="31"/>
      <c r="AN345" s="1231"/>
      <c r="AO345" s="13">
        <v>261</v>
      </c>
      <c r="AP345" s="74"/>
      <c r="AQ345" s="75"/>
    </row>
    <row r="346" spans="1:43" ht="26.25" x14ac:dyDescent="0.4">
      <c r="A346" s="1281"/>
      <c r="B346" s="2" t="s">
        <v>391</v>
      </c>
      <c r="C346" s="576" t="s">
        <v>411</v>
      </c>
      <c r="D346" s="411"/>
      <c r="E346" s="79"/>
      <c r="F346" s="79"/>
      <c r="G346" s="79"/>
      <c r="H346" s="79"/>
      <c r="I346" s="79"/>
      <c r="J346" s="79"/>
      <c r="K346" s="79"/>
      <c r="L346" s="79"/>
      <c r="M346" s="79"/>
      <c r="N346" s="79"/>
      <c r="O346" s="79"/>
      <c r="P346" s="79"/>
      <c r="Q346" s="79"/>
      <c r="R346" s="79"/>
      <c r="S346" s="79"/>
      <c r="T346" s="79"/>
      <c r="U346" s="79"/>
      <c r="V346" s="79"/>
      <c r="W346" s="79"/>
      <c r="X346" s="79"/>
      <c r="Y346" s="318"/>
      <c r="Z346" s="502">
        <f t="shared" si="149"/>
        <v>0</v>
      </c>
      <c r="AA346" s="502">
        <f t="shared" si="150"/>
        <v>0</v>
      </c>
      <c r="AB346" s="360"/>
      <c r="AC346" s="318"/>
      <c r="AD346" s="318"/>
      <c r="AE346" s="318"/>
      <c r="AF346" s="318"/>
      <c r="AG346" s="318"/>
      <c r="AH346" s="318"/>
      <c r="AI346" s="318"/>
      <c r="AJ346" s="29">
        <f t="shared" si="144"/>
        <v>0</v>
      </c>
      <c r="AK346" s="116"/>
      <c r="AL346" s="1077"/>
      <c r="AM346" s="31"/>
      <c r="AN346" s="1231"/>
      <c r="AO346" s="13">
        <v>262</v>
      </c>
      <c r="AP346" s="74"/>
      <c r="AQ346" s="75"/>
    </row>
    <row r="347" spans="1:43" ht="27" thickBot="1" x14ac:dyDescent="0.45">
      <c r="A347" s="1228"/>
      <c r="B347" s="3" t="s">
        <v>392</v>
      </c>
      <c r="C347" s="577" t="s">
        <v>412</v>
      </c>
      <c r="D347" s="412"/>
      <c r="E347" s="89"/>
      <c r="F347" s="89"/>
      <c r="G347" s="89"/>
      <c r="H347" s="89"/>
      <c r="I347" s="89"/>
      <c r="J347" s="89"/>
      <c r="K347" s="89"/>
      <c r="L347" s="89"/>
      <c r="M347" s="89"/>
      <c r="N347" s="89"/>
      <c r="O347" s="89"/>
      <c r="P347" s="89"/>
      <c r="Q347" s="89"/>
      <c r="R347" s="89"/>
      <c r="S347" s="89"/>
      <c r="T347" s="89"/>
      <c r="U347" s="89"/>
      <c r="V347" s="89"/>
      <c r="W347" s="89"/>
      <c r="X347" s="89"/>
      <c r="Y347" s="320"/>
      <c r="Z347" s="502">
        <f t="shared" si="149"/>
        <v>0</v>
      </c>
      <c r="AA347" s="502">
        <f t="shared" si="150"/>
        <v>0</v>
      </c>
      <c r="AB347" s="409"/>
      <c r="AC347" s="320"/>
      <c r="AD347" s="320"/>
      <c r="AE347" s="320"/>
      <c r="AF347" s="320"/>
      <c r="AG347" s="320"/>
      <c r="AH347" s="320"/>
      <c r="AI347" s="320"/>
      <c r="AJ347" s="90">
        <f t="shared" si="144"/>
        <v>0</v>
      </c>
      <c r="AK347" s="116"/>
      <c r="AL347" s="1077"/>
      <c r="AM347" s="31"/>
      <c r="AN347" s="1231"/>
      <c r="AO347" s="13">
        <v>263</v>
      </c>
      <c r="AP347" s="74"/>
      <c r="AQ347" s="75"/>
    </row>
    <row r="348" spans="1:43" ht="30.75" customHeight="1" x14ac:dyDescent="0.4">
      <c r="A348" s="1280" t="s">
        <v>439</v>
      </c>
      <c r="B348" s="1" t="s">
        <v>442</v>
      </c>
      <c r="C348" s="575" t="s">
        <v>418</v>
      </c>
      <c r="D348" s="410"/>
      <c r="E348" s="94"/>
      <c r="F348" s="94"/>
      <c r="G348" s="94"/>
      <c r="H348" s="94"/>
      <c r="I348" s="94"/>
      <c r="J348" s="94"/>
      <c r="K348" s="94"/>
      <c r="L348" s="94"/>
      <c r="M348" s="94"/>
      <c r="N348" s="94"/>
      <c r="O348" s="94"/>
      <c r="P348" s="94"/>
      <c r="Q348" s="94"/>
      <c r="R348" s="94"/>
      <c r="S348" s="94"/>
      <c r="T348" s="94"/>
      <c r="U348" s="94"/>
      <c r="V348" s="94"/>
      <c r="W348" s="94"/>
      <c r="X348" s="94"/>
      <c r="Y348" s="321"/>
      <c r="Z348" s="502">
        <f t="shared" si="149"/>
        <v>0</v>
      </c>
      <c r="AA348" s="502">
        <f t="shared" si="150"/>
        <v>0</v>
      </c>
      <c r="AB348" s="359"/>
      <c r="AC348" s="321"/>
      <c r="AD348" s="321"/>
      <c r="AE348" s="321"/>
      <c r="AF348" s="321"/>
      <c r="AG348" s="321"/>
      <c r="AH348" s="321"/>
      <c r="AI348" s="321"/>
      <c r="AJ348" s="65">
        <f t="shared" si="144"/>
        <v>0</v>
      </c>
      <c r="AK348" s="116"/>
      <c r="AL348" s="1077"/>
      <c r="AM348" s="31"/>
      <c r="AN348" s="1231"/>
      <c r="AO348" s="13">
        <v>264</v>
      </c>
      <c r="AP348" s="74"/>
      <c r="AQ348" s="75"/>
    </row>
    <row r="349" spans="1:43" ht="26.25" x14ac:dyDescent="0.4">
      <c r="A349" s="1281"/>
      <c r="B349" s="2" t="s">
        <v>413</v>
      </c>
      <c r="C349" s="576" t="s">
        <v>419</v>
      </c>
      <c r="D349" s="411"/>
      <c r="E349" s="79"/>
      <c r="F349" s="79"/>
      <c r="G349" s="79"/>
      <c r="H349" s="79"/>
      <c r="I349" s="79"/>
      <c r="J349" s="79"/>
      <c r="K349" s="79"/>
      <c r="L349" s="79"/>
      <c r="M349" s="79"/>
      <c r="N349" s="79"/>
      <c r="O349" s="79"/>
      <c r="P349" s="79"/>
      <c r="Q349" s="79"/>
      <c r="R349" s="79"/>
      <c r="S349" s="79"/>
      <c r="T349" s="79"/>
      <c r="U349" s="79"/>
      <c r="V349" s="79"/>
      <c r="W349" s="79"/>
      <c r="X349" s="79"/>
      <c r="Y349" s="318"/>
      <c r="Z349" s="502">
        <f t="shared" si="149"/>
        <v>0</v>
      </c>
      <c r="AA349" s="502">
        <f t="shared" si="150"/>
        <v>0</v>
      </c>
      <c r="AB349" s="360"/>
      <c r="AC349" s="318"/>
      <c r="AD349" s="318"/>
      <c r="AE349" s="318"/>
      <c r="AF349" s="318"/>
      <c r="AG349" s="318"/>
      <c r="AH349" s="318"/>
      <c r="AI349" s="318"/>
      <c r="AJ349" s="29">
        <f t="shared" si="144"/>
        <v>0</v>
      </c>
      <c r="AK349" s="116"/>
      <c r="AL349" s="1077"/>
      <c r="AM349" s="31"/>
      <c r="AN349" s="1231"/>
      <c r="AO349" s="13">
        <v>265</v>
      </c>
      <c r="AP349" s="74"/>
      <c r="AQ349" s="75"/>
    </row>
    <row r="350" spans="1:43" ht="26.25" x14ac:dyDescent="0.4">
      <c r="A350" s="1281"/>
      <c r="B350" s="2" t="s">
        <v>414</v>
      </c>
      <c r="C350" s="576" t="s">
        <v>420</v>
      </c>
      <c r="D350" s="411"/>
      <c r="E350" s="79"/>
      <c r="F350" s="79"/>
      <c r="G350" s="79"/>
      <c r="H350" s="79"/>
      <c r="I350" s="79"/>
      <c r="J350" s="79"/>
      <c r="K350" s="79"/>
      <c r="L350" s="79"/>
      <c r="M350" s="79"/>
      <c r="N350" s="79"/>
      <c r="O350" s="79"/>
      <c r="P350" s="79"/>
      <c r="Q350" s="79"/>
      <c r="R350" s="79"/>
      <c r="S350" s="79"/>
      <c r="T350" s="79"/>
      <c r="U350" s="79"/>
      <c r="V350" s="79"/>
      <c r="W350" s="79"/>
      <c r="X350" s="79"/>
      <c r="Y350" s="318"/>
      <c r="Z350" s="502">
        <f t="shared" si="149"/>
        <v>0</v>
      </c>
      <c r="AA350" s="502">
        <f t="shared" si="150"/>
        <v>0</v>
      </c>
      <c r="AB350" s="360"/>
      <c r="AC350" s="318"/>
      <c r="AD350" s="318"/>
      <c r="AE350" s="318"/>
      <c r="AF350" s="318"/>
      <c r="AG350" s="318"/>
      <c r="AH350" s="318"/>
      <c r="AI350" s="318"/>
      <c r="AJ350" s="29">
        <f t="shared" si="144"/>
        <v>0</v>
      </c>
      <c r="AK350" s="116"/>
      <c r="AL350" s="1077"/>
      <c r="AM350" s="31"/>
      <c r="AN350" s="1231"/>
      <c r="AO350" s="13">
        <v>266</v>
      </c>
      <c r="AP350" s="74"/>
      <c r="AQ350" s="75"/>
    </row>
    <row r="351" spans="1:43" ht="26.25" x14ac:dyDescent="0.4">
      <c r="A351" s="1281"/>
      <c r="B351" s="2" t="s">
        <v>415</v>
      </c>
      <c r="C351" s="576" t="s">
        <v>421</v>
      </c>
      <c r="D351" s="411"/>
      <c r="E351" s="79"/>
      <c r="F351" s="79"/>
      <c r="G351" s="79"/>
      <c r="H351" s="79"/>
      <c r="I351" s="79"/>
      <c r="J351" s="79"/>
      <c r="K351" s="79"/>
      <c r="L351" s="79"/>
      <c r="M351" s="79"/>
      <c r="N351" s="79"/>
      <c r="O351" s="79"/>
      <c r="P351" s="79"/>
      <c r="Q351" s="79"/>
      <c r="R351" s="79"/>
      <c r="S351" s="79"/>
      <c r="T351" s="79"/>
      <c r="U351" s="79"/>
      <c r="V351" s="79"/>
      <c r="W351" s="79"/>
      <c r="X351" s="79"/>
      <c r="Y351" s="318"/>
      <c r="Z351" s="502">
        <f t="shared" si="149"/>
        <v>0</v>
      </c>
      <c r="AA351" s="502">
        <f t="shared" si="150"/>
        <v>0</v>
      </c>
      <c r="AB351" s="360"/>
      <c r="AC351" s="318"/>
      <c r="AD351" s="318"/>
      <c r="AE351" s="318"/>
      <c r="AF351" s="318"/>
      <c r="AG351" s="318"/>
      <c r="AH351" s="318"/>
      <c r="AI351" s="318"/>
      <c r="AJ351" s="29">
        <f t="shared" si="144"/>
        <v>0</v>
      </c>
      <c r="AK351" s="116"/>
      <c r="AL351" s="1077"/>
      <c r="AM351" s="31"/>
      <c r="AN351" s="1231"/>
      <c r="AO351" s="13">
        <v>267</v>
      </c>
      <c r="AP351" s="74"/>
      <c r="AQ351" s="75"/>
    </row>
    <row r="352" spans="1:43" ht="26.25" x14ac:dyDescent="0.4">
      <c r="A352" s="1281"/>
      <c r="B352" s="2" t="s">
        <v>416</v>
      </c>
      <c r="C352" s="576" t="s">
        <v>422</v>
      </c>
      <c r="D352" s="411"/>
      <c r="E352" s="79"/>
      <c r="F352" s="79"/>
      <c r="G352" s="79"/>
      <c r="H352" s="79"/>
      <c r="I352" s="79"/>
      <c r="J352" s="79"/>
      <c r="K352" s="79"/>
      <c r="L352" s="79"/>
      <c r="M352" s="79"/>
      <c r="N352" s="79"/>
      <c r="O352" s="79"/>
      <c r="P352" s="79"/>
      <c r="Q352" s="79"/>
      <c r="R352" s="79"/>
      <c r="S352" s="79"/>
      <c r="T352" s="79"/>
      <c r="U352" s="79"/>
      <c r="V352" s="79"/>
      <c r="W352" s="79"/>
      <c r="X352" s="79"/>
      <c r="Y352" s="318"/>
      <c r="Z352" s="502">
        <f t="shared" si="149"/>
        <v>0</v>
      </c>
      <c r="AA352" s="502">
        <f t="shared" si="150"/>
        <v>0</v>
      </c>
      <c r="AB352" s="360"/>
      <c r="AC352" s="318"/>
      <c r="AD352" s="318"/>
      <c r="AE352" s="318"/>
      <c r="AF352" s="318"/>
      <c r="AG352" s="318"/>
      <c r="AH352" s="318"/>
      <c r="AI352" s="318"/>
      <c r="AJ352" s="29">
        <f t="shared" si="144"/>
        <v>0</v>
      </c>
      <c r="AK352" s="116"/>
      <c r="AL352" s="1077"/>
      <c r="AM352" s="31"/>
      <c r="AN352" s="1231"/>
      <c r="AO352" s="13">
        <v>268</v>
      </c>
      <c r="AP352" s="74"/>
      <c r="AQ352" s="75"/>
    </row>
    <row r="353" spans="1:43" ht="26.25" x14ac:dyDescent="0.4">
      <c r="A353" s="1281"/>
      <c r="B353" s="2" t="s">
        <v>417</v>
      </c>
      <c r="C353" s="576" t="s">
        <v>423</v>
      </c>
      <c r="D353" s="411"/>
      <c r="E353" s="79"/>
      <c r="F353" s="79"/>
      <c r="G353" s="79"/>
      <c r="H353" s="79"/>
      <c r="I353" s="79"/>
      <c r="J353" s="79"/>
      <c r="K353" s="79"/>
      <c r="L353" s="79"/>
      <c r="M353" s="79"/>
      <c r="N353" s="79"/>
      <c r="O353" s="79"/>
      <c r="P353" s="79"/>
      <c r="Q353" s="79"/>
      <c r="R353" s="79"/>
      <c r="S353" s="79"/>
      <c r="T353" s="79"/>
      <c r="U353" s="79"/>
      <c r="V353" s="79"/>
      <c r="W353" s="79"/>
      <c r="X353" s="79"/>
      <c r="Y353" s="318"/>
      <c r="Z353" s="502">
        <f t="shared" si="149"/>
        <v>0</v>
      </c>
      <c r="AA353" s="502">
        <f t="shared" si="150"/>
        <v>0</v>
      </c>
      <c r="AB353" s="360"/>
      <c r="AC353" s="318"/>
      <c r="AD353" s="318"/>
      <c r="AE353" s="318"/>
      <c r="AF353" s="318"/>
      <c r="AG353" s="318"/>
      <c r="AH353" s="318"/>
      <c r="AI353" s="318"/>
      <c r="AJ353" s="29">
        <f t="shared" si="144"/>
        <v>0</v>
      </c>
      <c r="AK353" s="116"/>
      <c r="AL353" s="1077"/>
      <c r="AM353" s="31"/>
      <c r="AN353" s="1231"/>
      <c r="AO353" s="13">
        <v>269</v>
      </c>
      <c r="AP353" s="74"/>
      <c r="AQ353" s="75"/>
    </row>
    <row r="354" spans="1:43" ht="27" thickBot="1" x14ac:dyDescent="0.45">
      <c r="A354" s="1281"/>
      <c r="B354" s="243" t="s">
        <v>437</v>
      </c>
      <c r="C354" s="577" t="s">
        <v>441</v>
      </c>
      <c r="D354" s="530">
        <f>SUM(D348:D353)</f>
        <v>0</v>
      </c>
      <c r="E354" s="531">
        <f t="shared" ref="E354:Y354" si="151">SUM(E348:E353)</f>
        <v>0</v>
      </c>
      <c r="F354" s="531">
        <f t="shared" si="151"/>
        <v>0</v>
      </c>
      <c r="G354" s="531">
        <f t="shared" si="151"/>
        <v>0</v>
      </c>
      <c r="H354" s="531">
        <f t="shared" si="151"/>
        <v>0</v>
      </c>
      <c r="I354" s="531">
        <f t="shared" si="151"/>
        <v>0</v>
      </c>
      <c r="J354" s="531">
        <f t="shared" si="151"/>
        <v>0</v>
      </c>
      <c r="K354" s="531">
        <f t="shared" si="151"/>
        <v>0</v>
      </c>
      <c r="L354" s="531">
        <f t="shared" si="151"/>
        <v>0</v>
      </c>
      <c r="M354" s="531">
        <f t="shared" si="151"/>
        <v>0</v>
      </c>
      <c r="N354" s="531">
        <f t="shared" si="151"/>
        <v>0</v>
      </c>
      <c r="O354" s="531">
        <f t="shared" si="151"/>
        <v>0</v>
      </c>
      <c r="P354" s="531">
        <f t="shared" si="151"/>
        <v>0</v>
      </c>
      <c r="Q354" s="531">
        <f t="shared" si="151"/>
        <v>0</v>
      </c>
      <c r="R354" s="531">
        <f t="shared" si="151"/>
        <v>0</v>
      </c>
      <c r="S354" s="531">
        <f t="shared" si="151"/>
        <v>0</v>
      </c>
      <c r="T354" s="531">
        <f t="shared" si="151"/>
        <v>0</v>
      </c>
      <c r="U354" s="531">
        <f t="shared" si="151"/>
        <v>0</v>
      </c>
      <c r="V354" s="531">
        <f t="shared" si="151"/>
        <v>0</v>
      </c>
      <c r="W354" s="531">
        <f t="shared" si="151"/>
        <v>0</v>
      </c>
      <c r="X354" s="531">
        <f t="shared" si="151"/>
        <v>0</v>
      </c>
      <c r="Y354" s="532">
        <f t="shared" si="151"/>
        <v>0</v>
      </c>
      <c r="Z354" s="533">
        <f t="shared" ref="Z354" si="152">SUM(AB354,AD354,AF354,AH354)</f>
        <v>0</v>
      </c>
      <c r="AA354" s="533">
        <f t="shared" ref="AA354" si="153">SUM(AC354,AE354,AG354,AI354)</f>
        <v>0</v>
      </c>
      <c r="AB354" s="534">
        <f t="shared" ref="AB354:AG354" si="154">SUM(AB348:AB353)</f>
        <v>0</v>
      </c>
      <c r="AC354" s="531">
        <f t="shared" si="154"/>
        <v>0</v>
      </c>
      <c r="AD354" s="531">
        <f t="shared" si="154"/>
        <v>0</v>
      </c>
      <c r="AE354" s="531">
        <f t="shared" si="154"/>
        <v>0</v>
      </c>
      <c r="AF354" s="531">
        <f t="shared" si="154"/>
        <v>0</v>
      </c>
      <c r="AG354" s="531">
        <f t="shared" si="154"/>
        <v>0</v>
      </c>
      <c r="AH354" s="531">
        <f t="shared" ref="AH354:AI354" si="155">SUM(AH348:AH353)</f>
        <v>0</v>
      </c>
      <c r="AI354" s="531">
        <f t="shared" si="155"/>
        <v>0</v>
      </c>
      <c r="AJ354" s="535">
        <f t="shared" si="144"/>
        <v>0</v>
      </c>
      <c r="AK354" s="116"/>
      <c r="AL354" s="1077"/>
      <c r="AM354" s="31"/>
      <c r="AN354" s="1231"/>
      <c r="AO354" s="13">
        <v>270</v>
      </c>
      <c r="AP354" s="74"/>
      <c r="AQ354" s="75"/>
    </row>
    <row r="355" spans="1:43" ht="27" thickBot="1" x14ac:dyDescent="0.45">
      <c r="A355" s="1228"/>
      <c r="B355" s="227" t="s">
        <v>459</v>
      </c>
      <c r="C355" s="597" t="s">
        <v>443</v>
      </c>
      <c r="D355" s="408"/>
      <c r="E355" s="229"/>
      <c r="F355" s="229"/>
      <c r="G355" s="229"/>
      <c r="H355" s="229"/>
      <c r="I355" s="229"/>
      <c r="J355" s="229"/>
      <c r="K355" s="229"/>
      <c r="L355" s="229"/>
      <c r="M355" s="229"/>
      <c r="N355" s="229"/>
      <c r="O355" s="229"/>
      <c r="P355" s="229"/>
      <c r="Q355" s="229"/>
      <c r="R355" s="229"/>
      <c r="S355" s="229"/>
      <c r="T355" s="229"/>
      <c r="U355" s="229"/>
      <c r="V355" s="229"/>
      <c r="W355" s="229"/>
      <c r="X355" s="229"/>
      <c r="Y355" s="536"/>
      <c r="Z355" s="537">
        <f t="shared" ref="Z355:Z365" si="156">SUM(AB355,AD355,AF355,AH355)</f>
        <v>0</v>
      </c>
      <c r="AA355" s="537">
        <f t="shared" ref="AA355:AA365" si="157">SUM(AC355,AE355,AG355,AI355)</f>
        <v>0</v>
      </c>
      <c r="AB355" s="358"/>
      <c r="AC355" s="536"/>
      <c r="AD355" s="536"/>
      <c r="AE355" s="536"/>
      <c r="AF355" s="536"/>
      <c r="AG355" s="536"/>
      <c r="AH355" s="536"/>
      <c r="AI355" s="536"/>
      <c r="AJ355" s="538">
        <f t="shared" si="144"/>
        <v>0</v>
      </c>
      <c r="AK355" s="116"/>
      <c r="AL355" s="1240"/>
      <c r="AM355" s="31"/>
      <c r="AN355" s="1232"/>
      <c r="AO355" s="13">
        <v>271</v>
      </c>
      <c r="AP355" s="74"/>
      <c r="AQ355" s="75"/>
    </row>
    <row r="356" spans="1:43" s="61" customFormat="1" ht="26.25" x14ac:dyDescent="0.4">
      <c r="A356" s="1265" t="s">
        <v>603</v>
      </c>
      <c r="B356" s="561" t="s">
        <v>961</v>
      </c>
      <c r="C356" s="575" t="s">
        <v>552</v>
      </c>
      <c r="D356" s="72"/>
      <c r="E356" s="72"/>
      <c r="F356" s="72"/>
      <c r="G356" s="72"/>
      <c r="H356" s="72"/>
      <c r="I356" s="72"/>
      <c r="J356" s="72"/>
      <c r="K356" s="72"/>
      <c r="L356" s="72"/>
      <c r="M356" s="72"/>
      <c r="N356" s="72"/>
      <c r="O356" s="72"/>
      <c r="P356" s="72"/>
      <c r="Q356" s="72"/>
      <c r="R356" s="72"/>
      <c r="S356" s="72"/>
      <c r="T356" s="72"/>
      <c r="U356" s="72"/>
      <c r="V356" s="72"/>
      <c r="W356" s="72"/>
      <c r="X356" s="72"/>
      <c r="Y356" s="72"/>
      <c r="Z356" s="502">
        <f t="shared" si="156"/>
        <v>0</v>
      </c>
      <c r="AA356" s="502">
        <f t="shared" si="157"/>
        <v>0</v>
      </c>
      <c r="AB356" s="72"/>
      <c r="AC356" s="72"/>
      <c r="AD356" s="72"/>
      <c r="AE356" s="72"/>
      <c r="AF356" s="72"/>
      <c r="AG356" s="72"/>
      <c r="AH356" s="72"/>
      <c r="AI356" s="72"/>
      <c r="AJ356" s="52">
        <f t="shared" si="144"/>
        <v>0</v>
      </c>
      <c r="AK356" s="30" t="str">
        <f>CONCATENATE(IF(D367&gt;D356," *  confirmed TB positive newly started on TB treatment "&amp;$D$20&amp;" "&amp;$D$21&amp;" is more than Screening positive for TB Newly enrolled on ART"&amp;CHAR(10),""),IF(E367&gt;E356," *  confirmed TB positive newly started on TB treatment "&amp;$D$20&amp;" "&amp;$E$21&amp;" is more than Screening positive for TB Newly enrolled on ART"&amp;CHAR(10),""),IF(F367&gt;F356," *  confirmed TB positive newly started on TB treatment "&amp;$F$20&amp;" "&amp;$F$21&amp;" is more than Screening positive for TB Newly enrolled on ART"&amp;CHAR(10),""),IF(G367&gt;G356," *  confirmed TB positive newly started on TB treatment "&amp;$F$20&amp;" "&amp;$G$21&amp;" is more than Screening positive for TB Newly enrolled on ART"&amp;CHAR(10),""),IF(H367&gt;H356," *  confirmed TB positive newly started on TB treatment "&amp;$H$20&amp;" "&amp;$H$21&amp;" is more than Screening positive for TB Newly enrolled on ART"&amp;CHAR(10),""),IF(I367&gt;I356," *  confirmed TB positive newly started on TB treatment "&amp;$H$20&amp;" "&amp;$I$21&amp;" is more than Screening positive for TB Newly enrolled on ART"&amp;CHAR(10),""),IF(J367&gt;J356," *  confirmed TB positive newly started on TB treatment "&amp;$J$20&amp;" "&amp;$J$21&amp;" is more than Screening positive for TB Newly enrolled on ART"&amp;CHAR(10),""),IF(K367&gt;K356," *  confirmed TB positive newly started on TB treatment "&amp;$J$20&amp;" "&amp;$K$21&amp;" is more than Screening positive for TB Newly enrolled on ART"&amp;CHAR(10),""),IF(L367&gt;L356," *  confirmed TB positive newly started on TB treatment "&amp;$L$20&amp;" "&amp;$L$21&amp;" is more than Screening positive for TB Newly enrolled on ART"&amp;CHAR(10),""),IF(M367&gt;M356," *  confirmed TB positive newly started on TB treatment "&amp;$L$20&amp;" "&amp;$M$21&amp;" is more than Screening positive for TB Newly enrolled on ART"&amp;CHAR(10),""),IF(N367&gt;N356," *  confirmed TB positive newly started on TB treatment "&amp;$N$20&amp;" "&amp;$N$21&amp;" is more than Screening positive for TB Newly enrolled on ART"&amp;CHAR(10),""),IF(O367&gt;O356," *  confirmed TB positive newly started on TB treatment "&amp;$N$20&amp;" "&amp;$O$21&amp;" is more than Screening positive for TB Newly enrolled on ART"&amp;CHAR(10),""),IF(P367&gt;P356," *  confirmed TB positive newly started on TB treatment "&amp;$P$20&amp;" "&amp;$P$21&amp;" is more than Screening positive for TB Newly enrolled on ART"&amp;CHAR(10),""),IF(Q367&gt;Q356," *  confirmed TB positive newly started on TB treatment "&amp;$P$20&amp;" "&amp;$Q$21&amp;" is more than Screening positive for TB Newly enrolled on ART"&amp;CHAR(10),""),IF(R367&gt;R356," *  confirmed TB positive newly started on TB treatment "&amp;$R$20&amp;" "&amp;$R$21&amp;" is more than Screening positive for TB Newly enrolled on ART"&amp;CHAR(10),""),IF(S367&gt;S356," *  confirmed TB positive newly started on TB treatment "&amp;$R$20&amp;" "&amp;$S$21&amp;" is more than Screening positive for TB Newly enrolled on ART"&amp;CHAR(10),""),IF(T367&gt;T356," *  confirmed TB positive newly started on TB treatment "&amp;$T$20&amp;" "&amp;$T$21&amp;" is more than Screening positive for TB Newly enrolled on ART"&amp;CHAR(10),""),IF(U367&gt;U356," *  confirmed TB positive newly started on TB treatment "&amp;$T$20&amp;" "&amp;$U$21&amp;" is more than Screening positive for TB Newly enrolled on ART"&amp;CHAR(10),""),IF(V367&gt;V356," *  confirmed TB positive newly started on TB treatment "&amp;$V$20&amp;" "&amp;$V$21&amp;" is more than Screening positive for TB Newly enrolled on ART"&amp;CHAR(10),""),IF(W367&gt;W356," *  confirmed TB positive newly started on TB treatment "&amp;$V$20&amp;" "&amp;$W$21&amp;" is more than Screening positive for TB Newly enrolled on ART"&amp;CHAR(10),""),IF(X367&gt;X356," *  confirmed TB positive newly started on TB treatment "&amp;$X$20&amp;" "&amp;$X$21&amp;" is more than Screening positive for TB Newly enrolled on ART"&amp;CHAR(10),""),IF(Y367&gt;Y356," *  confirmed TB positive newly started on TB treatment "&amp;$X$20&amp;" "&amp;$Y$21&amp;" is more than Screening positive for TB Newly enrolled on ART"&amp;CHAR(10),""),IF(Z367&gt;Z356," *  confirmed TB positive newly started on TB treatment "&amp;$Z$20&amp;" "&amp;$Z$21&amp;" is more than Screening positive for TB Newly enrolled on ART"&amp;CHAR(10),""),IF(AA367&gt;AA356," *  confirmed TB positive newly started on TB treatment "&amp;$Z$20&amp;" "&amp;$AA$21&amp;" is more than Screening positive for TB Newly enrolled on ART"&amp;CHAR(10),""))</f>
        <v/>
      </c>
      <c r="AL356" s="1076" t="str">
        <f>CONCATENATE(AK356,AK357,AK358,AK359,AK360,AK361,AK362,AK363,AK364,AK365,AK366,AK367,AK368,AK369)</f>
        <v/>
      </c>
      <c r="AM356" s="60" t="str">
        <f>CONCATENATE(IF(D367&lt;D356," *  confirmed TB positive newly started on TB treatment "&amp;$D$20&amp;" "&amp;$D$21&amp;" is less than Screening positive for TB Newly enrolled on ART"&amp;CHAR(10),""),IF(E367&lt;E356," *  confirmed TB positive newly started on TB treatment "&amp;$D$20&amp;" "&amp;$E$21&amp;" is less than Screening positive for TB Newly enrolled on ART"&amp;CHAR(10),""),IF(F367&lt;F356," *  confirmed TB positive newly started on TB treatment "&amp;$F$20&amp;" "&amp;$F$21&amp;" is less than Screening positive for TB Newly enrolled on ART"&amp;CHAR(10),""),IF(G367&lt;G356," *  confirmed TB positive newly started on TB treatment "&amp;$F$20&amp;" "&amp;$G$21&amp;" is less than Screening positive for TB Newly enrolled on ART"&amp;CHAR(10),""),IF(H367&lt;H356," *  confirmed TB positive newly started on TB treatment "&amp;$H$20&amp;" "&amp;$H$21&amp;" is less than Screening positive for TB Newly enrolled on ART"&amp;CHAR(10),""),IF(I367&lt;I356," *  confirmed TB positive newly started on TB treatment "&amp;$H$20&amp;" "&amp;$I$21&amp;" is less than Screening positive for TB Newly enrolled on ART"&amp;CHAR(10),""),IF(J367&lt;J356," *  confirmed TB positive newly started on TB treatment "&amp;$J$20&amp;" "&amp;$J$21&amp;" is less than Screening positive for TB Newly enrolled on ART"&amp;CHAR(10),""),IF(K367&lt;K356," *  confirmed TB positive newly started on TB treatment "&amp;$J$20&amp;" "&amp;$K$21&amp;" is less than Screening positive for TB Newly enrolled on ART"&amp;CHAR(10),""),IF(L367&lt;L356," *  confirmed TB positive newly started on TB treatment "&amp;$L$20&amp;" "&amp;$L$21&amp;" is less than Screening positive for TB Newly enrolled on ART"&amp;CHAR(10),""),IF(M367&lt;M356," *  confirmed TB positive newly started on TB treatment "&amp;$L$20&amp;" "&amp;$M$21&amp;" is less than Screening positive for TB Newly enrolled on ART"&amp;CHAR(10),""),IF(N367&lt;N356," *  confirmed TB positive newly started on TB treatment "&amp;$N$20&amp;" "&amp;$N$21&amp;" is less than Screening positive for TB Newly enrolled on ART"&amp;CHAR(10),""),IF(O367&lt;O356," *  confirmed TB positive newly started on TB treatment "&amp;$N$20&amp;" "&amp;$O$21&amp;" is less than Screening positive for TB Newly enrolled on ART"&amp;CHAR(10),""),IF(P367&lt;P356," *  confirmed TB positive newly started on TB treatment "&amp;$P$20&amp;" "&amp;$P$21&amp;" is less than Screening positive for TB Newly enrolled on ART"&amp;CHAR(10),""),IF(Q367&lt;Q356," *  confirmed TB positive newly started on TB treatment "&amp;$P$20&amp;" "&amp;$Q$21&amp;" is less than Screening positive for TB Newly enrolled on ART"&amp;CHAR(10),""),IF(R367&lt;R356," *  confirmed TB positive newly started on TB treatment "&amp;$R$20&amp;" "&amp;$R$21&amp;" is less than Screening positive for TB Newly enrolled on ART"&amp;CHAR(10),""),IF(S367&lt;S356," *  confirmed TB positive newly started on TB treatment "&amp;$R$20&amp;" "&amp;$S$21&amp;" is less than Screening positive for TB Newly enrolled on ART"&amp;CHAR(10),""),IF(T367&lt;T356," *  confirmed TB positive newly started on TB treatment "&amp;$T$20&amp;" "&amp;$T$21&amp;" is less than Screening positive for TB Newly enrolled on ART"&amp;CHAR(10),""),IF(U367&lt;U356," *  confirmed TB positive newly started on TB treatment "&amp;$T$20&amp;" "&amp;$U$21&amp;" is less than Screening positive for TB Newly enrolled on ART"&amp;CHAR(10),""),IF(V367&lt;V356," *  confirmed TB positive newly started on TB treatment "&amp;$V$20&amp;" "&amp;$V$21&amp;" is less than Screening positive for TB Newly enrolled on ART"&amp;CHAR(10),""),IF(W367&lt;W356," *  confirmed TB positive newly started on TB treatment "&amp;$V$20&amp;" "&amp;$W$21&amp;" is less than Screening positive for TB Newly enrolled on ART"&amp;CHAR(10),""),IF(X367&lt;X356," *  confirmed TB positive newly started on TB treatment "&amp;$X$20&amp;" "&amp;$X$21&amp;" is less than Screening positive for TB Newly enrolled on ART"&amp;CHAR(10),""),IF(Y367&lt;Y356," *  confirmed TB positive newly started on TB treatment "&amp;$X$20&amp;" "&amp;$Y$21&amp;" is less than Screening positive for TB Newly enrolled on ART"&amp;CHAR(10),""),IF(Z367&lt;Z356," *  confirmed TB positive newly started on TB treatment "&amp;$Z$20&amp;" "&amp;$Z$21&amp;" is less than Screening positive for TB Newly enrolled on ART"&amp;CHAR(10),""),IF(AA367&lt;AA356," *  confirmed TB positive newly started on TB treatment "&amp;$Z$20&amp;" "&amp;$AA$21&amp;" is less than Screening positive for TB Newly enrolled on ART"&amp;CHAR(10),""))</f>
        <v/>
      </c>
      <c r="AN356" s="1233" t="str">
        <f>CONCATENATE(AM356,AM357,AM358,AM359,AM360,AM361,AM362,AM363,AM364,AM365,AM366,AM367,AM368,AM369)</f>
        <v/>
      </c>
      <c r="AO356" s="13">
        <v>272</v>
      </c>
      <c r="AP356" s="80"/>
      <c r="AQ356" s="75"/>
    </row>
    <row r="357" spans="1:43" ht="26.25" x14ac:dyDescent="0.4">
      <c r="A357" s="1266"/>
      <c r="B357" s="560" t="s">
        <v>995</v>
      </c>
      <c r="C357" s="576" t="s">
        <v>553</v>
      </c>
      <c r="D357" s="79"/>
      <c r="E357" s="79"/>
      <c r="F357" s="79"/>
      <c r="G357" s="79"/>
      <c r="H357" s="79"/>
      <c r="I357" s="79"/>
      <c r="J357" s="79"/>
      <c r="K357" s="79"/>
      <c r="L357" s="79"/>
      <c r="M357" s="79"/>
      <c r="N357" s="79"/>
      <c r="O357" s="79"/>
      <c r="P357" s="79"/>
      <c r="Q357" s="79"/>
      <c r="R357" s="79"/>
      <c r="S357" s="79"/>
      <c r="T357" s="79"/>
      <c r="U357" s="79"/>
      <c r="V357" s="79"/>
      <c r="W357" s="79"/>
      <c r="X357" s="79"/>
      <c r="Y357" s="79"/>
      <c r="Z357" s="502">
        <f t="shared" si="156"/>
        <v>0</v>
      </c>
      <c r="AA357" s="502">
        <f t="shared" si="157"/>
        <v>0</v>
      </c>
      <c r="AB357" s="79"/>
      <c r="AC357" s="79"/>
      <c r="AD357" s="79"/>
      <c r="AE357" s="79"/>
      <c r="AF357" s="79"/>
      <c r="AG357" s="79"/>
      <c r="AH357" s="79"/>
      <c r="AI357" s="79"/>
      <c r="AJ357" s="173">
        <f t="shared" si="144"/>
        <v>0</v>
      </c>
      <c r="AK357" s="559" t="str">
        <f>CONCATENATE(IF(D368&gt;D357," *  Confirmed TB positive already on ART and on TB treatment "&amp;$D$20&amp;" "&amp;$D$21&amp;" is more than Screening positive for TB Previously enrolled on ART"&amp;CHAR(10),""),IF(E368&gt;E357," *  Confirmed TB positive already on ART and on TB treatment "&amp;$D$20&amp;" "&amp;$E$21&amp;" is more than Screening positive for TB Previously enrolled on ART"&amp;CHAR(10),""),IF(F368&gt;F357," *  Confirmed TB positive already on ART and on TB treatment "&amp;$F$20&amp;" "&amp;$F$21&amp;" is more than Screening positive for TB Previously enrolled on ART"&amp;CHAR(10),""),IF(G368&gt;G357," *  Confirmed TB positive already on ART and on TB treatment "&amp;$F$20&amp;" "&amp;$G$21&amp;" is more than Screening positive for TB Previously enrolled on ART"&amp;CHAR(10),""),IF(H368&gt;H357," *  Confirmed TB positive already on ART and on TB treatment "&amp;$H$20&amp;" "&amp;$H$21&amp;" is more than Screening positive for TB Previously enrolled on ART"&amp;CHAR(10),""),IF(I368&gt;I357," *  Confirmed TB positive already on ART and on TB treatment "&amp;$H$20&amp;" "&amp;$I$21&amp;" is more than Screening positive for TB Previously enrolled on ART"&amp;CHAR(10),""),IF(J368&gt;J357," *  Confirmed TB positive already on ART and on TB treatment "&amp;$J$20&amp;" "&amp;$J$21&amp;" is more than Screening positive for TB Previously enrolled on ART"&amp;CHAR(10),""),IF(K368&gt;K357," *  Confirmed TB positive already on ART and on TB treatment "&amp;$J$20&amp;" "&amp;$K$21&amp;" is more than Screening positive for TB Previously enrolled on ART"&amp;CHAR(10),""),IF(L368&gt;L357," *  Confirmed TB positive already on ART and on TB treatment "&amp;$L$20&amp;" "&amp;$L$21&amp;" is more than Screening positive for TB Previously enrolled on ART"&amp;CHAR(10),""),IF(M368&gt;M357," *  Confirmed TB positive already on ART and on TB treatment "&amp;$L$20&amp;" "&amp;$M$21&amp;" is more than Screening positive for TB Previously enrolled on ART"&amp;CHAR(10),""),IF(N368&gt;N357," *  Confirmed TB positive already on ART and on TB treatment "&amp;$N$20&amp;" "&amp;$N$21&amp;" is more than Screening positive for TB Previously enrolled on ART"&amp;CHAR(10),""),IF(O368&gt;O357," *  Confirmed TB positive already on ART and on TB treatment "&amp;$N$20&amp;" "&amp;$O$21&amp;" is more than Screening positive for TB Previously enrolled on ART"&amp;CHAR(10),""),IF(P368&gt;P357," *  Confirmed TB positive already on ART and on TB treatment "&amp;$P$20&amp;" "&amp;$P$21&amp;" is more than Screening positive for TB Previously enrolled on ART"&amp;CHAR(10),""),IF(Q368&gt;Q357," *  Confirmed TB positive already on ART and on TB treatment "&amp;$P$20&amp;" "&amp;$Q$21&amp;" is more than Screening positive for TB Previously enrolled on ART"&amp;CHAR(10),""),IF(R368&gt;R357," *  Confirmed TB positive already on ART and on TB treatment "&amp;$R$20&amp;" "&amp;$R$21&amp;" is more than Screening positive for TB Previously enrolled on ART"&amp;CHAR(10),""),IF(S368&gt;S357," *  Confirmed TB positive already on ART and on TB treatment "&amp;$R$20&amp;" "&amp;$S$21&amp;" is more than Screening positive for TB Previously enrolled on ART"&amp;CHAR(10),""),IF(T368&gt;T357," *  Confirmed TB positive already on ART and on TB treatment "&amp;$T$20&amp;" "&amp;$T$21&amp;" is more than Screening positive for TB Previously enrolled on ART"&amp;CHAR(10),""),IF(U368&gt;U357," *  Confirmed TB positive already on ART and on TB treatment "&amp;$T$20&amp;" "&amp;$U$21&amp;" is more than Screening positive for TB Previously enrolled on ART"&amp;CHAR(10),""),IF(V368&gt;V357," *  Confirmed TB positive already on ART and on TB treatment "&amp;$V$20&amp;" "&amp;$V$21&amp;" is more than Screening positive for TB Previously enrolled on ART"&amp;CHAR(10),""),IF(W368&gt;W357," *  Confirmed TB positive already on ART and on TB treatment "&amp;$V$20&amp;" "&amp;$W$21&amp;" is more than Screening positive for TB Previously enrolled on ART"&amp;CHAR(10),""),IF(X368&gt;X357," *  Confirmed TB positive already on ART and on TB treatment "&amp;$X$20&amp;" "&amp;$X$21&amp;" is more than Screening positive for TB Previously enrolled on ART"&amp;CHAR(10),""),IF(Y368&gt;Y357," *  Confirmed TB positive already on ART and on TB treatment "&amp;$X$20&amp;" "&amp;$Y$21&amp;" is more than Screening positive for TB Previously enrolled on ART"&amp;CHAR(10),""),IF(Z368&gt;Z357," *  Confirmed TB positive already on ART and on TB treatment "&amp;$Z$20&amp;" "&amp;$Z$21&amp;" is more than Screening positive for TB Previously enrolled on ART"&amp;CHAR(10),""),IF(AA368&gt;AA357," *  Confirmed TB positive already on ART and on TB treatment "&amp;$Z$20&amp;" "&amp;$AA$21&amp;" is more than Screening positive for TB Previously enrolled on ART"&amp;CHAR(10),""))</f>
        <v/>
      </c>
      <c r="AL357" s="1077"/>
      <c r="AM357" s="31" t="str">
        <f>CONCATENATE(IF(D368&lt;D357," *  Confirmed TB positive already on ART and on TB treatment "&amp;$D$20&amp;" "&amp;$D$21&amp;" is less than Screening positive for TB Previously enrolled on ART"&amp;CHAR(10),""),IF(E368&lt;E357," *  Confirmed TB positive already on ART and on TB treatment "&amp;$D$20&amp;" "&amp;$E$21&amp;" is less than Screening positive for TB Previously enrolled on ART"&amp;CHAR(10),""),IF(F368&lt;F357," *  Confirmed TB positive already on ART and on TB treatment "&amp;$F$20&amp;" "&amp;$F$21&amp;" is less than Screening positive for TB Previously enrolled on ART"&amp;CHAR(10),""),IF(G368&lt;G357," *  Confirmed TB positive already on ART and on TB treatment "&amp;$F$20&amp;" "&amp;$G$21&amp;" is less than Screening positive for TB Previously enrolled on ART"&amp;CHAR(10),""),IF(H368&lt;H357," *  Confirmed TB positive already on ART and on TB treatment "&amp;$H$20&amp;" "&amp;$H$21&amp;" is less than Screening positive for TB Previously enrolled on ART"&amp;CHAR(10),""),IF(I368&lt;I357," *  Confirmed TB positive already on ART and on TB treatment "&amp;$H$20&amp;" "&amp;$I$21&amp;" is less than Screening positive for TB Previously enrolled on ART"&amp;CHAR(10),""),IF(J368&lt;J357," *  Confirmed TB positive already on ART and on TB treatment "&amp;$J$20&amp;" "&amp;$J$21&amp;" is less than Screening positive for TB Previously enrolled on ART"&amp;CHAR(10),""),IF(K368&lt;K357," *  Confirmed TB positive already on ART and on TB treatment "&amp;$J$20&amp;" "&amp;$K$21&amp;" is less than Screening positive for TB Previously enrolled on ART"&amp;CHAR(10),""),IF(L368&lt;L357," *  Confirmed TB positive already on ART and on TB treatment "&amp;$L$20&amp;" "&amp;$L$21&amp;" is less than Screening positive for TB Previously enrolled on ART"&amp;CHAR(10),""),IF(M368&lt;M357," *  Confirmed TB positive already on ART and on TB treatment "&amp;$L$20&amp;" "&amp;$M$21&amp;" is less than Screening positive for TB Previously enrolled on ART"&amp;CHAR(10),""),IF(N368&lt;N357," *  Confirmed TB positive already on ART and on TB treatment "&amp;$N$20&amp;" "&amp;$N$21&amp;" is less than Screening positive for TB Previously enrolled on ART"&amp;CHAR(10),""),IF(O368&lt;O357," *  Confirmed TB positive already on ART and on TB treatment "&amp;$N$20&amp;" "&amp;$O$21&amp;" is less than Screening positive for TB Previously enrolled on ART"&amp;CHAR(10),""),IF(P368&lt;P357," *  Confirmed TB positive already on ART and on TB treatment "&amp;$P$20&amp;" "&amp;$P$21&amp;" is less than Screening positive for TB Previously enrolled on ART"&amp;CHAR(10),""),IF(Q368&lt;Q357," *  Confirmed TB positive already on ART and on TB treatment "&amp;$P$20&amp;" "&amp;$Q$21&amp;" is less than Screening positive for TB Previously enrolled on ART"&amp;CHAR(10),""),IF(R368&lt;R357," *  Confirmed TB positive already on ART and on TB treatment "&amp;$R$20&amp;" "&amp;$R$21&amp;" is less than Screening positive for TB Previously enrolled on ART"&amp;CHAR(10),""),IF(S368&lt;S357," *  Confirmed TB positive already on ART and on TB treatment "&amp;$R$20&amp;" "&amp;$S$21&amp;" is less than Screening positive for TB Previously enrolled on ART"&amp;CHAR(10),""),IF(T368&lt;T357," *  Confirmed TB positive already on ART and on TB treatment "&amp;$T$20&amp;" "&amp;$T$21&amp;" is less than Screening positive for TB Previously enrolled on ART"&amp;CHAR(10),""),IF(U368&lt;U357," *  Confirmed TB positive already on ART and on TB treatment "&amp;$T$20&amp;" "&amp;$U$21&amp;" is less than Screening positive for TB Previously enrolled on ART"&amp;CHAR(10),""),IF(V368&lt;V357," *  Confirmed TB positive already on ART and on TB treatment "&amp;$V$20&amp;" "&amp;$V$21&amp;" is less than Screening positive for TB Previously enrolled on ART"&amp;CHAR(10),""),IF(W368&lt;W357," *  Confirmed TB positive already on ART and on TB treatment "&amp;$V$20&amp;" "&amp;$W$21&amp;" is less than Screening positive for TB Previously enrolled on ART"&amp;CHAR(10),""),IF(X368&lt;X357," *  Confirmed TB positive already on ART and on TB treatment "&amp;$X$20&amp;" "&amp;$X$21&amp;" is less than Screening positive for TB Previously enrolled on ART"&amp;CHAR(10),""),IF(Y368&lt;Y357," *  Confirmed TB positive already on ART and on TB treatment "&amp;$X$20&amp;" "&amp;$Y$21&amp;" is less than Screening positive for TB Previously enrolled on ART"&amp;CHAR(10),""),IF(Z368&lt;Z357," *  Confirmed TB positive already on ART and on TB treatment "&amp;$Z$20&amp;" "&amp;$Z$21&amp;" is less than Screening positive for TB Previously enrolled on ART"&amp;CHAR(10),""),IF(AA368&lt;AA357," *  Confirmed TB positive already on ART and on TB treatment "&amp;$Z$20&amp;" "&amp;$AA$21&amp;" is less than Screening positive for TB Previously enrolled on ART"&amp;CHAR(10),""))</f>
        <v/>
      </c>
      <c r="AN357" s="1231"/>
      <c r="AO357" s="13">
        <v>273</v>
      </c>
      <c r="AP357" s="74"/>
      <c r="AQ357" s="75"/>
    </row>
    <row r="358" spans="1:43" ht="27" thickBot="1" x14ac:dyDescent="0.45">
      <c r="A358" s="1266"/>
      <c r="B358" s="243" t="s">
        <v>831</v>
      </c>
      <c r="C358" s="577" t="s">
        <v>551</v>
      </c>
      <c r="D358" s="242">
        <f t="shared" ref="D358:Y358" si="158">D356+D357</f>
        <v>0</v>
      </c>
      <c r="E358" s="242">
        <f t="shared" si="158"/>
        <v>0</v>
      </c>
      <c r="F358" s="242">
        <f t="shared" si="158"/>
        <v>0</v>
      </c>
      <c r="G358" s="242">
        <f t="shared" si="158"/>
        <v>0</v>
      </c>
      <c r="H358" s="242">
        <f t="shared" si="158"/>
        <v>0</v>
      </c>
      <c r="I358" s="242">
        <f t="shared" si="158"/>
        <v>0</v>
      </c>
      <c r="J358" s="242">
        <f t="shared" si="158"/>
        <v>0</v>
      </c>
      <c r="K358" s="242">
        <f t="shared" si="158"/>
        <v>0</v>
      </c>
      <c r="L358" s="242">
        <f t="shared" si="158"/>
        <v>0</v>
      </c>
      <c r="M358" s="242">
        <f t="shared" si="158"/>
        <v>0</v>
      </c>
      <c r="N358" s="242">
        <f t="shared" si="158"/>
        <v>0</v>
      </c>
      <c r="O358" s="242">
        <f t="shared" si="158"/>
        <v>0</v>
      </c>
      <c r="P358" s="242">
        <f t="shared" si="158"/>
        <v>0</v>
      </c>
      <c r="Q358" s="242">
        <f t="shared" si="158"/>
        <v>0</v>
      </c>
      <c r="R358" s="242">
        <f t="shared" si="158"/>
        <v>0</v>
      </c>
      <c r="S358" s="242">
        <f t="shared" si="158"/>
        <v>0</v>
      </c>
      <c r="T358" s="242">
        <f t="shared" si="158"/>
        <v>0</v>
      </c>
      <c r="U358" s="242">
        <f t="shared" si="158"/>
        <v>0</v>
      </c>
      <c r="V358" s="242">
        <f t="shared" si="158"/>
        <v>0</v>
      </c>
      <c r="W358" s="242">
        <f t="shared" si="158"/>
        <v>0</v>
      </c>
      <c r="X358" s="242">
        <f t="shared" si="158"/>
        <v>0</v>
      </c>
      <c r="Y358" s="242">
        <f t="shared" si="158"/>
        <v>0</v>
      </c>
      <c r="Z358" s="502">
        <f t="shared" si="156"/>
        <v>0</v>
      </c>
      <c r="AA358" s="502">
        <f t="shared" si="157"/>
        <v>0</v>
      </c>
      <c r="AB358" s="242">
        <f t="shared" ref="AB358:AI358" si="159">AB356+AB357</f>
        <v>0</v>
      </c>
      <c r="AC358" s="242">
        <f t="shared" si="159"/>
        <v>0</v>
      </c>
      <c r="AD358" s="242">
        <f t="shared" si="159"/>
        <v>0</v>
      </c>
      <c r="AE358" s="242">
        <f t="shared" si="159"/>
        <v>0</v>
      </c>
      <c r="AF358" s="242">
        <f t="shared" si="159"/>
        <v>0</v>
      </c>
      <c r="AG358" s="242">
        <f t="shared" si="159"/>
        <v>0</v>
      </c>
      <c r="AH358" s="242">
        <f t="shared" si="159"/>
        <v>0</v>
      </c>
      <c r="AI358" s="242">
        <f t="shared" si="159"/>
        <v>0</v>
      </c>
      <c r="AJ358" s="192">
        <f t="shared" si="144"/>
        <v>0</v>
      </c>
      <c r="AK358" s="116"/>
      <c r="AL358" s="1077"/>
      <c r="AM358" s="31"/>
      <c r="AN358" s="1231"/>
      <c r="AO358" s="13">
        <v>274</v>
      </c>
      <c r="AP358" s="74"/>
      <c r="AQ358" s="75"/>
    </row>
    <row r="359" spans="1:43" ht="26.25" x14ac:dyDescent="0.4">
      <c r="A359" s="1266"/>
      <c r="B359" s="245" t="s">
        <v>598</v>
      </c>
      <c r="C359" s="595" t="s">
        <v>554</v>
      </c>
      <c r="D359" s="138"/>
      <c r="E359" s="72"/>
      <c r="F359" s="72"/>
      <c r="G359" s="72"/>
      <c r="H359" s="72"/>
      <c r="I359" s="72"/>
      <c r="J359" s="72"/>
      <c r="K359" s="72"/>
      <c r="L359" s="72"/>
      <c r="M359" s="72"/>
      <c r="N359" s="72"/>
      <c r="O359" s="72"/>
      <c r="P359" s="72"/>
      <c r="Q359" s="72"/>
      <c r="R359" s="72"/>
      <c r="S359" s="72"/>
      <c r="T359" s="72"/>
      <c r="U359" s="72"/>
      <c r="V359" s="72"/>
      <c r="W359" s="72"/>
      <c r="X359" s="72"/>
      <c r="Y359" s="72"/>
      <c r="Z359" s="502">
        <f t="shared" si="156"/>
        <v>0</v>
      </c>
      <c r="AA359" s="502">
        <f t="shared" si="157"/>
        <v>0</v>
      </c>
      <c r="AB359" s="72"/>
      <c r="AC359" s="72"/>
      <c r="AD359" s="72"/>
      <c r="AE359" s="72"/>
      <c r="AF359" s="72"/>
      <c r="AG359" s="72"/>
      <c r="AH359" s="72"/>
      <c r="AI359" s="72"/>
      <c r="AJ359" s="52">
        <f t="shared" si="144"/>
        <v>0</v>
      </c>
      <c r="AK359" s="116"/>
      <c r="AL359" s="1077"/>
      <c r="AM359" s="31"/>
      <c r="AN359" s="1231"/>
      <c r="AO359" s="13">
        <v>275</v>
      </c>
      <c r="AP359" s="74"/>
      <c r="AQ359" s="75"/>
    </row>
    <row r="360" spans="1:43" ht="26.25" x14ac:dyDescent="0.4">
      <c r="A360" s="1266"/>
      <c r="B360" s="2" t="s">
        <v>599</v>
      </c>
      <c r="C360" s="576" t="s">
        <v>592</v>
      </c>
      <c r="D360" s="237"/>
      <c r="E360" s="79"/>
      <c r="F360" s="79"/>
      <c r="G360" s="79"/>
      <c r="H360" s="79"/>
      <c r="I360" s="79"/>
      <c r="J360" s="79"/>
      <c r="K360" s="79"/>
      <c r="L360" s="79"/>
      <c r="M360" s="79"/>
      <c r="N360" s="79"/>
      <c r="O360" s="79"/>
      <c r="P360" s="79"/>
      <c r="Q360" s="79"/>
      <c r="R360" s="79"/>
      <c r="S360" s="79"/>
      <c r="T360" s="79"/>
      <c r="U360" s="79"/>
      <c r="V360" s="79"/>
      <c r="W360" s="79"/>
      <c r="X360" s="79"/>
      <c r="Y360" s="79"/>
      <c r="Z360" s="502">
        <f t="shared" si="156"/>
        <v>0</v>
      </c>
      <c r="AA360" s="502">
        <f t="shared" si="157"/>
        <v>0</v>
      </c>
      <c r="AB360" s="79"/>
      <c r="AC360" s="79"/>
      <c r="AD360" s="79"/>
      <c r="AE360" s="79"/>
      <c r="AF360" s="79"/>
      <c r="AG360" s="79"/>
      <c r="AH360" s="79"/>
      <c r="AI360" s="79"/>
      <c r="AJ360" s="173">
        <f t="shared" si="144"/>
        <v>0</v>
      </c>
      <c r="AK360" s="116" t="str">
        <f>IF(AJ341&gt;0,IF(AJ361&lt;1," No Patient was screened for TB",""),"")</f>
        <v/>
      </c>
      <c r="AL360" s="1077"/>
      <c r="AM360" s="31"/>
      <c r="AN360" s="1231"/>
      <c r="AO360" s="13">
        <v>276</v>
      </c>
      <c r="AP360" s="74"/>
      <c r="AQ360" s="75"/>
    </row>
    <row r="361" spans="1:43" ht="27" thickBot="1" x14ac:dyDescent="0.45">
      <c r="A361" s="1266"/>
      <c r="B361" s="243" t="s">
        <v>832</v>
      </c>
      <c r="C361" s="577" t="s">
        <v>301</v>
      </c>
      <c r="D361" s="246">
        <f>SUM(D360,D359,D358)</f>
        <v>0</v>
      </c>
      <c r="E361" s="247">
        <f t="shared" ref="E361:Y361" si="160">SUM(E360,E359,E358)</f>
        <v>0</v>
      </c>
      <c r="F361" s="247">
        <f t="shared" si="160"/>
        <v>0</v>
      </c>
      <c r="G361" s="247">
        <f t="shared" si="160"/>
        <v>0</v>
      </c>
      <c r="H361" s="247">
        <f t="shared" si="160"/>
        <v>0</v>
      </c>
      <c r="I361" s="247">
        <f t="shared" si="160"/>
        <v>0</v>
      </c>
      <c r="J361" s="247">
        <f t="shared" si="160"/>
        <v>0</v>
      </c>
      <c r="K361" s="247">
        <f t="shared" si="160"/>
        <v>0</v>
      </c>
      <c r="L361" s="247">
        <f t="shared" si="160"/>
        <v>0</v>
      </c>
      <c r="M361" s="247">
        <f t="shared" si="160"/>
        <v>0</v>
      </c>
      <c r="N361" s="247">
        <f t="shared" si="160"/>
        <v>0</v>
      </c>
      <c r="O361" s="247">
        <f t="shared" si="160"/>
        <v>0</v>
      </c>
      <c r="P361" s="247">
        <f t="shared" si="160"/>
        <v>0</v>
      </c>
      <c r="Q361" s="247">
        <f t="shared" si="160"/>
        <v>0</v>
      </c>
      <c r="R361" s="247">
        <f t="shared" si="160"/>
        <v>0</v>
      </c>
      <c r="S361" s="247">
        <f t="shared" si="160"/>
        <v>0</v>
      </c>
      <c r="T361" s="247">
        <f t="shared" si="160"/>
        <v>0</v>
      </c>
      <c r="U361" s="247">
        <f t="shared" si="160"/>
        <v>0</v>
      </c>
      <c r="V361" s="247">
        <f t="shared" si="160"/>
        <v>0</v>
      </c>
      <c r="W361" s="247">
        <f t="shared" si="160"/>
        <v>0</v>
      </c>
      <c r="X361" s="247">
        <f t="shared" si="160"/>
        <v>0</v>
      </c>
      <c r="Y361" s="247">
        <f t="shared" si="160"/>
        <v>0</v>
      </c>
      <c r="Z361" s="502">
        <f t="shared" si="156"/>
        <v>0</v>
      </c>
      <c r="AA361" s="502">
        <f t="shared" si="157"/>
        <v>0</v>
      </c>
      <c r="AB361" s="247">
        <f t="shared" ref="AB361:AI361" si="161">SUM(AB360,AB359,AB358)</f>
        <v>0</v>
      </c>
      <c r="AC361" s="247">
        <f t="shared" si="161"/>
        <v>0</v>
      </c>
      <c r="AD361" s="247">
        <f t="shared" si="161"/>
        <v>0</v>
      </c>
      <c r="AE361" s="247">
        <f t="shared" si="161"/>
        <v>0</v>
      </c>
      <c r="AF361" s="247">
        <f t="shared" si="161"/>
        <v>0</v>
      </c>
      <c r="AG361" s="247">
        <f t="shared" si="161"/>
        <v>0</v>
      </c>
      <c r="AH361" s="247">
        <f t="shared" si="161"/>
        <v>0</v>
      </c>
      <c r="AI361" s="247">
        <f t="shared" si="161"/>
        <v>0</v>
      </c>
      <c r="AJ361" s="192">
        <f t="shared" si="144"/>
        <v>0</v>
      </c>
      <c r="AK361" s="116" t="str">
        <f>CONCATENATE(IF(D361&gt;D341," * Total Screened For TB  for Age "&amp;D20&amp;" "&amp;D21&amp;" is more than Current On ART "&amp;CHAR(10),""),IF(E361&gt;E341," * Total Screened For TB  for Age "&amp;D20&amp;" "&amp;E21&amp;" is more than Current On ART "&amp;CHAR(10),""),IF(F361&gt;F341," * Total Screened For TB  for Age "&amp;F20&amp;" "&amp;F21&amp;" is more than Current On ART "&amp;CHAR(10),""),IF(G361&gt;G341," * Total Screened For TB  for Age "&amp;F20&amp;" "&amp;G21&amp;" is more than Current On ART "&amp;CHAR(10),""),IF(H361&gt;H341," * Total Screened For TB  for Age "&amp;H20&amp;" "&amp;H21&amp;" is more than Current On ART "&amp;CHAR(10),""),IF(I361&gt;I341," * Total Screened For TB  for Age "&amp;H20&amp;" "&amp;I21&amp;" is more than Current On ART "&amp;CHAR(10),""),IF(J361&gt;J341," * Total Screened For TB  for Age "&amp;J20&amp;" "&amp;J21&amp;" is more than Current On ART "&amp;CHAR(10),""),IF(K361&gt;K341," * Total Screened For TB  for Age "&amp;J20&amp;" "&amp;K21&amp;" is more than Current On ART "&amp;CHAR(10),""),IF(L361&gt;L341," * Total Screened For TB  for Age "&amp;L20&amp;" "&amp;L21&amp;" is more than Current On ART "&amp;CHAR(10),""),IF(M361&gt;M341," * Total Screened For TB  for Age "&amp;L20&amp;" "&amp;M21&amp;" is more than Current On ART "&amp;CHAR(10),""),IF(N361&gt;N341," * Total Screened For TB  for Age "&amp;N20&amp;" "&amp;N21&amp;" is more than Current On ART "&amp;CHAR(10),""),IF(O361&gt;O341," * Total Screened For TB  for Age "&amp;N20&amp;" "&amp;O21&amp;" is more than Current On ART "&amp;CHAR(10),""),IF(P361&gt;P341," * Total Screened For TB  for Age "&amp;P20&amp;" "&amp;P21&amp;" is more than Current On ART "&amp;CHAR(10),""),IF(Q361&gt;Q341," * Total Screened For TB  for Age "&amp;P20&amp;" "&amp;Q21&amp;" is more than Current On ART "&amp;CHAR(10),""),IF(R361&gt;R341," * Total Screened For TB  for Age "&amp;R20&amp;" "&amp;R21&amp;" is more than Current On ART "&amp;CHAR(10),""),IF(S361&gt;S341," * Total Screened For TB  for Age "&amp;R20&amp;" "&amp;S21&amp;" is more than Current On ART "&amp;CHAR(10),""),IF(T361&gt;T341," * Total Screened For TB  for Age "&amp;T20&amp;" "&amp;T21&amp;" is more than Current On ART "&amp;CHAR(10),""),IF(U361&gt;U341," * Total Screened For TB  for Age "&amp;T20&amp;" "&amp;U21&amp;" is more than Current On ART "&amp;CHAR(10),""),IF(V361&gt;V341," * Total Screened For TB  for Age "&amp;V20&amp;" "&amp;V21&amp;" is more than Current On ART "&amp;CHAR(10),""),IF(W361&gt;W341," * Total Screened For TB  for Age "&amp;V20&amp;" "&amp;W21&amp;" is more than Current On ART "&amp;CHAR(10),""),IF(X361&gt;X341," * Total Screened For TB  for Age "&amp;X20&amp;" "&amp;X21&amp;" is more than Current On ART "&amp;CHAR(10),""),IF(Y361&gt;Y341," * Total Screened For TB  for Age "&amp;X20&amp;" "&amp;Y21&amp;" is more than Current On ART "&amp;CHAR(10),""),IF(Z361&gt;Z341," * Total Screened For TB  for Age "&amp;Z20&amp;" "&amp;Z21&amp;" is more than Current On ART "&amp;CHAR(10),""),IF(AA361&gt;AA341," * Total Screened For TB  for Age "&amp;Z20&amp;" "&amp;AA21&amp;" is more than Current On ART "&amp;CHAR(10),""))</f>
        <v/>
      </c>
      <c r="AL361" s="1077"/>
      <c r="AM361" s="31" t="str">
        <f>CONCATENATE(IF(D361&lt;D341," * Screened for TB for Age "&amp;D20&amp;" "&amp;D21&amp;" is less than Current On ART"&amp;CHAR(10),""),IF(E361&lt;E341," * Screened for TB for Age "&amp;D20&amp;" "&amp;E21&amp;" is less than Current On ART"&amp;CHAR(10),""),IF(F361&lt;F341," * Screened for TB for Age "&amp;F20&amp;" "&amp;F21&amp;" is less than Current On ART"&amp;CHAR(10),""),IF(G361&lt;G341," * Screened for TB for Age "&amp;F20&amp;" "&amp;G21&amp;" is less than Current On ART"&amp;CHAR(10),""),IF(H361&lt;H341," * Screened for TB for Age "&amp;H20&amp;" "&amp;H21&amp;" is less than Current On ART"&amp;CHAR(10),""),IF(I361&lt;I341," * Screened for TB for Age "&amp;H20&amp;" "&amp;I21&amp;" is less than Current On ART"&amp;CHAR(10),""),IF(J361&lt;J341," * Screened for TB for Age "&amp;J20&amp;" "&amp;J21&amp;" is less than Current On ART"&amp;CHAR(10),""),IF(K361&lt;K341," * Screened for TB for Age "&amp;J20&amp;" "&amp;K21&amp;" is less than Current On ART"&amp;CHAR(10),""),IF(L361&lt;L341," * Screened for TB for Age "&amp;L20&amp;" "&amp;L21&amp;" is less than Current On ART"&amp;CHAR(10),""),IF(M361&lt;M341," * Screened for TB for Age "&amp;L20&amp;" "&amp;M21&amp;" is less than Current On ART"&amp;CHAR(10),""),IF(N361&lt;N341," * Screened for TB for Age "&amp;N20&amp;" "&amp;N21&amp;" is less than Current On ART"&amp;CHAR(10),""),IF(O361&lt;O341," * Screened for TB for Age "&amp;N20&amp;" "&amp;O21&amp;" is less than Current On ART"&amp;CHAR(10),""),IF(P361&lt;P341," * Screened for TB for Age "&amp;P20&amp;" "&amp;P21&amp;" is less than Current On ART"&amp;CHAR(10),""),IF(Q361&lt;Q341," * Screened for TB for Age "&amp;P20&amp;" "&amp;Q21&amp;" is less than Current On ART"&amp;CHAR(10),""),IF(R361&lt;R341," * Screened for TB for Age "&amp;R20&amp;" "&amp;R21&amp;" is less than Current On ART"&amp;CHAR(10),""),IF(S361&lt;S341," * Screened for TB for Age "&amp;R20&amp;" "&amp;S21&amp;" is less than Current On ART"&amp;CHAR(10),""),IF(T361&lt;T341," * Screened for TB for Age "&amp;T20&amp;" "&amp;T21&amp;" is less than Current On ART"&amp;CHAR(10),""),IF(U361&lt;U341," * Screened for TB for Age "&amp;T20&amp;" "&amp;U21&amp;" is less than Current On ART"&amp;CHAR(10),""),IF(V361&lt;V341," * Screened for TB for Age "&amp;V20&amp;" "&amp;V21&amp;" is less than Current On ART"&amp;CHAR(10),""),IF(W361&lt;W341," * Screened for TB for Age "&amp;V20&amp;" "&amp;W21&amp;" is less than Current On ART"&amp;CHAR(10),""),IF(X361&lt;X341," * Screened for TB for Age "&amp;X20&amp;" "&amp;X21&amp;" is less than Current On ART"&amp;CHAR(10),""),IF(Y361&lt;Y341," * Screened for TB for Age "&amp;X20&amp;" "&amp;Y21&amp;" is less than Current On ART"&amp;CHAR(10),""),IF(Z361&lt;Z341," * Screened for TB for Age "&amp;Z20&amp;" "&amp;Z21&amp;" is less than Current On ART"&amp;CHAR(10),""),IF(AA361&lt;AA341," * Screened for TB for Age "&amp;Z20&amp;" "&amp;AA21&amp;" is less than Current On ART"&amp;CHAR(10),""))</f>
        <v/>
      </c>
      <c r="AN361" s="1231"/>
      <c r="AO361" s="13">
        <v>277</v>
      </c>
      <c r="AP361" s="74"/>
      <c r="AQ361" s="75"/>
    </row>
    <row r="362" spans="1:43" ht="26.25" x14ac:dyDescent="0.4">
      <c r="A362" s="1266"/>
      <c r="B362" s="1" t="s">
        <v>1006</v>
      </c>
      <c r="C362" s="575" t="s">
        <v>593</v>
      </c>
      <c r="D362" s="236"/>
      <c r="E362" s="94"/>
      <c r="F362" s="94"/>
      <c r="G362" s="94"/>
      <c r="H362" s="94"/>
      <c r="I362" s="94"/>
      <c r="J362" s="94"/>
      <c r="K362" s="94"/>
      <c r="L362" s="94"/>
      <c r="M362" s="94"/>
      <c r="N362" s="94"/>
      <c r="O362" s="94"/>
      <c r="P362" s="94"/>
      <c r="Q362" s="94"/>
      <c r="R362" s="94"/>
      <c r="S362" s="94"/>
      <c r="T362" s="94"/>
      <c r="U362" s="94"/>
      <c r="V362" s="94"/>
      <c r="W362" s="94"/>
      <c r="X362" s="94"/>
      <c r="Y362" s="94"/>
      <c r="Z362" s="502">
        <f t="shared" si="156"/>
        <v>0</v>
      </c>
      <c r="AA362" s="502">
        <f t="shared" si="157"/>
        <v>0</v>
      </c>
      <c r="AB362" s="94"/>
      <c r="AC362" s="94"/>
      <c r="AD362" s="94"/>
      <c r="AE362" s="94"/>
      <c r="AF362" s="94"/>
      <c r="AG362" s="94"/>
      <c r="AH362" s="94"/>
      <c r="AI362" s="94"/>
      <c r="AJ362" s="188">
        <f t="shared" si="144"/>
        <v>0</v>
      </c>
      <c r="AK362" s="116"/>
      <c r="AL362" s="1077"/>
      <c r="AM362" s="31"/>
      <c r="AN362" s="1231"/>
      <c r="AO362" s="13">
        <v>278</v>
      </c>
      <c r="AP362" s="74"/>
      <c r="AQ362" s="75"/>
    </row>
    <row r="363" spans="1:43" s="61" customFormat="1" ht="26.25" x14ac:dyDescent="0.4">
      <c r="A363" s="1266"/>
      <c r="B363" s="2" t="s">
        <v>1007</v>
      </c>
      <c r="C363" s="576" t="s">
        <v>594</v>
      </c>
      <c r="D363" s="237"/>
      <c r="E363" s="79"/>
      <c r="F363" s="79"/>
      <c r="G363" s="79"/>
      <c r="H363" s="79"/>
      <c r="I363" s="79"/>
      <c r="J363" s="79"/>
      <c r="K363" s="79"/>
      <c r="L363" s="79"/>
      <c r="M363" s="79"/>
      <c r="N363" s="79"/>
      <c r="O363" s="79"/>
      <c r="P363" s="79"/>
      <c r="Q363" s="79"/>
      <c r="R363" s="79"/>
      <c r="S363" s="79"/>
      <c r="T363" s="79"/>
      <c r="U363" s="79"/>
      <c r="V363" s="79"/>
      <c r="W363" s="79"/>
      <c r="X363" s="79"/>
      <c r="Y363" s="79"/>
      <c r="Z363" s="502">
        <f t="shared" si="156"/>
        <v>0</v>
      </c>
      <c r="AA363" s="502">
        <f t="shared" si="157"/>
        <v>0</v>
      </c>
      <c r="AB363" s="79"/>
      <c r="AC363" s="79"/>
      <c r="AD363" s="79"/>
      <c r="AE363" s="79"/>
      <c r="AF363" s="79"/>
      <c r="AG363" s="79"/>
      <c r="AH363" s="79"/>
      <c r="AI363" s="79"/>
      <c r="AJ363" s="173">
        <f t="shared" si="144"/>
        <v>0</v>
      </c>
      <c r="AK363" s="116"/>
      <c r="AL363" s="1077"/>
      <c r="AM363" s="60"/>
      <c r="AN363" s="1231"/>
      <c r="AO363" s="13">
        <v>279</v>
      </c>
      <c r="AP363" s="80"/>
      <c r="AQ363" s="75"/>
    </row>
    <row r="364" spans="1:43" ht="26.25" x14ac:dyDescent="0.4">
      <c r="A364" s="1266"/>
      <c r="B364" s="2" t="s">
        <v>1008</v>
      </c>
      <c r="C364" s="576" t="s">
        <v>595</v>
      </c>
      <c r="D364" s="237"/>
      <c r="E364" s="79"/>
      <c r="F364" s="79"/>
      <c r="G364" s="79"/>
      <c r="H364" s="79"/>
      <c r="I364" s="79"/>
      <c r="J364" s="79"/>
      <c r="K364" s="79"/>
      <c r="L364" s="79"/>
      <c r="M364" s="79"/>
      <c r="N364" s="79"/>
      <c r="O364" s="79"/>
      <c r="P364" s="79"/>
      <c r="Q364" s="79"/>
      <c r="R364" s="79"/>
      <c r="S364" s="79"/>
      <c r="T364" s="79"/>
      <c r="U364" s="79"/>
      <c r="V364" s="79"/>
      <c r="W364" s="79"/>
      <c r="X364" s="79"/>
      <c r="Y364" s="79"/>
      <c r="Z364" s="502">
        <f t="shared" si="156"/>
        <v>0</v>
      </c>
      <c r="AA364" s="502">
        <f t="shared" si="157"/>
        <v>0</v>
      </c>
      <c r="AB364" s="79"/>
      <c r="AC364" s="79"/>
      <c r="AD364" s="79"/>
      <c r="AE364" s="79"/>
      <c r="AF364" s="79"/>
      <c r="AG364" s="79"/>
      <c r="AH364" s="79"/>
      <c r="AI364" s="79"/>
      <c r="AJ364" s="173">
        <f t="shared" si="144"/>
        <v>0</v>
      </c>
      <c r="AK364" s="116"/>
      <c r="AL364" s="1077"/>
      <c r="AM364" s="31"/>
      <c r="AN364" s="1231"/>
      <c r="AO364" s="13">
        <v>280</v>
      </c>
      <c r="AP364" s="74"/>
      <c r="AQ364" s="75"/>
    </row>
    <row r="365" spans="1:43" ht="32.25" customHeight="1" thickBot="1" x14ac:dyDescent="0.45">
      <c r="A365" s="1266"/>
      <c r="B365" s="243" t="s">
        <v>833</v>
      </c>
      <c r="C365" s="577" t="s">
        <v>601</v>
      </c>
      <c r="D365" s="247">
        <f t="shared" ref="D365:Y365" si="162">SUM(D362:D364)</f>
        <v>0</v>
      </c>
      <c r="E365" s="247">
        <f t="shared" si="162"/>
        <v>0</v>
      </c>
      <c r="F365" s="247">
        <f t="shared" si="162"/>
        <v>0</v>
      </c>
      <c r="G365" s="247">
        <f t="shared" si="162"/>
        <v>0</v>
      </c>
      <c r="H365" s="247">
        <f t="shared" si="162"/>
        <v>0</v>
      </c>
      <c r="I365" s="247">
        <f t="shared" si="162"/>
        <v>0</v>
      </c>
      <c r="J365" s="247">
        <f t="shared" si="162"/>
        <v>0</v>
      </c>
      <c r="K365" s="247">
        <f t="shared" si="162"/>
        <v>0</v>
      </c>
      <c r="L365" s="247">
        <f t="shared" si="162"/>
        <v>0</v>
      </c>
      <c r="M365" s="247">
        <f t="shared" si="162"/>
        <v>0</v>
      </c>
      <c r="N365" s="247">
        <f t="shared" si="162"/>
        <v>0</v>
      </c>
      <c r="O365" s="247">
        <f t="shared" si="162"/>
        <v>0</v>
      </c>
      <c r="P365" s="247">
        <f t="shared" si="162"/>
        <v>0</v>
      </c>
      <c r="Q365" s="247">
        <f t="shared" si="162"/>
        <v>0</v>
      </c>
      <c r="R365" s="247">
        <f t="shared" si="162"/>
        <v>0</v>
      </c>
      <c r="S365" s="247">
        <f t="shared" si="162"/>
        <v>0</v>
      </c>
      <c r="T365" s="247">
        <f t="shared" si="162"/>
        <v>0</v>
      </c>
      <c r="U365" s="247">
        <f t="shared" si="162"/>
        <v>0</v>
      </c>
      <c r="V365" s="247">
        <f t="shared" si="162"/>
        <v>0</v>
      </c>
      <c r="W365" s="247">
        <f t="shared" si="162"/>
        <v>0</v>
      </c>
      <c r="X365" s="247">
        <f t="shared" si="162"/>
        <v>0</v>
      </c>
      <c r="Y365" s="247">
        <f t="shared" si="162"/>
        <v>0</v>
      </c>
      <c r="Z365" s="502">
        <f t="shared" si="156"/>
        <v>0</v>
      </c>
      <c r="AA365" s="502">
        <f t="shared" si="157"/>
        <v>0</v>
      </c>
      <c r="AB365" s="247">
        <f t="shared" ref="AB365:AI365" si="163">SUM(AB362:AB364)</f>
        <v>0</v>
      </c>
      <c r="AC365" s="247">
        <f t="shared" si="163"/>
        <v>0</v>
      </c>
      <c r="AD365" s="247">
        <f t="shared" si="163"/>
        <v>0</v>
      </c>
      <c r="AE365" s="247">
        <f t="shared" si="163"/>
        <v>0</v>
      </c>
      <c r="AF365" s="247">
        <f t="shared" si="163"/>
        <v>0</v>
      </c>
      <c r="AG365" s="247">
        <f t="shared" si="163"/>
        <v>0</v>
      </c>
      <c r="AH365" s="247">
        <f t="shared" si="163"/>
        <v>0</v>
      </c>
      <c r="AI365" s="247">
        <f t="shared" si="163"/>
        <v>0</v>
      </c>
      <c r="AJ365" s="192">
        <f t="shared" si="144"/>
        <v>0</v>
      </c>
      <c r="AK365" s="30" t="str">
        <f>CONCATENATE(IF(D366&gt;D365," *  Positive Result Returned For bacteriologic diagnosis "&amp;$D$20&amp;" "&amp;$D$21&amp;" is more than Total Patients whose specimens were sent"&amp;CHAR(10),""),IF(E366&gt;E365," *  Positive Result Returned For bacteriologic diagnosis "&amp;$D$20&amp;" "&amp;$E$21&amp;" is more than Total Patients whose specimens were sent"&amp;CHAR(10),""),IF(F366&gt;F365," *  Positive Result Returned For bacteriologic diagnosis "&amp;$F$20&amp;" "&amp;$F$21&amp;" is more than Total Patients whose specimens were sent"&amp;CHAR(10),""),IF(G366&gt;G365," *  Positive Result Returned For bacteriologic diagnosis "&amp;$F$20&amp;" "&amp;$G$21&amp;" is more than Total Patients whose specimens were sent"&amp;CHAR(10),""),IF(H366&gt;H365," *  Positive Result Returned For bacteriologic diagnosis "&amp;$H$20&amp;" "&amp;$H$21&amp;" is more than Total Patients whose specimens were sent"&amp;CHAR(10),""),IF(I366&gt;I365," *  Positive Result Returned For bacteriologic diagnosis "&amp;$H$20&amp;" "&amp;$I$21&amp;" is more than Total Patients whose specimens were sent"&amp;CHAR(10),""),IF(J366&gt;J365," *  Positive Result Returned For bacteriologic diagnosis "&amp;$J$20&amp;" "&amp;$J$21&amp;" is more than Total Patients whose specimens were sent"&amp;CHAR(10),""),IF(K366&gt;K365," *  Positive Result Returned For bacteriologic diagnosis "&amp;$J$20&amp;" "&amp;$K$21&amp;" is more than Total Patients whose specimens were sent"&amp;CHAR(10),""),IF(L366&gt;L365," *  Positive Result Returned For bacteriologic diagnosis "&amp;$L$20&amp;" "&amp;$L$21&amp;" is more than Total Patients whose specimens were sent"&amp;CHAR(10),""),IF(M366&gt;M365," *  Positive Result Returned For bacteriologic diagnosis "&amp;$L$20&amp;" "&amp;$M$21&amp;" is more than Total Patients whose specimens were sent"&amp;CHAR(10),""),IF(N366&gt;N365," *  Positive Result Returned For bacteriologic diagnosis "&amp;$N$20&amp;" "&amp;$N$21&amp;" is more than Total Patients whose specimens were sent"&amp;CHAR(10),""),IF(O366&gt;O365," *  Positive Result Returned For bacteriologic diagnosis "&amp;$N$20&amp;" "&amp;$O$21&amp;" is more than Total Patients whose specimens were sent"&amp;CHAR(10),""),IF(P366&gt;P365," *  Positive Result Returned For bacteriologic diagnosis "&amp;$P$20&amp;" "&amp;$P$21&amp;" is more than Total Patients whose specimens were sent"&amp;CHAR(10),""),IF(Q366&gt;Q365," *  Positive Result Returned For bacteriologic diagnosis "&amp;$P$20&amp;" "&amp;$Q$21&amp;" is more than Total Patients whose specimens were sent"&amp;CHAR(10),""),IF(R366&gt;R365," *  Positive Result Returned For bacteriologic diagnosis "&amp;$R$20&amp;" "&amp;$R$21&amp;" is more than Total Patients whose specimens were sent"&amp;CHAR(10),""),IF(S366&gt;S365," *  Positive Result Returned For bacteriologic diagnosis "&amp;$R$20&amp;" "&amp;$S$21&amp;" is more than Total Patients whose specimens were sent"&amp;CHAR(10),""),IF(T366&gt;T365," *  Positive Result Returned For bacteriologic diagnosis "&amp;$T$20&amp;" "&amp;$T$21&amp;" is more than Total Patients whose specimens were sent"&amp;CHAR(10),""),IF(U366&gt;U365," *  Positive Result Returned For bacteriologic diagnosis "&amp;$T$20&amp;" "&amp;$U$21&amp;" is more than Total Patients whose specimens were sent"&amp;CHAR(10),""),IF(V366&gt;V365," *  Positive Result Returned For bacteriologic diagnosis "&amp;$V$20&amp;" "&amp;$V$21&amp;" is more than Total Patients whose specimens were sent"&amp;CHAR(10),""),IF(W366&gt;W365," *  Positive Result Returned For bacteriologic diagnosis "&amp;$V$20&amp;" "&amp;$W$21&amp;" is more than Total Patients whose specimens were sent"&amp;CHAR(10),""),IF(X366&gt;X365," *  Positive Result Returned For bacteriologic diagnosis "&amp;$X$20&amp;" "&amp;$X$21&amp;" is more than Total Patients whose specimens were sent"&amp;CHAR(10),""),IF(Y366&gt;Y365," *  Positive Result Returned For bacteriologic diagnosis "&amp;$X$20&amp;" "&amp;$Y$21&amp;" is more than Total Patients whose specimens were sent"&amp;CHAR(10),""),IF(Z366&gt;Z365," *  Positive Result Returned For bacteriologic diagnosis "&amp;$Z$20&amp;" "&amp;$Z$21&amp;" is more than Total Patients whose specimens were sent"&amp;CHAR(10),""),IF(AA366&gt;AA365," *  Positive Result Returned For bacteriologic diagnosis "&amp;$Z$20&amp;" "&amp;$AA$21&amp;" is more than Total Patients whose specimens were sent"&amp;CHAR(10),""))</f>
        <v/>
      </c>
      <c r="AL365" s="1077"/>
      <c r="AM365" s="31"/>
      <c r="AN365" s="1231"/>
      <c r="AO365" s="13">
        <v>281</v>
      </c>
      <c r="AP365" s="74"/>
      <c r="AQ365" s="75"/>
    </row>
    <row r="366" spans="1:43" ht="53.25" thickBot="1" x14ac:dyDescent="0.45">
      <c r="A366" s="1267"/>
      <c r="B366" s="227" t="s">
        <v>600</v>
      </c>
      <c r="C366" s="597" t="s">
        <v>602</v>
      </c>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502">
        <f t="shared" ref="Z366" si="164">SUM(AB366,AD366,AF366,AH366)</f>
        <v>0</v>
      </c>
      <c r="AA366" s="502">
        <f t="shared" ref="AA366" si="165">SUM(AC366,AE366,AG366,AI366)</f>
        <v>0</v>
      </c>
      <c r="AB366" s="244"/>
      <c r="AC366" s="244"/>
      <c r="AD366" s="244"/>
      <c r="AE366" s="244"/>
      <c r="AF366" s="244"/>
      <c r="AG366" s="244"/>
      <c r="AH366" s="244"/>
      <c r="AI366" s="244"/>
      <c r="AJ366" s="474">
        <f t="shared" si="144"/>
        <v>0</v>
      </c>
      <c r="AK366" s="30" t="str">
        <f>CONCATENATE(IF(D358&lt;D365," *  Total Screening positive for TB ( Presumptive TB Clients ) "&amp;$D$20&amp;" "&amp;$D$21&amp;" is less than Total Patients whose specimens were sent"&amp;CHAR(10),""),IF(E358&lt;E365," *  Total Screening positive for TB ( Presumptive TB Clients ) "&amp;$D$20&amp;" "&amp;$E$21&amp;" is less than Total Patients whose specimens were sent"&amp;CHAR(10),""),IF(F358&lt;F365," *  Total Screening positive for TB ( Presumptive TB Clients ) "&amp;$F$20&amp;" "&amp;$F$21&amp;" is less than Total Patients whose specimens were sent"&amp;CHAR(10),""),IF(G358&lt;G365," *  Total Screening positive for TB ( Presumptive TB Clients ) "&amp;$F$20&amp;" "&amp;$G$21&amp;" is less than Total Patients whose specimens were sent"&amp;CHAR(10),""),IF(H358&lt;H365," *  Total Screening positive for TB ( Presumptive TB Clients ) "&amp;$H$20&amp;" "&amp;$H$21&amp;" is less than Total Patients whose specimens were sent"&amp;CHAR(10),""),IF(I358&lt;I365," *  Total Screening positive for TB ( Presumptive TB Clients ) "&amp;$H$20&amp;" "&amp;$I$21&amp;" is less than Total Patients whose specimens were sent"&amp;CHAR(10),""),IF(J358&lt;J365," *  Total Screening positive for TB ( Presumptive TB Clients ) "&amp;$J$20&amp;" "&amp;$J$21&amp;" is less than Total Patients whose specimens were sent"&amp;CHAR(10),""),IF(K358&lt;K365," *  Total Screening positive for TB ( Presumptive TB Clients ) "&amp;$J$20&amp;" "&amp;$K$21&amp;" is less than Total Patients whose specimens were sent"&amp;CHAR(10),""),IF(L358&lt;L365," *  Total Screening positive for TB ( Presumptive TB Clients ) "&amp;$L$20&amp;" "&amp;$L$21&amp;" is less than Total Patients whose specimens were sent"&amp;CHAR(10),""),IF(M358&lt;M365," *  Total Screening positive for TB ( Presumptive TB Clients ) "&amp;$L$20&amp;" "&amp;$M$21&amp;" is less than Total Patients whose specimens were sent"&amp;CHAR(10),""),IF(N358&lt;N365," *  Total Screening positive for TB ( Presumptive TB Clients ) "&amp;$N$20&amp;" "&amp;$N$21&amp;" is less than Total Patients whose specimens were sent"&amp;CHAR(10),""),IF(O358&lt;O365," *  Total Screening positive for TB ( Presumptive TB Clients ) "&amp;$N$20&amp;" "&amp;$O$21&amp;" is less than Total Patients whose specimens were sent"&amp;CHAR(10),""),IF(P358&lt;P365," *  Total Screening positive for TB ( Presumptive TB Clients ) "&amp;$P$20&amp;" "&amp;$P$21&amp;" is less than Total Patients whose specimens were sent"&amp;CHAR(10),""),IF(Q358&lt;Q365," *  Total Screening positive for TB ( Presumptive TB Clients ) "&amp;$P$20&amp;" "&amp;$Q$21&amp;" is less than Total Patients whose specimens were sent"&amp;CHAR(10),""),IF(R358&lt;R365," *  Total Screening positive for TB ( Presumptive TB Clients ) "&amp;$R$20&amp;" "&amp;$R$21&amp;" is less than Total Patients whose specimens were sent"&amp;CHAR(10),""),IF(S358&lt;S365," *  Total Screening positive for TB ( Presumptive TB Clients ) "&amp;$R$20&amp;" "&amp;$S$21&amp;" is less than Total Patients whose specimens were sent"&amp;CHAR(10),""),IF(T358&lt;T365," *  Total Screening positive for TB ( Presumptive TB Clients ) "&amp;$T$20&amp;" "&amp;$T$21&amp;" is less than Total Patients whose specimens were sent"&amp;CHAR(10),""),IF(U358&lt;U365," *  Total Screening positive for TB ( Presumptive TB Clients ) "&amp;$T$20&amp;" "&amp;$U$21&amp;" is less than Total Patients whose specimens were sent"&amp;CHAR(10),""),IF(V358&lt;V365," *  Total Screening positive for TB ( Presumptive TB Clients ) "&amp;$V$20&amp;" "&amp;$V$21&amp;" is less than Total Patients whose specimens were sent"&amp;CHAR(10),""),IF(W358&lt;W365," *  Total Screening positive for TB ( Presumptive TB Clients ) "&amp;$V$20&amp;" "&amp;$W$21&amp;" is less than Total Patients whose specimens were sent"&amp;CHAR(10),""),IF(X358&lt;X365," *  Total Screening positive for TB ( Presumptive TB Clients ) "&amp;$X$20&amp;" "&amp;$X$21&amp;" is less than Total Patients whose specimens were sent"&amp;CHAR(10),""),IF(Y358&lt;Y365," *  Total Screening positive for TB ( Presumptive TB Clients ) "&amp;$X$20&amp;" "&amp;$Y$21&amp;" is less than Total Patients whose specimens were sent"&amp;CHAR(10),""),IF(Z358&lt;Z365," *  Total Screening positive for TB ( Presumptive TB Clients ) "&amp;$Z$20&amp;" "&amp;$Z$21&amp;" is less than Total Patients whose specimens were sent"&amp;CHAR(10),""),IF(AA358&lt;AA365," *  Total Screening positive for TB ( Presumptive TB Clients ) "&amp;$Z$20&amp;" "&amp;$AA$21&amp;" is less than Total Patients whose specimens were sent"&amp;CHAR(10),""))</f>
        <v/>
      </c>
      <c r="AL366" s="1077"/>
      <c r="AM366" s="31"/>
      <c r="AN366" s="1231"/>
      <c r="AO366" s="13">
        <v>282</v>
      </c>
      <c r="AP366" s="74"/>
      <c r="AQ366" s="75"/>
    </row>
    <row r="367" spans="1:43" ht="52.5" x14ac:dyDescent="0.4">
      <c r="A367" s="1247" t="s">
        <v>835</v>
      </c>
      <c r="B367" s="91" t="s">
        <v>1316</v>
      </c>
      <c r="C367" s="575" t="s">
        <v>605</v>
      </c>
      <c r="D367" s="236"/>
      <c r="E367" s="236"/>
      <c r="F367" s="236"/>
      <c r="G367" s="236"/>
      <c r="H367" s="236"/>
      <c r="I367" s="236"/>
      <c r="J367" s="236"/>
      <c r="K367" s="236"/>
      <c r="L367" s="236"/>
      <c r="M367" s="236"/>
      <c r="N367" s="236"/>
      <c r="O367" s="236"/>
      <c r="P367" s="236"/>
      <c r="Q367" s="236"/>
      <c r="R367" s="236"/>
      <c r="S367" s="236"/>
      <c r="T367" s="236"/>
      <c r="U367" s="236"/>
      <c r="V367" s="236"/>
      <c r="W367" s="236"/>
      <c r="X367" s="236"/>
      <c r="Y367" s="236"/>
      <c r="Z367" s="502">
        <f t="shared" ref="Z367" si="166">SUM(AB367,AD367,AF367,AH367)</f>
        <v>0</v>
      </c>
      <c r="AA367" s="502">
        <f t="shared" ref="AA367" si="167">SUM(AC367,AE367,AG367,AI367)</f>
        <v>0</v>
      </c>
      <c r="AB367" s="236"/>
      <c r="AC367" s="236"/>
      <c r="AD367" s="236"/>
      <c r="AE367" s="236"/>
      <c r="AF367" s="236"/>
      <c r="AG367" s="236"/>
      <c r="AH367" s="236"/>
      <c r="AI367" s="359"/>
      <c r="AJ367" s="406">
        <f t="shared" ref="AJ367" si="168">SUM(D367:AA367)</f>
        <v>0</v>
      </c>
      <c r="AK367" s="116"/>
      <c r="AL367" s="1077"/>
      <c r="AM367" s="31"/>
      <c r="AN367" s="1231"/>
      <c r="AO367" s="13">
        <v>283</v>
      </c>
      <c r="AP367" s="74"/>
      <c r="AQ367" s="75"/>
    </row>
    <row r="368" spans="1:43" ht="52.5" x14ac:dyDescent="0.4">
      <c r="A368" s="1248"/>
      <c r="B368" s="76" t="s">
        <v>1317</v>
      </c>
      <c r="C368" s="576" t="s">
        <v>606</v>
      </c>
      <c r="D368" s="79"/>
      <c r="E368" s="79"/>
      <c r="F368" s="79"/>
      <c r="G368" s="79"/>
      <c r="H368" s="79"/>
      <c r="I368" s="79"/>
      <c r="J368" s="79"/>
      <c r="K368" s="79"/>
      <c r="L368" s="79"/>
      <c r="M368" s="79"/>
      <c r="N368" s="79"/>
      <c r="O368" s="79"/>
      <c r="P368" s="79"/>
      <c r="Q368" s="79"/>
      <c r="R368" s="79"/>
      <c r="S368" s="79"/>
      <c r="T368" s="79"/>
      <c r="U368" s="79"/>
      <c r="V368" s="79"/>
      <c r="W368" s="79"/>
      <c r="X368" s="79"/>
      <c r="Y368" s="79"/>
      <c r="Z368" s="502">
        <f t="shared" ref="Z368" si="169">SUM(AB368,AD368,AF368,AH368)</f>
        <v>0</v>
      </c>
      <c r="AA368" s="502">
        <f t="shared" ref="AA368" si="170">SUM(AC368,AE368,AG368,AI368)</f>
        <v>0</v>
      </c>
      <c r="AB368" s="79"/>
      <c r="AC368" s="79"/>
      <c r="AD368" s="79"/>
      <c r="AE368" s="79"/>
      <c r="AF368" s="79"/>
      <c r="AG368" s="79"/>
      <c r="AH368" s="79"/>
      <c r="AI368" s="318"/>
      <c r="AJ368" s="615">
        <f t="shared" ref="AJ368" si="171">SUM(D368:AA368)</f>
        <v>0</v>
      </c>
      <c r="AK368" s="116" t="str">
        <f>CONCATENATE(IF(D369&gt;D366," *  Confirmed ART Patients TB positive and started on TB treatment "&amp;$D$20&amp;" "&amp;$D$21&amp;" is less than  ART patients who had a positive result returned F07-50"&amp;CHAR(10),""),IF(E369&gt;E366," *  Confirmed ART Patients TB positive and started on TB treatment "&amp;$D$20&amp;" "&amp;$E$21&amp;" is less than  ART patients who had a positive result returned F07-50"&amp;CHAR(10),""),IF(F369&gt;F366," *  Confirmed ART Patients TB positive and started on TB treatment "&amp;$F$20&amp;" "&amp;$F$21&amp;" is less than  ART patients who had a positive result returned F07-50"&amp;CHAR(10),""),IF(G369&gt;G366," *  Confirmed ART Patients TB positive and started on TB treatment "&amp;$F$20&amp;" "&amp;$G$21&amp;" is less than  ART patients who had a positive result returned F07-50"&amp;CHAR(10),""),IF(H369&gt;H366," *  Confirmed ART Patients TB positive and started on TB treatment "&amp;$H$20&amp;" "&amp;$H$21&amp;" is less than  ART patients who had a positive result returned F07-50"&amp;CHAR(10),""),IF(I369&gt;I366," *  Confirmed ART Patients TB positive and started on TB treatment "&amp;$H$20&amp;" "&amp;$I$21&amp;" is less than  ART patients who had a positive result returned F07-50"&amp;CHAR(10),""),IF(J369&gt;J366," *  Confirmed ART Patients TB positive and started on TB treatment "&amp;$J$20&amp;" "&amp;$J$21&amp;" is less than  ART patients who had a positive result returned F07-50"&amp;CHAR(10),""),IF(K369&gt;K366," *  Confirmed ART Patients TB positive and started on TB treatment "&amp;$J$20&amp;" "&amp;$K$21&amp;" is less than  ART patients who had a positive result returned F07-50"&amp;CHAR(10),""),IF(L369&gt;L366," *  Confirmed ART Patients TB positive and started on TB treatment "&amp;$L$20&amp;" "&amp;$L$21&amp;" is less than  ART patients who had a positive result returned F07-50"&amp;CHAR(10),""),IF(M369&gt;M366," *  Confirmed ART Patients TB positive and started on TB treatment "&amp;$L$20&amp;" "&amp;$M$21&amp;" is less than  ART patients who had a positive result returned F07-50"&amp;CHAR(10),""),IF(N369&gt;N366," *  Confirmed ART Patients TB positive and started on TB treatment "&amp;$N$20&amp;" "&amp;$N$21&amp;" is less than  ART patients who had a positive result returned F07-50"&amp;CHAR(10),""),IF(O369&gt;O366," *  Confirmed ART Patients TB positive and started on TB treatment "&amp;$N$20&amp;" "&amp;$O$21&amp;" is less than  ART patients who had a positive result returned F07-50"&amp;CHAR(10),""),IF(P369&gt;P366," *  Confirmed ART Patients TB positive and started on TB treatment "&amp;$P$20&amp;" "&amp;$P$21&amp;" is less than  ART patients who had a positive result returned F07-50"&amp;CHAR(10),""),IF(Q369&gt;Q366," *  Confirmed ART Patients TB positive and started on TB treatment "&amp;$P$20&amp;" "&amp;$Q$21&amp;" is less than  ART patients who had a positive result returned F07-50"&amp;CHAR(10),""),IF(R369&gt;R366," *  Confirmed ART Patients TB positive and started on TB treatment "&amp;$R$20&amp;" "&amp;$R$21&amp;" is less than  ART patients who had a positive result returned F07-50"&amp;CHAR(10),""),IF(S369&gt;S366," *  Confirmed ART Patients TB positive and started on TB treatment "&amp;$R$20&amp;" "&amp;$S$21&amp;" is less than  ART patients who had a positive result returned F07-50"&amp;CHAR(10),""),IF(T369&gt;T366," *  Confirmed ART Patients TB positive and started on TB treatment "&amp;$T$20&amp;" "&amp;$T$21&amp;" is less than  ART patients who had a positive result returned F07-50"&amp;CHAR(10),""),IF(U369&gt;U366," *  Confirmed ART Patients TB positive and started on TB treatment "&amp;$T$20&amp;" "&amp;$U$21&amp;" is less than  ART patients who had a positive result returned F07-50"&amp;CHAR(10),""),IF(V369&gt;V366," *  Confirmed ART Patients TB positive and started on TB treatment "&amp;$V$20&amp;" "&amp;$V$21&amp;" is less than  ART patients who had a positive result returned F07-50"&amp;CHAR(10),""),IF(W369&gt;W366," *  Confirmed ART Patients TB positive and started on TB treatment "&amp;$V$20&amp;" "&amp;$W$21&amp;" is less than  ART patients who had a positive result returned F07-50"&amp;CHAR(10),""),IF(X369&gt;X366," *  Confirmed ART Patients TB positive and started on TB treatment "&amp;$X$20&amp;" "&amp;$X$21&amp;" is less than  ART patients who had a positive result returned F07-50"&amp;CHAR(10),""),IF(Y369&gt;Y366," *  Confirmed ART Patients TB positive and started on TB treatment "&amp;$X$20&amp;" "&amp;$Y$21&amp;" is less than  ART patients who had a positive result returned F07-50"&amp;CHAR(10),""),IF(Z369&gt;Z366," *  Confirmed ART Patients TB positive and started on TB treatment "&amp;$Z$20&amp;" "&amp;$Z$21&amp;" is less than  ART patients who had a positive result returned F07-50"&amp;CHAR(10),""),IF(AA369&gt;AA366," *  Confirmed ART Patients TB positive and started on TB treatment "&amp;$Z$20&amp;" "&amp;$AA$21&amp;" is less than  ART patients who had a positive result returned F07-50"&amp;CHAR(10),""))</f>
        <v/>
      </c>
      <c r="AL368" s="1077"/>
      <c r="AM368" s="31"/>
      <c r="AN368" s="1231"/>
      <c r="AO368" s="13">
        <v>284</v>
      </c>
      <c r="AP368" s="74"/>
      <c r="AQ368" s="75"/>
    </row>
    <row r="369" spans="1:43" ht="27" thickBot="1" x14ac:dyDescent="0.45">
      <c r="A369" s="1249"/>
      <c r="B369" s="241" t="s">
        <v>1318</v>
      </c>
      <c r="C369" s="577" t="s">
        <v>607</v>
      </c>
      <c r="D369" s="242">
        <f>D367+D368</f>
        <v>0</v>
      </c>
      <c r="E369" s="242">
        <f t="shared" ref="E369:Z369" si="172">E367+E368</f>
        <v>0</v>
      </c>
      <c r="F369" s="242">
        <f t="shared" si="172"/>
        <v>0</v>
      </c>
      <c r="G369" s="242">
        <f t="shared" si="172"/>
        <v>0</v>
      </c>
      <c r="H369" s="242">
        <f t="shared" si="172"/>
        <v>0</v>
      </c>
      <c r="I369" s="242">
        <f t="shared" si="172"/>
        <v>0</v>
      </c>
      <c r="J369" s="242">
        <f t="shared" si="172"/>
        <v>0</v>
      </c>
      <c r="K369" s="242">
        <f t="shared" si="172"/>
        <v>0</v>
      </c>
      <c r="L369" s="242">
        <f t="shared" si="172"/>
        <v>0</v>
      </c>
      <c r="M369" s="242">
        <f t="shared" si="172"/>
        <v>0</v>
      </c>
      <c r="N369" s="242">
        <f t="shared" si="172"/>
        <v>0</v>
      </c>
      <c r="O369" s="242">
        <f t="shared" si="172"/>
        <v>0</v>
      </c>
      <c r="P369" s="242">
        <f t="shared" si="172"/>
        <v>0</v>
      </c>
      <c r="Q369" s="242">
        <f t="shared" si="172"/>
        <v>0</v>
      </c>
      <c r="R369" s="242">
        <f t="shared" si="172"/>
        <v>0</v>
      </c>
      <c r="S369" s="242">
        <f t="shared" si="172"/>
        <v>0</v>
      </c>
      <c r="T369" s="242">
        <f t="shared" si="172"/>
        <v>0</v>
      </c>
      <c r="U369" s="242">
        <f t="shared" si="172"/>
        <v>0</v>
      </c>
      <c r="V369" s="242">
        <f t="shared" si="172"/>
        <v>0</v>
      </c>
      <c r="W369" s="242">
        <f t="shared" si="172"/>
        <v>0</v>
      </c>
      <c r="X369" s="242">
        <f t="shared" si="172"/>
        <v>0</v>
      </c>
      <c r="Y369" s="242">
        <f t="shared" si="172"/>
        <v>0</v>
      </c>
      <c r="Z369" s="242">
        <f t="shared" si="172"/>
        <v>0</v>
      </c>
      <c r="AA369" s="242">
        <f t="shared" ref="AA369:AI369" si="173">AA367+AA368</f>
        <v>0</v>
      </c>
      <c r="AB369" s="242">
        <f t="shared" si="173"/>
        <v>0</v>
      </c>
      <c r="AC369" s="242">
        <f t="shared" si="173"/>
        <v>0</v>
      </c>
      <c r="AD369" s="242">
        <f t="shared" si="173"/>
        <v>0</v>
      </c>
      <c r="AE369" s="242">
        <f t="shared" si="173"/>
        <v>0</v>
      </c>
      <c r="AF369" s="242">
        <f t="shared" si="173"/>
        <v>0</v>
      </c>
      <c r="AG369" s="242">
        <f t="shared" si="173"/>
        <v>0</v>
      </c>
      <c r="AH369" s="242">
        <f t="shared" si="173"/>
        <v>0</v>
      </c>
      <c r="AI369" s="357">
        <f t="shared" si="173"/>
        <v>0</v>
      </c>
      <c r="AJ369" s="407">
        <f t="shared" ref="AJ369" si="174">SUM(D369:AA369)</f>
        <v>0</v>
      </c>
      <c r="AK369" s="116" t="str">
        <f>CONCATENATE(IF(D369&gt;D361," * ART Patients TB positive and started on TB Treatment  for Age "&amp;D20&amp;" "&amp;D21&amp;" is more than Total Screened for TB"&amp;CHAR(10),""),IF(E369&gt;E361," * ART Patients TB positive and started on TB Treatment  for Age "&amp;D20&amp;" "&amp;E21&amp;" is more than Total Screened for TB"&amp;CHAR(10),""),IF(F369&gt;F361," * ART Patients TB positive and started on TB Treatment  for Age "&amp;F20&amp;" "&amp;F21&amp;" is more than Total Screened for TB"&amp;CHAR(10),""),IF(G369&gt;G361," * ART Patients TB positive and started on TB Treatment  for Age "&amp;F20&amp;" "&amp;G21&amp;" is more than Total Screened for TB"&amp;CHAR(10),""),IF(H369&gt;H361," * ART Patients TB positive and started on TB Treatment  for Age "&amp;H20&amp;" "&amp;H21&amp;" is more than Total Screened for TB"&amp;CHAR(10),""),IF(I369&gt;I361," * ART Patients TB positive and started on TB Treatment  for Age "&amp;H20&amp;" "&amp;I21&amp;" is more than Total Screened for TB"&amp;CHAR(10),""),IF(J369&gt;J361," * ART Patients TB positive and started on TB Treatment  for Age "&amp;J20&amp;" "&amp;J21&amp;" is more than Total Screened for TB"&amp;CHAR(10),""),IF(K369&gt;K361," * ART Patients TB positive and started on TB Treatment  for Age "&amp;J20&amp;" "&amp;K21&amp;" is more than Total Screened for TB"&amp;CHAR(10),""),IF(L369&gt;L361," * ART Patients TB positive and started on TB Treatment  for Age "&amp;L20&amp;" "&amp;L21&amp;" is more than Total Screened for TB"&amp;CHAR(10),""),IF(M369&gt;M361," * ART Patients TB positive and started on TB Treatment  for Age "&amp;L20&amp;" "&amp;M21&amp;" is more than Total Screened for TB"&amp;CHAR(10),""),IF(N369&gt;N361," * ART Patients TB positive and started on TB Treatment  for Age "&amp;N20&amp;" "&amp;N21&amp;" is more than Total Screened for TB"&amp;CHAR(10),""),IF(O369&gt;O361," * ART Patients TB positive and started on TB Treatment  for Age "&amp;N20&amp;" "&amp;O21&amp;" is more than Total Screened for TB"&amp;CHAR(10),""),IF(P369&gt;P361," * ART Patients TB positive and started on TB Treatment  for Age "&amp;P20&amp;" "&amp;P21&amp;" is more than Total Screened for TB"&amp;CHAR(10),""),IF(Q369&gt;Q361," * ART Patients TB positive and started on TB Treatment  for Age "&amp;P20&amp;" "&amp;Q21&amp;" is more than Total Screened for TB"&amp;CHAR(10),""),IF(R369&gt;R361," * ART Patients TB positive and started on TB Treatment  for Age "&amp;R20&amp;" "&amp;R21&amp;" is more than Total Screened for TB"&amp;CHAR(10),""),IF(S369&gt;S361," * ART Patients TB positive and started on TB Treatment  for Age "&amp;R20&amp;" "&amp;S21&amp;" is more than Total Screened for TB"&amp;CHAR(10),""),IF(T369&gt;T361," * ART Patients TB positive and started on TB Treatment  for Age "&amp;T20&amp;" "&amp;T21&amp;" is more than Total Screened for TB"&amp;CHAR(10),""),IF(U369&gt;U361," * ART Patients TB positive and started on TB Treatment  for Age "&amp;T20&amp;" "&amp;U21&amp;" is more than Total Screened for TB"&amp;CHAR(10),""),IF(V369&gt;V361," * ART Patients TB positive and started on TB Treatment  for Age "&amp;V20&amp;" "&amp;V21&amp;" is more than Total Screened for TB"&amp;CHAR(10),""),IF(W369&gt;W361," * ART Patients TB positive and started on TB Treatment  for Age "&amp;V20&amp;" "&amp;W21&amp;" is more than Total Screened for TB"&amp;CHAR(10),""),IF(X369&gt;X361," * ART Patients TB positive and started on TB Treatment  for Age "&amp;X20&amp;" "&amp;X21&amp;" is more than Total Screened for TB"&amp;CHAR(10),""),IF(Y369&gt;Y361," * ART Patients TB positive and started on TB Treatment  for Age "&amp;X20&amp;" "&amp;Y21&amp;" is more than Total Screened for TB"&amp;CHAR(10),""),IF(Z369&gt;Z361," * ART Patients TB positive and started on TB Treatment  for Age "&amp;Z20&amp;" "&amp;Z21&amp;" is more than Total Screened for TB"&amp;CHAR(10),""),IF(AA369&gt;AA361," * ART Patients TB positive and started on TB Treatment  for Age "&amp;Z20&amp;" "&amp;AA21&amp;" is more than Total Screened for TB"&amp;CHAR(10),""))</f>
        <v/>
      </c>
      <c r="AL369" s="1240"/>
      <c r="AM369" s="31"/>
      <c r="AN369" s="1232"/>
      <c r="AO369" s="13">
        <v>285</v>
      </c>
      <c r="AP369" s="74"/>
      <c r="AQ369" s="75"/>
    </row>
    <row r="370" spans="1:43" ht="26.25" hidden="1" x14ac:dyDescent="0.4">
      <c r="A370" s="1247" t="s">
        <v>604</v>
      </c>
      <c r="B370" s="107" t="s">
        <v>941</v>
      </c>
      <c r="C370" s="575" t="s">
        <v>608</v>
      </c>
      <c r="D370" s="248">
        <f t="shared" ref="D370:AA370" si="175">D8+D11+D15</f>
        <v>0</v>
      </c>
      <c r="E370" s="248">
        <f t="shared" si="175"/>
        <v>0</v>
      </c>
      <c r="F370" s="248">
        <f t="shared" si="175"/>
        <v>0</v>
      </c>
      <c r="G370" s="248">
        <f t="shared" si="175"/>
        <v>0</v>
      </c>
      <c r="H370" s="248">
        <f t="shared" si="175"/>
        <v>0</v>
      </c>
      <c r="I370" s="248">
        <f t="shared" si="175"/>
        <v>0</v>
      </c>
      <c r="J370" s="248">
        <f t="shared" si="175"/>
        <v>0</v>
      </c>
      <c r="K370" s="248">
        <f t="shared" si="175"/>
        <v>0</v>
      </c>
      <c r="L370" s="248">
        <f t="shared" si="175"/>
        <v>0</v>
      </c>
      <c r="M370" s="248">
        <f t="shared" si="175"/>
        <v>0</v>
      </c>
      <c r="N370" s="248">
        <f t="shared" si="175"/>
        <v>0</v>
      </c>
      <c r="O370" s="248">
        <f t="shared" si="175"/>
        <v>0</v>
      </c>
      <c r="P370" s="248">
        <f t="shared" si="175"/>
        <v>0</v>
      </c>
      <c r="Q370" s="248">
        <f t="shared" si="175"/>
        <v>0</v>
      </c>
      <c r="R370" s="248">
        <f t="shared" si="175"/>
        <v>0</v>
      </c>
      <c r="S370" s="248">
        <f t="shared" si="175"/>
        <v>0</v>
      </c>
      <c r="T370" s="248">
        <f t="shared" si="175"/>
        <v>0</v>
      </c>
      <c r="U370" s="248">
        <f t="shared" si="175"/>
        <v>0</v>
      </c>
      <c r="V370" s="248">
        <f t="shared" si="175"/>
        <v>0</v>
      </c>
      <c r="W370" s="248">
        <f t="shared" si="175"/>
        <v>0</v>
      </c>
      <c r="X370" s="248">
        <f t="shared" si="175"/>
        <v>0</v>
      </c>
      <c r="Y370" s="248">
        <f t="shared" si="175"/>
        <v>0</v>
      </c>
      <c r="Z370" s="248">
        <f t="shared" si="175"/>
        <v>0</v>
      </c>
      <c r="AA370" s="475">
        <f t="shared" si="175"/>
        <v>0</v>
      </c>
      <c r="AB370" s="477"/>
      <c r="AC370" s="476"/>
      <c r="AD370" s="476"/>
      <c r="AE370" s="476"/>
      <c r="AF370" s="476"/>
      <c r="AG370" s="476"/>
      <c r="AH370" s="476"/>
      <c r="AI370" s="478"/>
      <c r="AJ370" s="248">
        <f>AJ8+AJ11+AJ15</f>
        <v>0</v>
      </c>
      <c r="AK370" s="116"/>
      <c r="AL370" s="1076" t="str">
        <f>CONCATENATE(AK370,AK371,AK372,AK373,AK374,AK375,AK376,AK377)</f>
        <v/>
      </c>
      <c r="AM370" s="31"/>
      <c r="AN370" s="1233" t="str">
        <f>CONCATENATE(AM370,AM371,AM372,AM373,AM374,AM375,AM376,AM377)</f>
        <v/>
      </c>
      <c r="AO370" s="13">
        <v>286</v>
      </c>
      <c r="AP370" s="74"/>
      <c r="AQ370" s="75"/>
    </row>
    <row r="371" spans="1:43" ht="30.75" customHeight="1" x14ac:dyDescent="0.4">
      <c r="A371" s="1248"/>
      <c r="B371" s="76" t="s">
        <v>953</v>
      </c>
      <c r="C371" s="576" t="s">
        <v>609</v>
      </c>
      <c r="D371" s="237"/>
      <c r="E371" s="79"/>
      <c r="F371" s="79"/>
      <c r="G371" s="79"/>
      <c r="H371" s="79"/>
      <c r="I371" s="79"/>
      <c r="J371" s="79"/>
      <c r="K371" s="79"/>
      <c r="L371" s="79"/>
      <c r="M371" s="79"/>
      <c r="N371" s="79"/>
      <c r="O371" s="79"/>
      <c r="P371" s="79"/>
      <c r="Q371" s="79"/>
      <c r="R371" s="79"/>
      <c r="S371" s="79"/>
      <c r="T371" s="79"/>
      <c r="U371" s="79"/>
      <c r="V371" s="79"/>
      <c r="W371" s="79"/>
      <c r="X371" s="79"/>
      <c r="Y371" s="79"/>
      <c r="Z371" s="79"/>
      <c r="AA371" s="318"/>
      <c r="AB371" s="386"/>
      <c r="AC371" s="356"/>
      <c r="AD371" s="356"/>
      <c r="AE371" s="356"/>
      <c r="AF371" s="356"/>
      <c r="AG371" s="356"/>
      <c r="AH371" s="356"/>
      <c r="AI371" s="313"/>
      <c r="AJ371" s="173">
        <f>SUM(D371:AA371)</f>
        <v>0</v>
      </c>
      <c r="AK371" s="116"/>
      <c r="AL371" s="1077"/>
      <c r="AM371" s="31"/>
      <c r="AN371" s="1231"/>
      <c r="AO371" s="13">
        <v>287</v>
      </c>
      <c r="AP371" s="74"/>
      <c r="AQ371" s="75"/>
    </row>
    <row r="372" spans="1:43" ht="26.25" x14ac:dyDescent="0.4">
      <c r="A372" s="1248"/>
      <c r="B372" s="76" t="s">
        <v>591</v>
      </c>
      <c r="C372" s="576" t="s">
        <v>610</v>
      </c>
      <c r="D372" s="237"/>
      <c r="E372" s="237"/>
      <c r="F372" s="237"/>
      <c r="G372" s="237"/>
      <c r="H372" s="237"/>
      <c r="I372" s="237"/>
      <c r="J372" s="237"/>
      <c r="K372" s="237"/>
      <c r="L372" s="237"/>
      <c r="M372" s="237"/>
      <c r="N372" s="237"/>
      <c r="O372" s="237"/>
      <c r="P372" s="237"/>
      <c r="Q372" s="237"/>
      <c r="R372" s="237"/>
      <c r="S372" s="237"/>
      <c r="T372" s="237"/>
      <c r="U372" s="237"/>
      <c r="V372" s="237"/>
      <c r="W372" s="237"/>
      <c r="X372" s="237"/>
      <c r="Y372" s="237"/>
      <c r="Z372" s="237"/>
      <c r="AA372" s="360"/>
      <c r="AB372" s="386"/>
      <c r="AC372" s="356"/>
      <c r="AD372" s="356"/>
      <c r="AE372" s="356"/>
      <c r="AF372" s="356"/>
      <c r="AG372" s="356"/>
      <c r="AH372" s="356"/>
      <c r="AI372" s="313"/>
      <c r="AJ372" s="173">
        <f t="shared" ref="AJ372:AJ377" si="176">SUM(D372:AA372)</f>
        <v>0</v>
      </c>
      <c r="AK372" s="116"/>
      <c r="AL372" s="1077"/>
      <c r="AM372" s="31"/>
      <c r="AN372" s="1231"/>
      <c r="AO372" s="13">
        <v>288</v>
      </c>
      <c r="AP372" s="74"/>
      <c r="AQ372" s="75"/>
    </row>
    <row r="373" spans="1:43" ht="26.25" x14ac:dyDescent="0.4">
      <c r="A373" s="1248"/>
      <c r="B373" s="76" t="s">
        <v>1006</v>
      </c>
      <c r="C373" s="576" t="s">
        <v>611</v>
      </c>
      <c r="D373" s="237"/>
      <c r="E373" s="237"/>
      <c r="F373" s="237"/>
      <c r="G373" s="237"/>
      <c r="H373" s="237"/>
      <c r="I373" s="237"/>
      <c r="J373" s="237"/>
      <c r="K373" s="237"/>
      <c r="L373" s="237"/>
      <c r="M373" s="237"/>
      <c r="N373" s="237"/>
      <c r="O373" s="237"/>
      <c r="P373" s="237"/>
      <c r="Q373" s="237"/>
      <c r="R373" s="237"/>
      <c r="S373" s="237"/>
      <c r="T373" s="237"/>
      <c r="U373" s="237"/>
      <c r="V373" s="237"/>
      <c r="W373" s="237"/>
      <c r="X373" s="237"/>
      <c r="Y373" s="237"/>
      <c r="Z373" s="237"/>
      <c r="AA373" s="360"/>
      <c r="AB373" s="386"/>
      <c r="AC373" s="356"/>
      <c r="AD373" s="356"/>
      <c r="AE373" s="356"/>
      <c r="AF373" s="356"/>
      <c r="AG373" s="356"/>
      <c r="AH373" s="356"/>
      <c r="AI373" s="313"/>
      <c r="AJ373" s="173">
        <f t="shared" si="176"/>
        <v>0</v>
      </c>
      <c r="AK373" s="116"/>
      <c r="AL373" s="1077"/>
      <c r="AM373" s="31"/>
      <c r="AN373" s="1231"/>
      <c r="AO373" s="13">
        <v>289</v>
      </c>
      <c r="AP373" s="74"/>
      <c r="AQ373" s="75"/>
    </row>
    <row r="374" spans="1:43" ht="26.25" x14ac:dyDescent="0.4">
      <c r="A374" s="1248"/>
      <c r="B374" s="76" t="s">
        <v>1007</v>
      </c>
      <c r="C374" s="576" t="s">
        <v>612</v>
      </c>
      <c r="D374" s="237"/>
      <c r="E374" s="237"/>
      <c r="F374" s="237"/>
      <c r="G374" s="237"/>
      <c r="H374" s="237"/>
      <c r="I374" s="237"/>
      <c r="J374" s="237"/>
      <c r="K374" s="237"/>
      <c r="L374" s="237"/>
      <c r="M374" s="237"/>
      <c r="N374" s="237"/>
      <c r="O374" s="237"/>
      <c r="P374" s="237"/>
      <c r="Q374" s="237"/>
      <c r="R374" s="237"/>
      <c r="S374" s="237"/>
      <c r="T374" s="237"/>
      <c r="U374" s="237"/>
      <c r="V374" s="237"/>
      <c r="W374" s="237"/>
      <c r="X374" s="237"/>
      <c r="Y374" s="237"/>
      <c r="Z374" s="237"/>
      <c r="AA374" s="360"/>
      <c r="AB374" s="386"/>
      <c r="AC374" s="356"/>
      <c r="AD374" s="356"/>
      <c r="AE374" s="356"/>
      <c r="AF374" s="356"/>
      <c r="AG374" s="356"/>
      <c r="AH374" s="356"/>
      <c r="AI374" s="313"/>
      <c r="AJ374" s="173">
        <f t="shared" si="176"/>
        <v>0</v>
      </c>
      <c r="AK374" s="116"/>
      <c r="AL374" s="1077"/>
      <c r="AM374" s="31"/>
      <c r="AN374" s="1231"/>
      <c r="AO374" s="13">
        <v>290</v>
      </c>
      <c r="AP374" s="74"/>
      <c r="AQ374" s="75"/>
    </row>
    <row r="375" spans="1:43" ht="26.25" x14ac:dyDescent="0.4">
      <c r="A375" s="1248"/>
      <c r="B375" s="76" t="s">
        <v>1008</v>
      </c>
      <c r="C375" s="576" t="s">
        <v>613</v>
      </c>
      <c r="D375" s="237"/>
      <c r="E375" s="237"/>
      <c r="F375" s="237"/>
      <c r="G375" s="237"/>
      <c r="H375" s="237"/>
      <c r="I375" s="237"/>
      <c r="J375" s="237"/>
      <c r="K375" s="237"/>
      <c r="L375" s="237"/>
      <c r="M375" s="237"/>
      <c r="N375" s="237"/>
      <c r="O375" s="237"/>
      <c r="P375" s="237"/>
      <c r="Q375" s="237"/>
      <c r="R375" s="237"/>
      <c r="S375" s="237"/>
      <c r="T375" s="237"/>
      <c r="U375" s="237"/>
      <c r="V375" s="237"/>
      <c r="W375" s="237"/>
      <c r="X375" s="237"/>
      <c r="Y375" s="237"/>
      <c r="Z375" s="237"/>
      <c r="AA375" s="360"/>
      <c r="AB375" s="386"/>
      <c r="AC375" s="356"/>
      <c r="AD375" s="356"/>
      <c r="AE375" s="356"/>
      <c r="AF375" s="356"/>
      <c r="AG375" s="356"/>
      <c r="AH375" s="356"/>
      <c r="AI375" s="313"/>
      <c r="AJ375" s="173">
        <f t="shared" si="176"/>
        <v>0</v>
      </c>
      <c r="AK375" s="116"/>
      <c r="AL375" s="1077"/>
      <c r="AM375" s="31"/>
      <c r="AN375" s="1231"/>
      <c r="AO375" s="13">
        <v>291</v>
      </c>
      <c r="AP375" s="74"/>
      <c r="AQ375" s="75"/>
    </row>
    <row r="376" spans="1:43" ht="52.5" x14ac:dyDescent="0.4">
      <c r="A376" s="1248"/>
      <c r="B376" s="76" t="s">
        <v>958</v>
      </c>
      <c r="C376" s="576" t="s">
        <v>614</v>
      </c>
      <c r="D376" s="237"/>
      <c r="E376" s="237"/>
      <c r="F376" s="237"/>
      <c r="G376" s="237"/>
      <c r="H376" s="237"/>
      <c r="I376" s="237"/>
      <c r="J376" s="237"/>
      <c r="K376" s="237"/>
      <c r="L376" s="237"/>
      <c r="M376" s="237"/>
      <c r="N376" s="237"/>
      <c r="O376" s="237"/>
      <c r="P376" s="237"/>
      <c r="Q376" s="237"/>
      <c r="R376" s="237"/>
      <c r="S376" s="237"/>
      <c r="T376" s="237"/>
      <c r="U376" s="237"/>
      <c r="V376" s="237"/>
      <c r="W376" s="237"/>
      <c r="X376" s="237"/>
      <c r="Y376" s="237"/>
      <c r="Z376" s="237"/>
      <c r="AA376" s="360"/>
      <c r="AB376" s="386"/>
      <c r="AC376" s="356"/>
      <c r="AD376" s="356"/>
      <c r="AE376" s="356"/>
      <c r="AF376" s="356"/>
      <c r="AG376" s="356"/>
      <c r="AH376" s="356"/>
      <c r="AI376" s="313"/>
      <c r="AJ376" s="173">
        <f t="shared" si="176"/>
        <v>0</v>
      </c>
      <c r="AK376" s="116"/>
      <c r="AL376" s="1077"/>
      <c r="AM376" s="31"/>
      <c r="AN376" s="1231"/>
      <c r="AO376" s="13">
        <v>292</v>
      </c>
      <c r="AP376" s="74"/>
      <c r="AQ376" s="75"/>
    </row>
    <row r="377" spans="1:43" ht="27" thickBot="1" x14ac:dyDescent="0.45">
      <c r="A377" s="1262"/>
      <c r="B377" s="118" t="s">
        <v>957</v>
      </c>
      <c r="C377" s="577" t="s">
        <v>836</v>
      </c>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c r="AA377" s="361"/>
      <c r="AB377" s="387"/>
      <c r="AC377" s="388"/>
      <c r="AD377" s="388"/>
      <c r="AE377" s="388"/>
      <c r="AF377" s="388"/>
      <c r="AG377" s="388"/>
      <c r="AH377" s="388"/>
      <c r="AI377" s="314"/>
      <c r="AJ377" s="173">
        <f t="shared" si="176"/>
        <v>0</v>
      </c>
      <c r="AK377" s="122"/>
      <c r="AL377" s="1078"/>
      <c r="AM377" s="123"/>
      <c r="AN377" s="1234"/>
      <c r="AO377" s="13">
        <v>293</v>
      </c>
      <c r="AP377" s="74"/>
      <c r="AQ377" s="75"/>
    </row>
    <row r="378" spans="1:43" ht="27" hidden="1" thickBot="1" x14ac:dyDescent="0.45">
      <c r="A378" s="1017" t="s">
        <v>130</v>
      </c>
      <c r="B378" s="1015"/>
      <c r="C378" s="1015"/>
      <c r="D378" s="1015"/>
      <c r="E378" s="1015"/>
      <c r="F378" s="1015"/>
      <c r="G378" s="1015"/>
      <c r="H378" s="1015"/>
      <c r="I378" s="1015"/>
      <c r="J378" s="1015"/>
      <c r="K378" s="1015"/>
      <c r="L378" s="1015"/>
      <c r="M378" s="1015"/>
      <c r="N378" s="1015"/>
      <c r="O378" s="1015"/>
      <c r="P378" s="1015"/>
      <c r="Q378" s="1015"/>
      <c r="R378" s="1015"/>
      <c r="S378" s="1015"/>
      <c r="T378" s="1015"/>
      <c r="U378" s="1015"/>
      <c r="V378" s="1015"/>
      <c r="W378" s="1015"/>
      <c r="X378" s="1015"/>
      <c r="Y378" s="1015"/>
      <c r="Z378" s="1015"/>
      <c r="AA378" s="1015"/>
      <c r="AB378" s="1013"/>
      <c r="AC378" s="1013"/>
      <c r="AD378" s="1013"/>
      <c r="AE378" s="1013"/>
      <c r="AF378" s="1013"/>
      <c r="AG378" s="1013"/>
      <c r="AH378" s="1013"/>
      <c r="AI378" s="1013"/>
      <c r="AJ378" s="1015"/>
      <c r="AK378" s="1015"/>
      <c r="AL378" s="1015"/>
      <c r="AM378" s="1015"/>
      <c r="AN378" s="1016"/>
      <c r="AO378" s="13">
        <v>294</v>
      </c>
      <c r="AP378" s="74"/>
      <c r="AQ378" s="75"/>
    </row>
    <row r="379" spans="1:43" ht="26.25" hidden="1" customHeight="1" x14ac:dyDescent="0.4">
      <c r="A379" s="1059" t="s">
        <v>37</v>
      </c>
      <c r="B379" s="1055" t="s">
        <v>344</v>
      </c>
      <c r="C379" s="1057" t="s">
        <v>325</v>
      </c>
      <c r="D379" s="1140" t="s">
        <v>0</v>
      </c>
      <c r="E379" s="1140"/>
      <c r="F379" s="1140" t="s">
        <v>1</v>
      </c>
      <c r="G379" s="1140"/>
      <c r="H379" s="1140" t="s">
        <v>2</v>
      </c>
      <c r="I379" s="1140"/>
      <c r="J379" s="1140" t="s">
        <v>3</v>
      </c>
      <c r="K379" s="1140"/>
      <c r="L379" s="1140" t="s">
        <v>4</v>
      </c>
      <c r="M379" s="1140"/>
      <c r="N379" s="1140" t="s">
        <v>5</v>
      </c>
      <c r="O379" s="1140"/>
      <c r="P379" s="1140" t="s">
        <v>6</v>
      </c>
      <c r="Q379" s="1140"/>
      <c r="R379" s="1140" t="s">
        <v>7</v>
      </c>
      <c r="S379" s="1140"/>
      <c r="T379" s="1140" t="s">
        <v>8</v>
      </c>
      <c r="U379" s="1140"/>
      <c r="V379" s="1140" t="s">
        <v>23</v>
      </c>
      <c r="W379" s="1140"/>
      <c r="X379" s="1140" t="s">
        <v>24</v>
      </c>
      <c r="Y379" s="1140"/>
      <c r="Z379" s="1140" t="s">
        <v>9</v>
      </c>
      <c r="AA379" s="1140"/>
      <c r="AB379" s="307"/>
      <c r="AC379" s="307"/>
      <c r="AD379" s="307"/>
      <c r="AE379" s="307"/>
      <c r="AF379" s="307"/>
      <c r="AG379" s="307"/>
      <c r="AH379" s="497"/>
      <c r="AI379" s="497"/>
      <c r="AJ379" s="1273" t="s">
        <v>19</v>
      </c>
      <c r="AK379" s="1275" t="s">
        <v>378</v>
      </c>
      <c r="AL379" s="1082" t="s">
        <v>384</v>
      </c>
      <c r="AM379" s="1074" t="s">
        <v>385</v>
      </c>
      <c r="AN379" s="1271" t="s">
        <v>385</v>
      </c>
      <c r="AO379" s="13">
        <v>295</v>
      </c>
      <c r="AP379" s="74"/>
      <c r="AQ379" s="75"/>
    </row>
    <row r="380" spans="1:43" ht="27" hidden="1" customHeight="1" thickBot="1" x14ac:dyDescent="0.45">
      <c r="A380" s="1060"/>
      <c r="B380" s="1056"/>
      <c r="C380" s="1120"/>
      <c r="D380" s="115" t="s">
        <v>10</v>
      </c>
      <c r="E380" s="115" t="s">
        <v>11</v>
      </c>
      <c r="F380" s="115" t="s">
        <v>10</v>
      </c>
      <c r="G380" s="115" t="s">
        <v>11</v>
      </c>
      <c r="H380" s="115" t="s">
        <v>10</v>
      </c>
      <c r="I380" s="115" t="s">
        <v>11</v>
      </c>
      <c r="J380" s="115" t="s">
        <v>10</v>
      </c>
      <c r="K380" s="115" t="s">
        <v>11</v>
      </c>
      <c r="L380" s="115" t="s">
        <v>10</v>
      </c>
      <c r="M380" s="115" t="s">
        <v>11</v>
      </c>
      <c r="N380" s="115" t="s">
        <v>10</v>
      </c>
      <c r="O380" s="115" t="s">
        <v>11</v>
      </c>
      <c r="P380" s="115" t="s">
        <v>10</v>
      </c>
      <c r="Q380" s="115" t="s">
        <v>11</v>
      </c>
      <c r="R380" s="115" t="s">
        <v>10</v>
      </c>
      <c r="S380" s="115" t="s">
        <v>11</v>
      </c>
      <c r="T380" s="115" t="s">
        <v>10</v>
      </c>
      <c r="U380" s="115" t="s">
        <v>11</v>
      </c>
      <c r="V380" s="115" t="s">
        <v>10</v>
      </c>
      <c r="W380" s="115" t="s">
        <v>11</v>
      </c>
      <c r="X380" s="115" t="s">
        <v>10</v>
      </c>
      <c r="Y380" s="115" t="s">
        <v>11</v>
      </c>
      <c r="Z380" s="115" t="s">
        <v>10</v>
      </c>
      <c r="AA380" s="115" t="s">
        <v>11</v>
      </c>
      <c r="AB380" s="115"/>
      <c r="AC380" s="115"/>
      <c r="AD380" s="115"/>
      <c r="AE380" s="115"/>
      <c r="AF380" s="115"/>
      <c r="AG380" s="115"/>
      <c r="AH380" s="115"/>
      <c r="AI380" s="115"/>
      <c r="AJ380" s="1274"/>
      <c r="AK380" s="1276"/>
      <c r="AL380" s="1036"/>
      <c r="AM380" s="1029"/>
      <c r="AN380" s="1272"/>
      <c r="AO380" s="13">
        <v>296</v>
      </c>
      <c r="AP380" s="74"/>
      <c r="AQ380" s="75"/>
    </row>
    <row r="381" spans="1:43" ht="26.25" hidden="1" x14ac:dyDescent="0.4">
      <c r="A381" s="1086" t="s">
        <v>387</v>
      </c>
      <c r="B381" s="91" t="s">
        <v>393</v>
      </c>
      <c r="C381" s="575" t="s">
        <v>394</v>
      </c>
      <c r="D381" s="250"/>
      <c r="E381" s="251"/>
      <c r="F381" s="251"/>
      <c r="G381" s="251"/>
      <c r="H381" s="251"/>
      <c r="I381" s="251"/>
      <c r="J381" s="251"/>
      <c r="K381" s="251"/>
      <c r="L381" s="251"/>
      <c r="M381" s="251"/>
      <c r="N381" s="251"/>
      <c r="O381" s="251"/>
      <c r="P381" s="251"/>
      <c r="Q381" s="251"/>
      <c r="R381" s="251"/>
      <c r="S381" s="251"/>
      <c r="T381" s="251"/>
      <c r="U381" s="251"/>
      <c r="V381" s="251"/>
      <c r="W381" s="251"/>
      <c r="X381" s="251"/>
      <c r="Y381" s="251"/>
      <c r="Z381" s="251"/>
      <c r="AA381" s="251"/>
      <c r="AB381" s="362"/>
      <c r="AC381" s="362"/>
      <c r="AD381" s="362"/>
      <c r="AE381" s="362"/>
      <c r="AF381" s="362"/>
      <c r="AG381" s="362"/>
      <c r="AH381" s="362"/>
      <c r="AI381" s="362"/>
      <c r="AJ381" s="65">
        <f t="shared" ref="AJ381:AJ391" si="177">SUM(D381:AA381)</f>
        <v>0</v>
      </c>
      <c r="AK381" s="252"/>
      <c r="AL381" s="1260" t="str">
        <f>CONCATENATE(AK387,AK390,AK392,AK393,AK394,AK395,AK396,AK397,AK398,AK399)</f>
        <v/>
      </c>
      <c r="AM381" s="253"/>
      <c r="AN381" s="1258" t="str">
        <f>CONCATENATE(AM387,AM390,AM392,AM393,AM394,AM395,AM396,AM397,AM398,AM399)</f>
        <v/>
      </c>
      <c r="AO381" s="13">
        <v>297</v>
      </c>
      <c r="AP381" s="74"/>
      <c r="AQ381" s="75"/>
    </row>
    <row r="382" spans="1:43" ht="26.25" hidden="1" x14ac:dyDescent="0.4">
      <c r="A382" s="1087"/>
      <c r="B382" s="76" t="s">
        <v>388</v>
      </c>
      <c r="C382" s="576" t="s">
        <v>395</v>
      </c>
      <c r="D382" s="254"/>
      <c r="E382" s="255"/>
      <c r="F382" s="255"/>
      <c r="G382" s="255"/>
      <c r="H382" s="255"/>
      <c r="I382" s="255"/>
      <c r="J382" s="255"/>
      <c r="K382" s="255"/>
      <c r="L382" s="255"/>
      <c r="M382" s="255"/>
      <c r="N382" s="255"/>
      <c r="O382" s="255"/>
      <c r="P382" s="255"/>
      <c r="Q382" s="255"/>
      <c r="R382" s="255"/>
      <c r="S382" s="255"/>
      <c r="T382" s="255"/>
      <c r="U382" s="255"/>
      <c r="V382" s="255"/>
      <c r="W382" s="255"/>
      <c r="X382" s="255"/>
      <c r="Y382" s="255"/>
      <c r="Z382" s="255"/>
      <c r="AA382" s="255"/>
      <c r="AB382" s="363"/>
      <c r="AC382" s="363"/>
      <c r="AD382" s="363"/>
      <c r="AE382" s="363"/>
      <c r="AF382" s="363"/>
      <c r="AG382" s="363"/>
      <c r="AH382" s="363"/>
      <c r="AI382" s="363"/>
      <c r="AJ382" s="29">
        <f t="shared" si="177"/>
        <v>0</v>
      </c>
      <c r="AK382" s="252"/>
      <c r="AL382" s="1261"/>
      <c r="AM382" s="253"/>
      <c r="AN382" s="1259"/>
      <c r="AO382" s="13">
        <v>298</v>
      </c>
      <c r="AP382" s="74"/>
      <c r="AQ382" s="75"/>
    </row>
    <row r="383" spans="1:43" ht="26.25" hidden="1" x14ac:dyDescent="0.4">
      <c r="A383" s="1087"/>
      <c r="B383" s="76" t="s">
        <v>389</v>
      </c>
      <c r="C383" s="576" t="s">
        <v>396</v>
      </c>
      <c r="D383" s="254"/>
      <c r="E383" s="255"/>
      <c r="F383" s="255"/>
      <c r="G383" s="255"/>
      <c r="H383" s="255"/>
      <c r="I383" s="255"/>
      <c r="J383" s="255"/>
      <c r="K383" s="255"/>
      <c r="L383" s="255"/>
      <c r="M383" s="255"/>
      <c r="N383" s="255"/>
      <c r="O383" s="255"/>
      <c r="P383" s="255"/>
      <c r="Q383" s="255"/>
      <c r="R383" s="255"/>
      <c r="S383" s="255"/>
      <c r="T383" s="255"/>
      <c r="U383" s="255"/>
      <c r="V383" s="255"/>
      <c r="W383" s="255"/>
      <c r="X383" s="255"/>
      <c r="Y383" s="255"/>
      <c r="Z383" s="255"/>
      <c r="AA383" s="255"/>
      <c r="AB383" s="363"/>
      <c r="AC383" s="363"/>
      <c r="AD383" s="363"/>
      <c r="AE383" s="363"/>
      <c r="AF383" s="363"/>
      <c r="AG383" s="363"/>
      <c r="AH383" s="363"/>
      <c r="AI383" s="363"/>
      <c r="AJ383" s="29">
        <f t="shared" si="177"/>
        <v>0</v>
      </c>
      <c r="AK383" s="252"/>
      <c r="AL383" s="1261"/>
      <c r="AM383" s="253"/>
      <c r="AN383" s="1259"/>
      <c r="AO383" s="13">
        <v>299</v>
      </c>
      <c r="AP383" s="74"/>
      <c r="AQ383" s="75"/>
    </row>
    <row r="384" spans="1:43" ht="26.25" hidden="1" x14ac:dyDescent="0.4">
      <c r="A384" s="1087"/>
      <c r="B384" s="76" t="s">
        <v>390</v>
      </c>
      <c r="C384" s="576" t="s">
        <v>397</v>
      </c>
      <c r="D384" s="254"/>
      <c r="E384" s="255"/>
      <c r="F384" s="255"/>
      <c r="G384" s="255"/>
      <c r="H384" s="255"/>
      <c r="I384" s="255"/>
      <c r="J384" s="255"/>
      <c r="K384" s="255"/>
      <c r="L384" s="255"/>
      <c r="M384" s="255"/>
      <c r="N384" s="255"/>
      <c r="O384" s="255"/>
      <c r="P384" s="255"/>
      <c r="Q384" s="255"/>
      <c r="R384" s="255"/>
      <c r="S384" s="255"/>
      <c r="T384" s="255"/>
      <c r="U384" s="255"/>
      <c r="V384" s="255"/>
      <c r="W384" s="255"/>
      <c r="X384" s="255"/>
      <c r="Y384" s="255"/>
      <c r="Z384" s="255"/>
      <c r="AA384" s="255"/>
      <c r="AB384" s="363"/>
      <c r="AC384" s="363"/>
      <c r="AD384" s="363"/>
      <c r="AE384" s="363"/>
      <c r="AF384" s="363"/>
      <c r="AG384" s="363"/>
      <c r="AH384" s="363"/>
      <c r="AI384" s="363"/>
      <c r="AJ384" s="29">
        <f t="shared" si="177"/>
        <v>0</v>
      </c>
      <c r="AK384" s="252"/>
      <c r="AL384" s="1261"/>
      <c r="AM384" s="253"/>
      <c r="AN384" s="1259"/>
      <c r="AO384" s="13">
        <v>300</v>
      </c>
      <c r="AP384" s="74"/>
      <c r="AQ384" s="75"/>
    </row>
    <row r="385" spans="1:43" ht="26.25" hidden="1" x14ac:dyDescent="0.4">
      <c r="A385" s="1087"/>
      <c r="B385" s="76" t="s">
        <v>391</v>
      </c>
      <c r="C385" s="576" t="s">
        <v>398</v>
      </c>
      <c r="D385" s="254"/>
      <c r="E385" s="255"/>
      <c r="F385" s="255"/>
      <c r="G385" s="255"/>
      <c r="H385" s="255"/>
      <c r="I385" s="255"/>
      <c r="J385" s="255"/>
      <c r="K385" s="255"/>
      <c r="L385" s="255"/>
      <c r="M385" s="255"/>
      <c r="N385" s="255"/>
      <c r="O385" s="255"/>
      <c r="P385" s="255"/>
      <c r="Q385" s="255"/>
      <c r="R385" s="255"/>
      <c r="S385" s="255"/>
      <c r="T385" s="255"/>
      <c r="U385" s="255"/>
      <c r="V385" s="255"/>
      <c r="W385" s="255"/>
      <c r="X385" s="255"/>
      <c r="Y385" s="255"/>
      <c r="Z385" s="255"/>
      <c r="AA385" s="255"/>
      <c r="AB385" s="363"/>
      <c r="AC385" s="363"/>
      <c r="AD385" s="363"/>
      <c r="AE385" s="363"/>
      <c r="AF385" s="363"/>
      <c r="AG385" s="363"/>
      <c r="AH385" s="363"/>
      <c r="AI385" s="363"/>
      <c r="AJ385" s="29">
        <f t="shared" si="177"/>
        <v>0</v>
      </c>
      <c r="AK385" s="252"/>
      <c r="AL385" s="1261"/>
      <c r="AM385" s="253"/>
      <c r="AN385" s="1259"/>
      <c r="AO385" s="13">
        <v>301</v>
      </c>
      <c r="AP385" s="74"/>
      <c r="AQ385" s="75"/>
    </row>
    <row r="386" spans="1:43" ht="27" hidden="1" thickBot="1" x14ac:dyDescent="0.45">
      <c r="A386" s="1088"/>
      <c r="B386" s="87" t="s">
        <v>392</v>
      </c>
      <c r="C386" s="577" t="s">
        <v>399</v>
      </c>
      <c r="D386" s="256"/>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c r="AA386" s="257"/>
      <c r="AB386" s="364"/>
      <c r="AC386" s="364"/>
      <c r="AD386" s="364"/>
      <c r="AE386" s="364"/>
      <c r="AF386" s="364"/>
      <c r="AG386" s="364"/>
      <c r="AH386" s="364"/>
      <c r="AI386" s="364"/>
      <c r="AJ386" s="90">
        <f t="shared" si="177"/>
        <v>0</v>
      </c>
      <c r="AK386" s="252"/>
      <c r="AL386" s="1261"/>
      <c r="AM386" s="253"/>
      <c r="AN386" s="1259"/>
      <c r="AO386" s="13">
        <v>302</v>
      </c>
      <c r="AP386" s="74"/>
      <c r="AQ386" s="75"/>
    </row>
    <row r="387" spans="1:43" ht="26.25" hidden="1" x14ac:dyDescent="0.4">
      <c r="A387" s="994" t="s">
        <v>27</v>
      </c>
      <c r="B387" s="91" t="s">
        <v>700</v>
      </c>
      <c r="C387" s="575" t="s">
        <v>302</v>
      </c>
      <c r="D387" s="236"/>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321"/>
      <c r="AC387" s="321"/>
      <c r="AD387" s="321"/>
      <c r="AE387" s="321"/>
      <c r="AF387" s="321"/>
      <c r="AG387" s="321"/>
      <c r="AH387" s="321"/>
      <c r="AI387" s="321"/>
      <c r="AJ387" s="65">
        <f t="shared" si="177"/>
        <v>0</v>
      </c>
      <c r="AK387" s="116" t="str">
        <f>CONCATENATE(IF(D387&lt;SUM(D393,D394,D395,D396,D397,D398,D399)," * Total Died  for Age "&amp;D20&amp;" "&amp;D21&amp;" is less than sum of Total Causes of Death F08-05 to F08-11"&amp;CHAR(10),""),IF(E387&lt;SUM(E393,E394,E395,E396,E397,E398,E399)," * Total Died  for Age "&amp;D20&amp;" "&amp;E21&amp;" is less than sum of Total Causes of Death F08-05 to F08-11"&amp;CHAR(10),""),IF(F387&lt;SUM(F393,F394,F395,F396,F397,F398,F399)," * Total Died  for Age "&amp;F20&amp;" "&amp;F21&amp;" is less than sum of Total Causes of Death F08-05 to F08-11"&amp;CHAR(10),""),IF(G387&lt;SUM(G393,G394,G395,G396,G397,G398,G399)," * Total Died  for Age "&amp;F20&amp;" "&amp;G21&amp;" is less than sum of Total Causes of Death F08-05 to F08-11"&amp;CHAR(10),""),IF(H387&lt;SUM(H393,H394,H395,H396,H397,H398,H399)," * Total Died  for Age "&amp;H20&amp;" "&amp;H21&amp;" is less than sum of Total Causes of Death F08-05 to F08-11"&amp;CHAR(10),""),IF(I387&lt;SUM(I393,I394,I395,I396,I397,I398,I399)," * Total Died  for Age "&amp;H20&amp;" "&amp;I21&amp;" is less than sum of Total Causes of Death F08-05 to F08-11"&amp;CHAR(10),""),IF(J387&lt;SUM(J393,J394,J395,J396,J397,J398,J399)," * Total Died  for Age "&amp;J20&amp;" "&amp;J21&amp;" is less than sum of Total Causes of Death F08-05 to F08-11"&amp;CHAR(10),""),IF(K387&lt;SUM(K393,K394,K395,K396,K397,K398,K399)," * Total Died  for Age "&amp;J20&amp;" "&amp;K21&amp;" is less than sum of Total Causes of Death F08-05 to F08-11"&amp;CHAR(10),""),IF(L387&lt;SUM(L393,L394,L395,L396,L397,L398,L399)," * Total Died  for Age "&amp;L20&amp;" "&amp;L21&amp;" is less than sum of Total Causes of Death F08-05 to F08-11"&amp;CHAR(10),""),IF(M387&lt;SUM(M393,M394,M395,M396,M397,M398,M399)," * Total Died  for Age "&amp;L20&amp;" "&amp;M21&amp;" is less than sum of Total Causes of Death F08-05 to F08-11"&amp;CHAR(10),""),IF(N387&lt;SUM(N393,N394,N395,N396,N397,N398,N399)," * Total Died  for Age "&amp;N20&amp;" "&amp;N21&amp;" is less than sum of Total Causes of Death F08-05 to F08-11"&amp;CHAR(10),""),IF(O387&lt;SUM(O393,O394,O395,O396,O397,O398,O399)," * Total Died  for Age "&amp;N20&amp;" "&amp;O21&amp;" is less than sum of Total Causes of Death F08-05 to F08-11"&amp;CHAR(10),""),IF(P387&lt;SUM(P393,P394,P395,P396,P397,P398,P399)," * Total Died  for Age "&amp;P20&amp;" "&amp;P21&amp;" is less than sum of Total Causes of Death F08-05 to F08-11"&amp;CHAR(10),""),IF(Q387&lt;SUM(Q393,Q394,Q395,Q396,Q397,Q398,Q399)," * Total Died  for Age "&amp;P20&amp;" "&amp;Q21&amp;" is less than sum of Total Causes of Death F08-05 to F08-11"&amp;CHAR(10),""),IF(R387&lt;SUM(R393,R394,R395,R396,R397,R398,R399)," * Total Died  for Age "&amp;R20&amp;" "&amp;R21&amp;" is less than sum of Total Causes of Death F08-05 to F08-11"&amp;CHAR(10),""),IF(S387&lt;SUM(S393,S394,S395,S396,S397,S398,S399)," * Total Died  for Age "&amp;R20&amp;" "&amp;S21&amp;" is less than sum of Total Causes of Death F08-05 to F08-11"&amp;CHAR(10),""),IF(T387&lt;SUM(T393,T394,T395,T396,T397,T398,T399)," * Total Died  for Age "&amp;T20&amp;" "&amp;T21&amp;" is less than sum of Total Causes of Death F08-05 to F08-11"&amp;CHAR(10),""),IF(U387&lt;SUM(U393,U394,U395,U396,U397,U398,U399)," * Total Died  for Age "&amp;T20&amp;" "&amp;U21&amp;" is less than sum of Total Causes of Death F08-05 to F08-11"&amp;CHAR(10),""),IF(V387&lt;SUM(V393,V394,V395,V396,V397,V398,V399)," * Total Died  for Age "&amp;V20&amp;" "&amp;V21&amp;" is less than sum of Total Causes of Death F08-05 to F08-11"&amp;CHAR(10),""),IF(W387&lt;SUM(W393,W394,W395,W396,W397,W398,W399)," * Total Died  for Age "&amp;V20&amp;" "&amp;W21&amp;" is less than sum of Total Causes of Death F08-05 to F08-11"&amp;CHAR(10),""),IF(X387&lt;SUM(X393,X394,X395,X396,X397,X398,X399)," * Total Died  for Age "&amp;X20&amp;" "&amp;X21&amp;" is less than sum of Total Causes of Death F08-05 to F08-11"&amp;CHAR(10),""),IF(Y387&lt;SUM(Y393,Y394,Y395,Y396,Y397,Y398,Y399)," * Total Died  for Age "&amp;X20&amp;" "&amp;Y21&amp;" is less than sum of Total Causes of Death F08-05 to F08-11"&amp;CHAR(10),""),IF(Z387&lt;SUM(Z393,Z394,Z395,Z396,Z397,Z398,Z399)," * Total Died  for Age "&amp;Z20&amp;" "&amp;Z21&amp;" is less than sum of Total Causes of Death F08-05 to F08-11"&amp;CHAR(10),""),IF(AA387&lt;SUM(AA393,AA394,AA395,AA396,AA397,AA398,AA399)," * Total Died  for Age "&amp;Z20&amp;" "&amp;AA21&amp;" is less than sum of Total Causes of Death F08-05 to F08-11"&amp;CHAR(10),""))</f>
        <v/>
      </c>
      <c r="AL387" s="1261"/>
      <c r="AM387" s="31"/>
      <c r="AN387" s="1259"/>
      <c r="AO387" s="13">
        <v>303</v>
      </c>
      <c r="AP387" s="74"/>
      <c r="AQ387" s="75"/>
    </row>
    <row r="388" spans="1:43" s="61" customFormat="1" ht="52.5" hidden="1" x14ac:dyDescent="0.4">
      <c r="A388" s="1119"/>
      <c r="B388" s="76" t="s">
        <v>590</v>
      </c>
      <c r="C388" s="576" t="s">
        <v>447</v>
      </c>
      <c r="D388" s="237"/>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318"/>
      <c r="AC388" s="318"/>
      <c r="AD388" s="318"/>
      <c r="AE388" s="318"/>
      <c r="AF388" s="318"/>
      <c r="AG388" s="318"/>
      <c r="AH388" s="318"/>
      <c r="AI388" s="318"/>
      <c r="AJ388" s="29">
        <f t="shared" si="177"/>
        <v>0</v>
      </c>
      <c r="AK388" s="116"/>
      <c r="AL388" s="1261"/>
      <c r="AM388" s="60"/>
      <c r="AN388" s="1259"/>
      <c r="AO388" s="13">
        <v>304</v>
      </c>
      <c r="AP388" s="80"/>
      <c r="AQ388" s="75"/>
    </row>
    <row r="389" spans="1:43" ht="26.25" hidden="1" x14ac:dyDescent="0.4">
      <c r="A389" s="1119"/>
      <c r="B389" s="76" t="s">
        <v>451</v>
      </c>
      <c r="C389" s="576" t="s">
        <v>448</v>
      </c>
      <c r="D389" s="237"/>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318"/>
      <c r="AC389" s="318"/>
      <c r="AD389" s="318"/>
      <c r="AE389" s="318"/>
      <c r="AF389" s="318"/>
      <c r="AG389" s="318"/>
      <c r="AH389" s="318"/>
      <c r="AI389" s="318"/>
      <c r="AJ389" s="29">
        <f t="shared" si="177"/>
        <v>0</v>
      </c>
      <c r="AK389" s="116"/>
      <c r="AL389" s="1261"/>
      <c r="AM389" s="31"/>
      <c r="AN389" s="1259"/>
      <c r="AO389" s="13">
        <v>305</v>
      </c>
      <c r="AP389" s="74"/>
      <c r="AQ389" s="75"/>
    </row>
    <row r="390" spans="1:43" ht="26.25" hidden="1" x14ac:dyDescent="0.4">
      <c r="A390" s="1119"/>
      <c r="B390" s="76" t="s">
        <v>701</v>
      </c>
      <c r="C390" s="576" t="s">
        <v>449</v>
      </c>
      <c r="D390" s="237"/>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318"/>
      <c r="AC390" s="318"/>
      <c r="AD390" s="318"/>
      <c r="AE390" s="318"/>
      <c r="AF390" s="318"/>
      <c r="AG390" s="318"/>
      <c r="AH390" s="318"/>
      <c r="AI390" s="318"/>
      <c r="AJ390" s="29">
        <f t="shared" si="177"/>
        <v>0</v>
      </c>
      <c r="AK390" s="116"/>
      <c r="AL390" s="1261"/>
      <c r="AM390" s="31"/>
      <c r="AN390" s="1259"/>
      <c r="AO390" s="13">
        <v>306</v>
      </c>
      <c r="AP390" s="74"/>
      <c r="AQ390" s="75"/>
    </row>
    <row r="391" spans="1:43" ht="26.25" hidden="1" x14ac:dyDescent="0.4">
      <c r="A391" s="1119"/>
      <c r="B391" s="76" t="s">
        <v>446</v>
      </c>
      <c r="C391" s="576" t="s">
        <v>450</v>
      </c>
      <c r="D391" s="237"/>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318"/>
      <c r="AC391" s="318"/>
      <c r="AD391" s="318"/>
      <c r="AE391" s="318"/>
      <c r="AF391" s="318"/>
      <c r="AG391" s="318"/>
      <c r="AH391" s="318"/>
      <c r="AI391" s="318"/>
      <c r="AJ391" s="29">
        <f t="shared" si="177"/>
        <v>0</v>
      </c>
      <c r="AK391" s="116"/>
      <c r="AL391" s="1261"/>
      <c r="AM391" s="31"/>
      <c r="AN391" s="1259"/>
      <c r="AO391" s="13">
        <v>307</v>
      </c>
      <c r="AP391" s="74"/>
      <c r="AQ391" s="75"/>
    </row>
    <row r="392" spans="1:43" ht="27" hidden="1" thickBot="1" x14ac:dyDescent="0.45">
      <c r="A392" s="1124"/>
      <c r="B392" s="258" t="s">
        <v>458</v>
      </c>
      <c r="C392" s="598" t="s">
        <v>304</v>
      </c>
      <c r="D392" s="259">
        <f>SUM(D387:D391)</f>
        <v>0</v>
      </c>
      <c r="E392" s="260">
        <f t="shared" ref="E392:AJ392" si="178">SUM(E387:E391)</f>
        <v>0</v>
      </c>
      <c r="F392" s="260">
        <f t="shared" si="178"/>
        <v>0</v>
      </c>
      <c r="G392" s="260">
        <f t="shared" si="178"/>
        <v>0</v>
      </c>
      <c r="H392" s="260">
        <f t="shared" si="178"/>
        <v>0</v>
      </c>
      <c r="I392" s="260">
        <f t="shared" si="178"/>
        <v>0</v>
      </c>
      <c r="J392" s="260">
        <f t="shared" si="178"/>
        <v>0</v>
      </c>
      <c r="K392" s="260">
        <f t="shared" si="178"/>
        <v>0</v>
      </c>
      <c r="L392" s="260">
        <f t="shared" si="178"/>
        <v>0</v>
      </c>
      <c r="M392" s="260">
        <f t="shared" si="178"/>
        <v>0</v>
      </c>
      <c r="N392" s="260">
        <f t="shared" si="178"/>
        <v>0</v>
      </c>
      <c r="O392" s="260">
        <f t="shared" si="178"/>
        <v>0</v>
      </c>
      <c r="P392" s="260">
        <f t="shared" si="178"/>
        <v>0</v>
      </c>
      <c r="Q392" s="260">
        <f t="shared" si="178"/>
        <v>0</v>
      </c>
      <c r="R392" s="260">
        <f t="shared" si="178"/>
        <v>0</v>
      </c>
      <c r="S392" s="260">
        <f t="shared" si="178"/>
        <v>0</v>
      </c>
      <c r="T392" s="260">
        <f t="shared" si="178"/>
        <v>0</v>
      </c>
      <c r="U392" s="260">
        <f t="shared" si="178"/>
        <v>0</v>
      </c>
      <c r="V392" s="260">
        <f t="shared" si="178"/>
        <v>0</v>
      </c>
      <c r="W392" s="260">
        <f t="shared" si="178"/>
        <v>0</v>
      </c>
      <c r="X392" s="260">
        <f t="shared" si="178"/>
        <v>0</v>
      </c>
      <c r="Y392" s="260">
        <f t="shared" si="178"/>
        <v>0</v>
      </c>
      <c r="Z392" s="260">
        <f t="shared" si="178"/>
        <v>0</v>
      </c>
      <c r="AA392" s="260">
        <f t="shared" si="178"/>
        <v>0</v>
      </c>
      <c r="AB392" s="365"/>
      <c r="AC392" s="365"/>
      <c r="AD392" s="365"/>
      <c r="AE392" s="365"/>
      <c r="AF392" s="365"/>
      <c r="AG392" s="365"/>
      <c r="AH392" s="365"/>
      <c r="AI392" s="365"/>
      <c r="AJ392" s="261">
        <f t="shared" si="178"/>
        <v>0</v>
      </c>
      <c r="AK392" s="116"/>
      <c r="AL392" s="1261"/>
      <c r="AM392" s="31"/>
      <c r="AN392" s="1259"/>
      <c r="AO392" s="13">
        <v>308</v>
      </c>
      <c r="AP392" s="74"/>
      <c r="AQ392" s="75"/>
    </row>
    <row r="393" spans="1:43" ht="26.25" hidden="1" x14ac:dyDescent="0.4">
      <c r="A393" s="994" t="s">
        <v>1009</v>
      </c>
      <c r="B393" s="91" t="s">
        <v>314</v>
      </c>
      <c r="C393" s="575" t="s">
        <v>305</v>
      </c>
      <c r="D393" s="236"/>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321"/>
      <c r="AC393" s="321"/>
      <c r="AD393" s="321"/>
      <c r="AE393" s="321"/>
      <c r="AF393" s="321"/>
      <c r="AG393" s="321"/>
      <c r="AH393" s="321"/>
      <c r="AI393" s="321"/>
      <c r="AJ393" s="65">
        <f t="shared" ref="AJ393:AJ399" si="179">SUM(D393:AA393)</f>
        <v>0</v>
      </c>
      <c r="AK393" s="116"/>
      <c r="AL393" s="1261"/>
      <c r="AM393" s="31"/>
      <c r="AN393" s="1259"/>
      <c r="AO393" s="13">
        <v>309</v>
      </c>
      <c r="AP393" s="74"/>
      <c r="AQ393" s="75"/>
    </row>
    <row r="394" spans="1:43" ht="26.25" hidden="1" x14ac:dyDescent="0.4">
      <c r="A394" s="1119"/>
      <c r="B394" s="76" t="s">
        <v>547</v>
      </c>
      <c r="C394" s="576" t="s">
        <v>306</v>
      </c>
      <c r="D394" s="237"/>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318"/>
      <c r="AC394" s="318"/>
      <c r="AD394" s="318"/>
      <c r="AE394" s="318"/>
      <c r="AF394" s="318"/>
      <c r="AG394" s="318"/>
      <c r="AH394" s="318"/>
      <c r="AI394" s="318"/>
      <c r="AJ394" s="29">
        <f t="shared" si="179"/>
        <v>0</v>
      </c>
      <c r="AK394" s="116"/>
      <c r="AL394" s="1261"/>
      <c r="AM394" s="31"/>
      <c r="AN394" s="1259"/>
      <c r="AO394" s="13">
        <v>310</v>
      </c>
      <c r="AP394" s="74"/>
      <c r="AQ394" s="75"/>
    </row>
    <row r="395" spans="1:43" ht="26.25" hidden="1" x14ac:dyDescent="0.4">
      <c r="A395" s="1119"/>
      <c r="B395" s="76" t="s">
        <v>702</v>
      </c>
      <c r="C395" s="576" t="s">
        <v>307</v>
      </c>
      <c r="D395" s="237"/>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318"/>
      <c r="AC395" s="318"/>
      <c r="AD395" s="318"/>
      <c r="AE395" s="318"/>
      <c r="AF395" s="318"/>
      <c r="AG395" s="318"/>
      <c r="AH395" s="318"/>
      <c r="AI395" s="318"/>
      <c r="AJ395" s="29">
        <f t="shared" si="179"/>
        <v>0</v>
      </c>
      <c r="AK395" s="116"/>
      <c r="AL395" s="1261"/>
      <c r="AM395" s="31"/>
      <c r="AN395" s="1259"/>
      <c r="AO395" s="13">
        <v>311</v>
      </c>
      <c r="AP395" s="74"/>
      <c r="AQ395" s="75"/>
    </row>
    <row r="396" spans="1:43" s="61" customFormat="1" ht="26.25" hidden="1" x14ac:dyDescent="0.4">
      <c r="A396" s="1119"/>
      <c r="B396" s="76" t="s">
        <v>315</v>
      </c>
      <c r="C396" s="576" t="s">
        <v>308</v>
      </c>
      <c r="D396" s="237"/>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318"/>
      <c r="AC396" s="318"/>
      <c r="AD396" s="318"/>
      <c r="AE396" s="318"/>
      <c r="AF396" s="318"/>
      <c r="AG396" s="318"/>
      <c r="AH396" s="318"/>
      <c r="AI396" s="318"/>
      <c r="AJ396" s="29">
        <f t="shared" si="179"/>
        <v>0</v>
      </c>
      <c r="AK396" s="116"/>
      <c r="AL396" s="1261"/>
      <c r="AM396" s="60"/>
      <c r="AN396" s="1259"/>
      <c r="AO396" s="13">
        <v>312</v>
      </c>
      <c r="AP396" s="80"/>
      <c r="AQ396" s="75"/>
    </row>
    <row r="397" spans="1:43" ht="26.25" hidden="1" x14ac:dyDescent="0.4">
      <c r="A397" s="1119"/>
      <c r="B397" s="76" t="s">
        <v>548</v>
      </c>
      <c r="C397" s="576" t="s">
        <v>309</v>
      </c>
      <c r="D397" s="237"/>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318"/>
      <c r="AC397" s="318"/>
      <c r="AD397" s="318"/>
      <c r="AE397" s="318"/>
      <c r="AF397" s="318"/>
      <c r="AG397" s="318"/>
      <c r="AH397" s="318"/>
      <c r="AI397" s="318"/>
      <c r="AJ397" s="29">
        <f t="shared" si="179"/>
        <v>0</v>
      </c>
      <c r="AK397" s="116"/>
      <c r="AL397" s="1261"/>
      <c r="AM397" s="31"/>
      <c r="AN397" s="1259"/>
      <c r="AO397" s="13">
        <v>313</v>
      </c>
      <c r="AP397" s="74"/>
      <c r="AQ397" s="75"/>
    </row>
    <row r="398" spans="1:43" ht="26.25" hidden="1" x14ac:dyDescent="0.4">
      <c r="A398" s="1119"/>
      <c r="B398" s="76" t="s">
        <v>316</v>
      </c>
      <c r="C398" s="576" t="s">
        <v>310</v>
      </c>
      <c r="D398" s="237"/>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318"/>
      <c r="AC398" s="318"/>
      <c r="AD398" s="318"/>
      <c r="AE398" s="318"/>
      <c r="AF398" s="318"/>
      <c r="AG398" s="318"/>
      <c r="AH398" s="318"/>
      <c r="AI398" s="318"/>
      <c r="AJ398" s="29">
        <f t="shared" si="179"/>
        <v>0</v>
      </c>
      <c r="AK398" s="116"/>
      <c r="AL398" s="1261"/>
      <c r="AM398" s="31"/>
      <c r="AN398" s="1259"/>
      <c r="AO398" s="13">
        <v>314</v>
      </c>
      <c r="AP398" s="74"/>
      <c r="AQ398" s="75"/>
    </row>
    <row r="399" spans="1:43" ht="26.25" hidden="1" x14ac:dyDescent="0.4">
      <c r="A399" s="995"/>
      <c r="B399" s="118" t="s">
        <v>317</v>
      </c>
      <c r="C399" s="605" t="s">
        <v>311</v>
      </c>
      <c r="D399" s="249"/>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329"/>
      <c r="AC399" s="329"/>
      <c r="AD399" s="329"/>
      <c r="AE399" s="329"/>
      <c r="AF399" s="329"/>
      <c r="AG399" s="329"/>
      <c r="AH399" s="329"/>
      <c r="AI399" s="329"/>
      <c r="AJ399" s="535">
        <f t="shared" si="179"/>
        <v>0</v>
      </c>
      <c r="AK399" s="122"/>
      <c r="AL399" s="1229"/>
      <c r="AM399" s="123"/>
      <c r="AN399" s="1233"/>
      <c r="AO399" s="13">
        <v>315</v>
      </c>
      <c r="AP399" s="74"/>
      <c r="AQ399" s="75"/>
    </row>
    <row r="400" spans="1:43" ht="27" thickBot="1" x14ac:dyDescent="0.45">
      <c r="A400" s="1252" t="s">
        <v>573</v>
      </c>
      <c r="B400" s="1253"/>
      <c r="C400" s="1253"/>
      <c r="D400" s="1253"/>
      <c r="E400" s="1253"/>
      <c r="F400" s="1253"/>
      <c r="G400" s="1253"/>
      <c r="H400" s="1253"/>
      <c r="I400" s="1253"/>
      <c r="J400" s="1253"/>
      <c r="K400" s="1253"/>
      <c r="L400" s="1253"/>
      <c r="M400" s="1253"/>
      <c r="N400" s="1253"/>
      <c r="O400" s="1253"/>
      <c r="P400" s="1253"/>
      <c r="Q400" s="1253"/>
      <c r="R400" s="1253"/>
      <c r="S400" s="1253"/>
      <c r="T400" s="1253"/>
      <c r="U400" s="1253"/>
      <c r="V400" s="1253"/>
      <c r="W400" s="1253"/>
      <c r="X400" s="1253"/>
      <c r="Y400" s="1253"/>
      <c r="Z400" s="1253"/>
      <c r="AA400" s="1253"/>
      <c r="AB400" s="1253"/>
      <c r="AC400" s="1253"/>
      <c r="AD400" s="1253"/>
      <c r="AE400" s="1253"/>
      <c r="AF400" s="1253"/>
      <c r="AG400" s="1253"/>
      <c r="AH400" s="1253"/>
      <c r="AI400" s="1253"/>
      <c r="AJ400" s="1253"/>
      <c r="AK400" s="1253"/>
      <c r="AL400" s="1253"/>
      <c r="AM400" s="1253"/>
      <c r="AN400" s="1254"/>
      <c r="AO400" s="13">
        <v>316</v>
      </c>
      <c r="AP400" s="74"/>
      <c r="AQ400" s="75"/>
    </row>
    <row r="401" spans="1:43" ht="50.25" customHeight="1" x14ac:dyDescent="0.4">
      <c r="A401" s="1255" t="s">
        <v>519</v>
      </c>
      <c r="B401" s="69" t="s">
        <v>520</v>
      </c>
      <c r="C401" s="611" t="s">
        <v>523</v>
      </c>
      <c r="D401" s="72"/>
      <c r="E401" s="72"/>
      <c r="F401" s="72"/>
      <c r="G401" s="72"/>
      <c r="H401" s="72"/>
      <c r="I401" s="72"/>
      <c r="J401" s="72"/>
      <c r="K401" s="72"/>
      <c r="L401" s="72"/>
      <c r="M401" s="72"/>
      <c r="N401" s="72"/>
      <c r="O401" s="72"/>
      <c r="P401" s="72"/>
      <c r="Q401" s="72"/>
      <c r="R401" s="72"/>
      <c r="S401" s="72"/>
      <c r="T401" s="72"/>
      <c r="U401" s="72"/>
      <c r="V401" s="72"/>
      <c r="W401" s="72"/>
      <c r="X401" s="72"/>
      <c r="Y401" s="72"/>
      <c r="Z401" s="502">
        <f t="shared" ref="Z401" si="180">SUM(AB401,AD401,AF401,AH401)</f>
        <v>0</v>
      </c>
      <c r="AA401" s="502">
        <f t="shared" ref="AA401" si="181">SUM(AC401,AE401,AG401,AI401)</f>
        <v>0</v>
      </c>
      <c r="AB401" s="72"/>
      <c r="AC401" s="72"/>
      <c r="AD401" s="72"/>
      <c r="AE401" s="72"/>
      <c r="AF401" s="72"/>
      <c r="AG401" s="72"/>
      <c r="AH401" s="72"/>
      <c r="AI401" s="72"/>
      <c r="AJ401" s="52">
        <f t="shared" ref="AJ401" si="182">SUM(D401:AA401)</f>
        <v>0</v>
      </c>
      <c r="AK401" s="754" t="str">
        <f>CONCATENATE(IF(D402&gt;D401," * TB Cases with Known HIV Positive status "&amp;$D$20&amp;" "&amp;$D$21&amp;" is more than Total TB Cases New and relapsed"&amp;CHAR(10),""),IF(E402&gt;E401," * TB Cases with Known HIV Positive status "&amp;$D$20&amp;" "&amp;$E$21&amp;" is more than Total TB Cases New and relapsed"&amp;CHAR(10),""),IF(F402&gt;F401," * TB Cases with Known HIV Positive status "&amp;$F$20&amp;" "&amp;$F$21&amp;" is more than Total TB Cases New and relapsed"&amp;CHAR(10),""),IF(G402&gt;G401," * TB Cases with Known HIV Positive status "&amp;$F$20&amp;" "&amp;$G$21&amp;" is more than Total TB Cases New and relapsed"&amp;CHAR(10),""),IF(H402&gt;H401," * TB Cases with Known HIV Positive status "&amp;$H$20&amp;" "&amp;$H$21&amp;" is more than Total TB Cases New and relapsed"&amp;CHAR(10),""),IF(I402&gt;I401," * TB Cases with Known HIV Positive status "&amp;$H$20&amp;" "&amp;$I$21&amp;" is more than Total TB Cases New and relapsed"&amp;CHAR(10),""),IF(J402&gt;J401," * TB Cases with Known HIV Positive status "&amp;$J$20&amp;" "&amp;$J$21&amp;" is more than Total TB Cases New and relapsed"&amp;CHAR(10),""),IF(K402&gt;K401," * TB Cases with Known HIV Positive status "&amp;$J$20&amp;" "&amp;$K$21&amp;" is more than Total TB Cases New and relapsed"&amp;CHAR(10),""),IF(L402&gt;L401," * TB Cases with Known HIV Positive status "&amp;$L$20&amp;" "&amp;$L$21&amp;" is more than Total TB Cases New and relapsed"&amp;CHAR(10),""),IF(M402&gt;M401," * TB Cases with Known HIV Positive status "&amp;$L$20&amp;" "&amp;$M$21&amp;" is more than Total TB Cases New and relapsed"&amp;CHAR(10),""),IF(N402&gt;N401," * TB Cases with Known HIV Positive status "&amp;$N$20&amp;" "&amp;$N$21&amp;" is more than Total TB Cases New and relapsed"&amp;CHAR(10),""),IF(O402&gt;O401," * TB Cases with Known HIV Positive status "&amp;$N$20&amp;" "&amp;$O$21&amp;" is more than Total TB Cases New and relapsed"&amp;CHAR(10),""),IF(P402&gt;P401," * TB Cases with Known HIV Positive status "&amp;$P$20&amp;" "&amp;$P$21&amp;" is more than Total TB Cases New and relapsed"&amp;CHAR(10),""),IF(Q402&gt;Q401," * TB Cases with Known HIV Positive status "&amp;$P$20&amp;" "&amp;$Q$21&amp;" is more than Total TB Cases New and relapsed"&amp;CHAR(10),""),IF(R402&gt;R401," * TB Cases with Known HIV Positive status "&amp;$R$20&amp;" "&amp;$R$21&amp;" is more than Total TB Cases New and relapsed"&amp;CHAR(10),""),IF(S402&gt;S401," * TB Cases with Known HIV Positive status "&amp;$R$20&amp;" "&amp;$S$21&amp;" is more than Total TB Cases New and relapsed"&amp;CHAR(10),""),IF(T402&gt;T401," * TB Cases with Known HIV Positive status "&amp;$T$20&amp;" "&amp;$T$21&amp;" is more than Total TB Cases New and relapsed"&amp;CHAR(10),""),IF(U402&gt;U401," * TB Cases with Known HIV Positive status "&amp;$T$20&amp;" "&amp;$U$21&amp;" is more than Total TB Cases New and relapsed"&amp;CHAR(10),""),IF(V402&gt;V401," * TB Cases with Known HIV Positive status "&amp;$V$20&amp;" "&amp;$V$21&amp;" is more than Total TB Cases New and relapsed"&amp;CHAR(10),""),IF(W402&gt;W401," * TB Cases with Known HIV Positive status "&amp;$V$20&amp;" "&amp;$W$21&amp;" is more than Total TB Cases New and relapsed"&amp;CHAR(10),""),IF(X402&gt;X401," * TB Cases with Known HIV Positive status "&amp;$X$20&amp;" "&amp;$X$21&amp;" is more than Total TB Cases New and relapsed"&amp;CHAR(10),""),IF(Y402&gt;Y401," * TB Cases with Known HIV Positive status "&amp;$X$20&amp;" "&amp;$Y$21&amp;" is more than Total TB Cases New and relapsed"&amp;CHAR(10),""),IF(Z402&gt;Z401," * TB Cases with Known HIV Positive status "&amp;$Z$20&amp;" "&amp;$Z$21&amp;" is more than Total TB Cases New and relapsed"&amp;CHAR(10),""),IF(AA402&gt;AA401," * TB Cases with Known HIV Positive status "&amp;$Z$20&amp;" "&amp;$AA$21&amp;" is more than Total TB Cases New and relapsed"&amp;CHAR(10),""))</f>
        <v/>
      </c>
      <c r="AL401" s="1019" t="str">
        <f>CONCATENATE(AK401,AK402,AK405,AK406,AK407,AK408,AK409,AK410,AK411,AK403,AK404)</f>
        <v/>
      </c>
      <c r="AM401" s="73"/>
      <c r="AN401" s="1241" t="str">
        <f>CONCATENATE(AM401,AM402,AM404,AM405,AM406,AM407,AM408,AM409,AM410,AM411)</f>
        <v/>
      </c>
      <c r="AO401" s="13">
        <v>317</v>
      </c>
      <c r="AP401" s="74"/>
      <c r="AQ401" s="75"/>
    </row>
    <row r="402" spans="1:43" s="14" customFormat="1" ht="26.25" x14ac:dyDescent="0.4">
      <c r="A402" s="1255"/>
      <c r="B402" s="198" t="s">
        <v>1010</v>
      </c>
      <c r="C402" s="576" t="s">
        <v>533</v>
      </c>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502">
        <f t="shared" ref="Z402:Z403" si="183">SUM(AB402,AD402,AF402,AH402)</f>
        <v>0</v>
      </c>
      <c r="AA402" s="502">
        <f t="shared" ref="AA402:AA403" si="184">SUM(AC402,AE402,AG402,AI402)</f>
        <v>0</v>
      </c>
      <c r="AB402" s="200"/>
      <c r="AC402" s="200"/>
      <c r="AD402" s="200"/>
      <c r="AE402" s="200"/>
      <c r="AF402" s="200"/>
      <c r="AG402" s="200"/>
      <c r="AH402" s="200"/>
      <c r="AI402" s="200"/>
      <c r="AJ402" s="173">
        <f t="shared" ref="AJ402:AJ411" si="185">SUM(D402:AA402)</f>
        <v>0</v>
      </c>
      <c r="AK402" s="130"/>
      <c r="AL402" s="1019"/>
      <c r="AM402" s="31"/>
      <c r="AN402" s="1241"/>
      <c r="AO402" s="13">
        <v>318</v>
      </c>
      <c r="AP402" s="74"/>
      <c r="AQ402" s="149"/>
    </row>
    <row r="403" spans="1:43" s="14" customFormat="1" ht="52.5" x14ac:dyDescent="0.4">
      <c r="A403" s="1255"/>
      <c r="B403" s="198" t="s">
        <v>1011</v>
      </c>
      <c r="C403" s="576" t="s">
        <v>991</v>
      </c>
      <c r="D403" s="199"/>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502">
        <f t="shared" si="183"/>
        <v>0</v>
      </c>
      <c r="AA403" s="502">
        <f t="shared" si="184"/>
        <v>0</v>
      </c>
      <c r="AB403" s="200"/>
      <c r="AC403" s="200"/>
      <c r="AD403" s="200"/>
      <c r="AE403" s="200"/>
      <c r="AF403" s="200"/>
      <c r="AG403" s="200"/>
      <c r="AH403" s="200"/>
      <c r="AI403" s="200"/>
      <c r="AJ403" s="173">
        <f t="shared" si="185"/>
        <v>0</v>
      </c>
      <c r="AK403" s="130"/>
      <c r="AL403" s="1019"/>
      <c r="AM403" s="31"/>
      <c r="AN403" s="1241"/>
      <c r="AO403" s="13"/>
      <c r="AP403" s="74"/>
      <c r="AQ403" s="149"/>
    </row>
    <row r="404" spans="1:43" s="14" customFormat="1" ht="26.25" x14ac:dyDescent="0.4">
      <c r="A404" s="1255"/>
      <c r="B404" s="262" t="s">
        <v>521</v>
      </c>
      <c r="C404" s="576" t="s">
        <v>534</v>
      </c>
      <c r="D404" s="263"/>
      <c r="E404" s="264"/>
      <c r="F404" s="161">
        <f>F401-(F402+F403)</f>
        <v>0</v>
      </c>
      <c r="G404" s="161">
        <f t="shared" ref="G404:Y404" si="186">G401-(G402+G403)</f>
        <v>0</v>
      </c>
      <c r="H404" s="161">
        <f t="shared" si="186"/>
        <v>0</v>
      </c>
      <c r="I404" s="161">
        <f t="shared" si="186"/>
        <v>0</v>
      </c>
      <c r="J404" s="161">
        <f t="shared" si="186"/>
        <v>0</v>
      </c>
      <c r="K404" s="161">
        <f t="shared" si="186"/>
        <v>0</v>
      </c>
      <c r="L404" s="161">
        <f t="shared" si="186"/>
        <v>0</v>
      </c>
      <c r="M404" s="161">
        <f t="shared" si="186"/>
        <v>0</v>
      </c>
      <c r="N404" s="161">
        <f t="shared" si="186"/>
        <v>0</v>
      </c>
      <c r="O404" s="161">
        <f t="shared" si="186"/>
        <v>0</v>
      </c>
      <c r="P404" s="161">
        <f t="shared" si="186"/>
        <v>0</v>
      </c>
      <c r="Q404" s="161">
        <f t="shared" si="186"/>
        <v>0</v>
      </c>
      <c r="R404" s="161">
        <f t="shared" si="186"/>
        <v>0</v>
      </c>
      <c r="S404" s="161">
        <f t="shared" si="186"/>
        <v>0</v>
      </c>
      <c r="T404" s="161">
        <f t="shared" si="186"/>
        <v>0</v>
      </c>
      <c r="U404" s="161">
        <f t="shared" si="186"/>
        <v>0</v>
      </c>
      <c r="V404" s="161">
        <f t="shared" si="186"/>
        <v>0</v>
      </c>
      <c r="W404" s="161">
        <f t="shared" si="186"/>
        <v>0</v>
      </c>
      <c r="X404" s="161">
        <f t="shared" si="186"/>
        <v>0</v>
      </c>
      <c r="Y404" s="161">
        <f t="shared" si="186"/>
        <v>0</v>
      </c>
      <c r="Z404" s="502">
        <f t="shared" ref="Z404:Z409" si="187">SUM(AB404,AD404,AF404,AH404)</f>
        <v>0</v>
      </c>
      <c r="AA404" s="502">
        <f t="shared" ref="AA404:AA409" si="188">SUM(AC404,AE404,AG404,AI404)</f>
        <v>0</v>
      </c>
      <c r="AB404" s="161">
        <f t="shared" ref="AB404:AI404" si="189">AB401-(AB402+AB403)</f>
        <v>0</v>
      </c>
      <c r="AC404" s="161">
        <f t="shared" si="189"/>
        <v>0</v>
      </c>
      <c r="AD404" s="161">
        <f t="shared" si="189"/>
        <v>0</v>
      </c>
      <c r="AE404" s="161">
        <f t="shared" si="189"/>
        <v>0</v>
      </c>
      <c r="AF404" s="161">
        <f t="shared" si="189"/>
        <v>0</v>
      </c>
      <c r="AG404" s="161">
        <f t="shared" si="189"/>
        <v>0</v>
      </c>
      <c r="AH404" s="161">
        <f t="shared" si="189"/>
        <v>0</v>
      </c>
      <c r="AI404" s="161">
        <f t="shared" si="189"/>
        <v>0</v>
      </c>
      <c r="AJ404" s="173">
        <f t="shared" si="185"/>
        <v>0</v>
      </c>
      <c r="AK404" s="130"/>
      <c r="AL404" s="1019"/>
      <c r="AM404" s="31" t="str">
        <f>CONCATENATE(IF(D404&gt;D405," * TB Cases newly tested for HIV "&amp;$D$20&amp;" "&amp;$D$21&amp;" is less than TB Cases eligible for Testing"&amp;CHAR(10),""),IF(E404&gt;E405," * TB Cases newly tested for HIV "&amp;$D$20&amp;" "&amp;$E$21&amp;" is less than TB Cases eligible for Testing"&amp;CHAR(10),""),IF(F404&gt;F405," * TB Cases newly tested for HIV "&amp;$F$20&amp;" "&amp;$F$21&amp;" is less than TB Cases eligible for Testing"&amp;CHAR(10),""),IF(G404&gt;G405," * TB Cases newly tested for HIV "&amp;$F$20&amp;" "&amp;$G$21&amp;" is less than TB Cases eligible for Testing"&amp;CHAR(10),""),IF(H404&gt;H405," * TB Cases newly tested for HIV "&amp;$H$20&amp;" "&amp;$H$21&amp;" is less than TB Cases eligible for Testing"&amp;CHAR(10),""),IF(I404&gt;I405," * TB Cases newly tested for HIV "&amp;$H$20&amp;" "&amp;$I$21&amp;" is less than TB Cases eligible for Testing"&amp;CHAR(10),""),IF(J404&gt;J405," * TB Cases newly tested for HIV "&amp;$J$20&amp;" "&amp;$J$21&amp;" is less than TB Cases eligible for Testing"&amp;CHAR(10),""),IF(K404&gt;K405," * TB Cases newly tested for HIV "&amp;$J$20&amp;" "&amp;$K$21&amp;" is less than TB Cases eligible for Testing"&amp;CHAR(10),""),IF(L404&gt;L405," * TB Cases newly tested for HIV "&amp;$L$20&amp;" "&amp;$L$21&amp;" is less than TB Cases eligible for Testing"&amp;CHAR(10),""),IF(M404&gt;M405," * TB Cases newly tested for HIV "&amp;$L$20&amp;" "&amp;$M$21&amp;" is less than TB Cases eligible for Testing"&amp;CHAR(10),""),IF(N404&gt;N405," * TB Cases newly tested for HIV "&amp;$N$20&amp;" "&amp;$N$21&amp;" is less than TB Cases eligible for Testing"&amp;CHAR(10),""),IF(O404&gt;O405," * TB Cases newly tested for HIV "&amp;$N$20&amp;" "&amp;$O$21&amp;" is less than TB Cases eligible for Testing"&amp;CHAR(10),""),IF(P404&gt;P405," * TB Cases newly tested for HIV "&amp;$P$20&amp;" "&amp;$P$21&amp;" is less than TB Cases eligible for Testing"&amp;CHAR(10),""),IF(Q404&gt;Q405," * TB Cases newly tested for HIV "&amp;$P$20&amp;" "&amp;$Q$21&amp;" is less than TB Cases eligible for Testing"&amp;CHAR(10),""),IF(R404&gt;R405," * TB Cases newly tested for HIV "&amp;$R$20&amp;" "&amp;$R$21&amp;" is less than TB Cases eligible for Testing"&amp;CHAR(10),""),IF(S404&gt;S405," * TB Cases newly tested for HIV "&amp;$R$20&amp;" "&amp;$S$21&amp;" is less than TB Cases eligible for Testing"&amp;CHAR(10),""),IF(T404&gt;T405," * TB Cases newly tested for HIV "&amp;$T$20&amp;" "&amp;$T$21&amp;" is less than TB Cases eligible for Testing"&amp;CHAR(10),""),IF(U404&gt;U405," * TB Cases newly tested for HIV "&amp;$T$20&amp;" "&amp;$U$21&amp;" is less than TB Cases eligible for Testing"&amp;CHAR(10),""),IF(V404&gt;V405," * TB Cases newly tested for HIV "&amp;$V$20&amp;" "&amp;$V$21&amp;" is less than TB Cases eligible for Testing"&amp;CHAR(10),""),IF(W404&gt;W405," * TB Cases newly tested for HIV "&amp;$V$20&amp;" "&amp;$W$21&amp;" is less than TB Cases eligible for Testing"&amp;CHAR(10),""),IF(X404&gt;X405," * TB Cases newly tested for HIV "&amp;$X$20&amp;" "&amp;$X$21&amp;" is less than TB Cases eligible for Testing"&amp;CHAR(10),""),IF(Y404&gt;Y405," * TB Cases newly tested for HIV "&amp;$X$20&amp;" "&amp;$Y$21&amp;" is less than TB Cases eligible for Testing"&amp;CHAR(10),""),IF(Z404&gt;Z405," * TB Cases newly tested for HIV "&amp;$Z$20&amp;" "&amp;$Z$21&amp;" is less than TB Cases eligible for Testing"&amp;CHAR(10),""),IF(AA404&gt;AA405," * TB Cases newly tested for HIV "&amp;$Z$20&amp;" "&amp;$AA$21&amp;" is less than TB Cases eligible for Testing"&amp;CHAR(10),""))</f>
        <v/>
      </c>
      <c r="AN404" s="1241"/>
      <c r="AO404" s="13">
        <v>319</v>
      </c>
      <c r="AP404" s="74"/>
      <c r="AQ404" s="149"/>
    </row>
    <row r="405" spans="1:43" s="265" customFormat="1" ht="26.25" x14ac:dyDescent="0.4">
      <c r="A405" s="1255"/>
      <c r="B405" s="198" t="s">
        <v>543</v>
      </c>
      <c r="C405" s="576" t="s">
        <v>535</v>
      </c>
      <c r="D405" s="263"/>
      <c r="E405" s="264"/>
      <c r="F405" s="129"/>
      <c r="G405" s="129"/>
      <c r="H405" s="129"/>
      <c r="I405" s="129"/>
      <c r="J405" s="129"/>
      <c r="K405" s="129"/>
      <c r="L405" s="129"/>
      <c r="M405" s="129"/>
      <c r="N405" s="129"/>
      <c r="O405" s="129"/>
      <c r="P405" s="129"/>
      <c r="Q405" s="129"/>
      <c r="R405" s="129"/>
      <c r="S405" s="129"/>
      <c r="T405" s="129"/>
      <c r="U405" s="129"/>
      <c r="V405" s="129"/>
      <c r="W405" s="129"/>
      <c r="X405" s="129"/>
      <c r="Y405" s="129"/>
      <c r="Z405" s="502">
        <f t="shared" si="187"/>
        <v>0</v>
      </c>
      <c r="AA405" s="502">
        <f t="shared" si="188"/>
        <v>0</v>
      </c>
      <c r="AB405" s="129"/>
      <c r="AC405" s="129"/>
      <c r="AD405" s="129"/>
      <c r="AE405" s="129"/>
      <c r="AF405" s="129"/>
      <c r="AG405" s="129"/>
      <c r="AH405" s="129"/>
      <c r="AI405" s="129"/>
      <c r="AJ405" s="173">
        <f t="shared" si="185"/>
        <v>0</v>
      </c>
      <c r="AK405" s="30" t="str">
        <f>CONCATENATE(IF(D401&lt;D405," * TB Cases newly tested for HIV "&amp;$D$20&amp;" "&amp;$D$21&amp;" is more than Total TB Cases New and relapsed"&amp;CHAR(10),""),IF(E401&lt;E405," * TB Cases newly tested for HIV "&amp;$D$20&amp;" "&amp;$E$21&amp;" is more than Total TB Cases New and relapsed"&amp;CHAR(10),""),IF(F401&lt;F405," * TB Cases newly tested for HIV "&amp;$F$20&amp;" "&amp;$F$21&amp;" is more than Total TB Cases New and relapsed"&amp;CHAR(10),""),IF(G401&lt;G405," * TB Cases newly tested for HIV "&amp;$F$20&amp;" "&amp;$G$21&amp;" is more than Total TB Cases New and relapsed"&amp;CHAR(10),""),IF(H401&lt;H405," * TB Cases newly tested for HIV "&amp;$H$20&amp;" "&amp;$H$21&amp;" is more than Total TB Cases New and relapsed"&amp;CHAR(10),""),IF(I401&lt;I405," * TB Cases newly tested for HIV "&amp;$H$20&amp;" "&amp;$I$21&amp;" is more than Total TB Cases New and relapsed"&amp;CHAR(10),""),IF(J401&lt;J405," * TB Cases newly tested for HIV "&amp;$J$20&amp;" "&amp;$J$21&amp;" is more than Total TB Cases New and relapsed"&amp;CHAR(10),""),IF(K401&lt;K405," * TB Cases newly tested for HIV "&amp;$J$20&amp;" "&amp;$K$21&amp;" is more than Total TB Cases New and relapsed"&amp;CHAR(10),""),IF(L401&lt;L405," * TB Cases newly tested for HIV "&amp;$L$20&amp;" "&amp;$L$21&amp;" is more than Total TB Cases New and relapsed"&amp;CHAR(10),""),IF(M401&lt;M405," * TB Cases newly tested for HIV "&amp;$L$20&amp;" "&amp;$M$21&amp;" is more than Total TB Cases New and relapsed"&amp;CHAR(10),""),IF(N401&lt;N405," * TB Cases newly tested for HIV "&amp;$N$20&amp;" "&amp;$N$21&amp;" is more than Total TB Cases New and relapsed"&amp;CHAR(10),""),IF(O401&lt;O405," * TB Cases newly tested for HIV "&amp;$N$20&amp;" "&amp;$O$21&amp;" is more than Total TB Cases New and relapsed"&amp;CHAR(10),""),IF(P401&lt;P405," * TB Cases newly tested for HIV "&amp;$P$20&amp;" "&amp;$P$21&amp;" is more than Total TB Cases New and relapsed"&amp;CHAR(10),""),IF(Q401&lt;Q405," * TB Cases newly tested for HIV "&amp;$P$20&amp;" "&amp;$Q$21&amp;" is more than Total TB Cases New and relapsed"&amp;CHAR(10),""),IF(R401&lt;R405," * TB Cases newly tested for HIV "&amp;$R$20&amp;" "&amp;$R$21&amp;" is more than Total TB Cases New and relapsed"&amp;CHAR(10),""),IF(S401&lt;S405," * TB Cases newly tested for HIV "&amp;$R$20&amp;" "&amp;$S$21&amp;" is more than Total TB Cases New and relapsed"&amp;CHAR(10),""),IF(T401&lt;T405," * TB Cases newly tested for HIV "&amp;$T$20&amp;" "&amp;$T$21&amp;" is more than Total TB Cases New and relapsed"&amp;CHAR(10),""),IF(U401&lt;U405," * TB Cases newly tested for HIV "&amp;$T$20&amp;" "&amp;$U$21&amp;" is more than Total TB Cases New and relapsed"&amp;CHAR(10),""),IF(V401&lt;V405," * TB Cases newly tested for HIV "&amp;$V$20&amp;" "&amp;$V$21&amp;" is more than Total TB Cases New and relapsed"&amp;CHAR(10),""),IF(W401&lt;W405," * TB Cases newly tested for HIV "&amp;$V$20&amp;" "&amp;$W$21&amp;" is more than Total TB Cases New and relapsed"&amp;CHAR(10),""),IF(X401&lt;X405," * TB Cases newly tested for HIV "&amp;$X$20&amp;" "&amp;$X$21&amp;" is more than Total TB Cases New and relapsed"&amp;CHAR(10),""),IF(Y401&lt;Y405," * TB Cases newly tested for HIV "&amp;$X$20&amp;" "&amp;$Y$21&amp;" is more than Total TB Cases New and relapsed"&amp;CHAR(10),""),IF(Z401&lt;Z405," * TB Cases newly tested for HIV "&amp;$Z$20&amp;" "&amp;$Z$21&amp;" is more than Total TB Cases New and relapsed"&amp;CHAR(10),""),IF(AA401&lt;AA405," * TB Cases newly tested for HIV "&amp;$Z$20&amp;" "&amp;$AA$21&amp;" is more than Total TB Cases New and relapsed"&amp;CHAR(10),""))</f>
        <v/>
      </c>
      <c r="AL405" s="1019"/>
      <c r="AM405" s="60"/>
      <c r="AN405" s="1241"/>
      <c r="AO405" s="13">
        <v>320</v>
      </c>
      <c r="AP405" s="80"/>
      <c r="AQ405" s="149"/>
    </row>
    <row r="406" spans="1:43" s="14" customFormat="1" ht="26.25" x14ac:dyDescent="0.4">
      <c r="A406" s="1255"/>
      <c r="B406" s="262" t="s">
        <v>522</v>
      </c>
      <c r="C406" s="576" t="s">
        <v>536</v>
      </c>
      <c r="D406" s="161">
        <f>D402</f>
        <v>0</v>
      </c>
      <c r="E406" s="161">
        <f>E402</f>
        <v>0</v>
      </c>
      <c r="F406" s="161">
        <f>F405+F402</f>
        <v>0</v>
      </c>
      <c r="G406" s="161">
        <f t="shared" ref="G406:Y406" si="190">G405+G402</f>
        <v>0</v>
      </c>
      <c r="H406" s="161">
        <f t="shared" si="190"/>
        <v>0</v>
      </c>
      <c r="I406" s="161">
        <f t="shared" si="190"/>
        <v>0</v>
      </c>
      <c r="J406" s="161">
        <f t="shared" si="190"/>
        <v>0</v>
      </c>
      <c r="K406" s="161">
        <f t="shared" si="190"/>
        <v>0</v>
      </c>
      <c r="L406" s="161">
        <f t="shared" si="190"/>
        <v>0</v>
      </c>
      <c r="M406" s="161">
        <f t="shared" si="190"/>
        <v>0</v>
      </c>
      <c r="N406" s="161">
        <f t="shared" si="190"/>
        <v>0</v>
      </c>
      <c r="O406" s="161">
        <f t="shared" si="190"/>
        <v>0</v>
      </c>
      <c r="P406" s="161">
        <f t="shared" si="190"/>
        <v>0</v>
      </c>
      <c r="Q406" s="161">
        <f t="shared" si="190"/>
        <v>0</v>
      </c>
      <c r="R406" s="161">
        <f t="shared" si="190"/>
        <v>0</v>
      </c>
      <c r="S406" s="161">
        <f t="shared" si="190"/>
        <v>0</v>
      </c>
      <c r="T406" s="161">
        <f t="shared" si="190"/>
        <v>0</v>
      </c>
      <c r="U406" s="161">
        <f t="shared" si="190"/>
        <v>0</v>
      </c>
      <c r="V406" s="161">
        <f t="shared" si="190"/>
        <v>0</v>
      </c>
      <c r="W406" s="161">
        <f t="shared" si="190"/>
        <v>0</v>
      </c>
      <c r="X406" s="161">
        <f t="shared" si="190"/>
        <v>0</v>
      </c>
      <c r="Y406" s="161">
        <f t="shared" si="190"/>
        <v>0</v>
      </c>
      <c r="Z406" s="502">
        <f t="shared" si="187"/>
        <v>0</v>
      </c>
      <c r="AA406" s="502">
        <f t="shared" si="188"/>
        <v>0</v>
      </c>
      <c r="AB406" s="161">
        <f t="shared" ref="AB406:AI406" si="191">AB405+AB402</f>
        <v>0</v>
      </c>
      <c r="AC406" s="161">
        <f t="shared" si="191"/>
        <v>0</v>
      </c>
      <c r="AD406" s="161">
        <f t="shared" si="191"/>
        <v>0</v>
      </c>
      <c r="AE406" s="161">
        <f t="shared" si="191"/>
        <v>0</v>
      </c>
      <c r="AF406" s="161">
        <f t="shared" si="191"/>
        <v>0</v>
      </c>
      <c r="AG406" s="161">
        <f t="shared" si="191"/>
        <v>0</v>
      </c>
      <c r="AH406" s="161">
        <f t="shared" si="191"/>
        <v>0</v>
      </c>
      <c r="AI406" s="161">
        <f t="shared" si="191"/>
        <v>0</v>
      </c>
      <c r="AJ406" s="173">
        <f t="shared" si="185"/>
        <v>0</v>
      </c>
      <c r="AK406" s="30" t="str">
        <f>CONCATENATE(IF(D401&lt;D406," * TB cases with documented HIV status "&amp;$D$20&amp;" "&amp;$D$21&amp;" is more than Total TB Cases New and relapsed"&amp;CHAR(10),""),IF(E401&lt;E406," * TB cases with documented HIV status "&amp;$D$20&amp;" "&amp;$E$21&amp;" is more than Total TB Cases New and relapsed"&amp;CHAR(10),""),IF(F401&lt;F406," * TB cases with documented HIV status "&amp;$F$20&amp;" "&amp;$F$21&amp;" is more than Total TB Cases New and relapsed"&amp;CHAR(10),""),IF(G401&lt;G406," * TB cases with documented HIV status "&amp;$F$20&amp;" "&amp;$G$21&amp;" is more than Total TB Cases New and relapsed"&amp;CHAR(10),""),IF(H401&lt;H406," * TB cases with documented HIV status "&amp;$H$20&amp;" "&amp;$H$21&amp;" is more than Total TB Cases New and relapsed"&amp;CHAR(10),""),IF(I401&lt;I406," * TB cases with documented HIV status "&amp;$H$20&amp;" "&amp;$I$21&amp;" is more than Total TB Cases New and relapsed"&amp;CHAR(10),""),IF(J401&lt;J406," * TB cases with documented HIV status "&amp;$J$20&amp;" "&amp;$J$21&amp;" is more than Total TB Cases New and relapsed"&amp;CHAR(10),""),IF(K401&lt;K406," * TB cases with documented HIV status "&amp;$J$20&amp;" "&amp;$K$21&amp;" is more than Total TB Cases New and relapsed"&amp;CHAR(10),""),IF(L401&lt;L406," * TB cases with documented HIV status "&amp;$L$20&amp;" "&amp;$L$21&amp;" is more than Total TB Cases New and relapsed"&amp;CHAR(10),""),IF(M401&lt;M406," * TB cases with documented HIV status "&amp;$L$20&amp;" "&amp;$M$21&amp;" is more than Total TB Cases New and relapsed"&amp;CHAR(10),""),IF(N401&lt;N406," * TB cases with documented HIV status "&amp;$N$20&amp;" "&amp;$N$21&amp;" is more than Total TB Cases New and relapsed"&amp;CHAR(10),""),IF(O401&lt;O406," * TB cases with documented HIV status "&amp;$N$20&amp;" "&amp;$O$21&amp;" is more than Total TB Cases New and relapsed"&amp;CHAR(10),""),IF(P401&lt;P406," * TB cases with documented HIV status "&amp;$P$20&amp;" "&amp;$P$21&amp;" is more than Total TB Cases New and relapsed"&amp;CHAR(10),""),IF(Q401&lt;Q406," * TB cases with documented HIV status "&amp;$P$20&amp;" "&amp;$Q$21&amp;" is more than Total TB Cases New and relapsed"&amp;CHAR(10),""),IF(R401&lt;R406," * TB cases with documented HIV status "&amp;$R$20&amp;" "&amp;$R$21&amp;" is more than Total TB Cases New and relapsed"&amp;CHAR(10),""),IF(S401&lt;S406," * TB cases with documented HIV status "&amp;$R$20&amp;" "&amp;$S$21&amp;" is more than Total TB Cases New and relapsed"&amp;CHAR(10),""),IF(T401&lt;T406," * TB cases with documented HIV status "&amp;$T$20&amp;" "&amp;$T$21&amp;" is more than Total TB Cases New and relapsed"&amp;CHAR(10),""),IF(U401&lt;U406," * TB cases with documented HIV status "&amp;$T$20&amp;" "&amp;$U$21&amp;" is more than Total TB Cases New and relapsed"&amp;CHAR(10),""),IF(V401&lt;V406," * TB cases with documented HIV status "&amp;$V$20&amp;" "&amp;$V$21&amp;" is more than Total TB Cases New and relapsed"&amp;CHAR(10),""),IF(W401&lt;W406," * TB cases with documented HIV status "&amp;$V$20&amp;" "&amp;$W$21&amp;" is more than Total TB Cases New and relapsed"&amp;CHAR(10),""),IF(X401&lt;X406," * TB cases with documented HIV status "&amp;$X$20&amp;" "&amp;$X$21&amp;" is more than Total TB Cases New and relapsed"&amp;CHAR(10),""),IF(Y401&lt;Y406," * TB cases with documented HIV status "&amp;$X$20&amp;" "&amp;$Y$21&amp;" is more than Total TB Cases New and relapsed"&amp;CHAR(10),""),IF(Z401&lt;Z406," * TB cases with documented HIV status "&amp;$Z$20&amp;" "&amp;$Z$21&amp;" is more than Total TB Cases New and relapsed"&amp;CHAR(10),""),IF(AA401&lt;AA406," * TB cases with documented HIV status "&amp;$Z$20&amp;" "&amp;$AA$21&amp;" is more than Total TB Cases New and relapsed"&amp;CHAR(10),""))</f>
        <v/>
      </c>
      <c r="AL406" s="1019"/>
      <c r="AM406" s="31"/>
      <c r="AN406" s="1241"/>
      <c r="AO406" s="13">
        <v>321</v>
      </c>
      <c r="AP406" s="74"/>
      <c r="AQ406" s="149"/>
    </row>
    <row r="407" spans="1:43" ht="26.25" x14ac:dyDescent="0.4">
      <c r="A407" s="1255"/>
      <c r="B407" s="198" t="s">
        <v>545</v>
      </c>
      <c r="C407" s="576" t="s">
        <v>537</v>
      </c>
      <c r="D407" s="263"/>
      <c r="E407" s="264"/>
      <c r="F407" s="79"/>
      <c r="G407" s="79"/>
      <c r="H407" s="79"/>
      <c r="I407" s="79"/>
      <c r="J407" s="79"/>
      <c r="K407" s="79"/>
      <c r="L407" s="79"/>
      <c r="M407" s="79"/>
      <c r="N407" s="79"/>
      <c r="O407" s="79"/>
      <c r="P407" s="79"/>
      <c r="Q407" s="79"/>
      <c r="R407" s="79"/>
      <c r="S407" s="79"/>
      <c r="T407" s="79"/>
      <c r="U407" s="79"/>
      <c r="V407" s="79"/>
      <c r="W407" s="79"/>
      <c r="X407" s="79"/>
      <c r="Y407" s="79"/>
      <c r="Z407" s="502">
        <f t="shared" si="187"/>
        <v>0</v>
      </c>
      <c r="AA407" s="502">
        <f t="shared" si="188"/>
        <v>0</v>
      </c>
      <c r="AB407" s="79"/>
      <c r="AC407" s="79"/>
      <c r="AD407" s="79"/>
      <c r="AE407" s="79"/>
      <c r="AF407" s="79"/>
      <c r="AG407" s="79"/>
      <c r="AH407" s="79"/>
      <c r="AI407" s="79"/>
      <c r="AJ407" s="173">
        <f t="shared" si="185"/>
        <v>0</v>
      </c>
      <c r="AK407" s="30" t="str">
        <f>CONCATENATE(IF(D405&lt;D407," * Newly Tested Positives "&amp;$D$20&amp;" "&amp;$D$21&amp;" is more than TB Cases newly tested for HIV"&amp;CHAR(10),""),IF(E405&lt;E407," * Newly Tested Positives "&amp;$D$20&amp;" "&amp;$E$21&amp;" is more than TB Cases newly tested for HIV"&amp;CHAR(10),""),IF(F405&lt;F407," * Newly Tested Positives "&amp;$F$20&amp;" "&amp;$F$21&amp;" is more than TB Cases newly tested for HIV"&amp;CHAR(10),""),IF(G405&lt;G407," * Newly Tested Positives "&amp;$F$20&amp;" "&amp;$G$21&amp;" is more than TB Cases newly tested for HIV"&amp;CHAR(10),""),IF(H405&lt;H407," * Newly Tested Positives "&amp;$H$20&amp;" "&amp;$H$21&amp;" is more than TB Cases newly tested for HIV"&amp;CHAR(10),""),IF(I405&lt;I407," * Newly Tested Positives "&amp;$H$20&amp;" "&amp;$I$21&amp;" is more than TB Cases newly tested for HIV"&amp;CHAR(10),""),IF(J405&lt;J407," * Newly Tested Positives "&amp;$J$20&amp;" "&amp;$J$21&amp;" is more than TB Cases newly tested for HIV"&amp;CHAR(10),""),IF(K405&lt;K407," * Newly Tested Positives "&amp;$J$20&amp;" "&amp;$K$21&amp;" is more than TB Cases newly tested for HIV"&amp;CHAR(10),""),IF(L405&lt;L407," * Newly Tested Positives "&amp;$L$20&amp;" "&amp;$L$21&amp;" is more than TB Cases newly tested for HIV"&amp;CHAR(10),""),IF(M405&lt;M407," * Newly Tested Positives "&amp;$L$20&amp;" "&amp;$M$21&amp;" is more than TB Cases newly tested for HIV"&amp;CHAR(10),""),IF(N405&lt;N407," * Newly Tested Positives "&amp;$N$20&amp;" "&amp;$N$21&amp;" is more than TB Cases newly tested for HIV"&amp;CHAR(10),""),IF(O405&lt;O407," * Newly Tested Positives "&amp;$N$20&amp;" "&amp;$O$21&amp;" is more than TB Cases newly tested for HIV"&amp;CHAR(10),""),IF(P405&lt;P407," * Newly Tested Positives "&amp;$P$20&amp;" "&amp;$P$21&amp;" is more than TB Cases newly tested for HIV"&amp;CHAR(10),""),IF(Q405&lt;Q407," * Newly Tested Positives "&amp;$P$20&amp;" "&amp;$Q$21&amp;" is more than TB Cases newly tested for HIV"&amp;CHAR(10),""),IF(R405&lt;R407," * Newly Tested Positives "&amp;$R$20&amp;" "&amp;$R$21&amp;" is more than TB Cases newly tested for HIV"&amp;CHAR(10),""),IF(S405&lt;S407," * Newly Tested Positives "&amp;$R$20&amp;" "&amp;$S$21&amp;" is more than TB Cases newly tested for HIV"&amp;CHAR(10),""),IF(T405&lt;T407," * Newly Tested Positives "&amp;$T$20&amp;" "&amp;$T$21&amp;" is more than TB Cases newly tested for HIV"&amp;CHAR(10),""),IF(U405&lt;U407," * Newly Tested Positives "&amp;$T$20&amp;" "&amp;$U$21&amp;" is more than TB Cases newly tested for HIV"&amp;CHAR(10),""),IF(V405&lt;V407," * Newly Tested Positives "&amp;$V$20&amp;" "&amp;$V$21&amp;" is more than TB Cases newly tested for HIV"&amp;CHAR(10),""),IF(W405&lt;W407," * Newly Tested Positives "&amp;$V$20&amp;" "&amp;$W$21&amp;" is more than TB Cases newly tested for HIV"&amp;CHAR(10),""),IF(X405&lt;X407," * Newly Tested Positives "&amp;$X$20&amp;" "&amp;$X$21&amp;" is more than TB Cases newly tested for HIV"&amp;CHAR(10),""),IF(Y405&lt;Y407," * Newly Tested Positives "&amp;$X$20&amp;" "&amp;$Y$21&amp;" is more than TB Cases newly tested for HIV"&amp;CHAR(10),""),IF(Z405&lt;Z407," * Newly Tested Positives "&amp;$Z$20&amp;" "&amp;$Z$21&amp;" is more than TB Cases newly tested for HIV"&amp;CHAR(10),""),IF(AA405&lt;AA407," * Newly Tested Positives "&amp;$Z$20&amp;" "&amp;$AA$21&amp;" is more than TB Cases newly tested for HIV"&amp;CHAR(10),""))</f>
        <v/>
      </c>
      <c r="AL407" s="1019"/>
      <c r="AM407" s="31"/>
      <c r="AN407" s="1241"/>
      <c r="AO407" s="13">
        <v>322</v>
      </c>
      <c r="AP407" s="74"/>
      <c r="AQ407" s="75"/>
    </row>
    <row r="408" spans="1:43" ht="27" thickBot="1" x14ac:dyDescent="0.45">
      <c r="A408" s="1255"/>
      <c r="B408" s="224" t="s">
        <v>538</v>
      </c>
      <c r="C408" s="596" t="s">
        <v>539</v>
      </c>
      <c r="D408" s="266"/>
      <c r="E408" s="115"/>
      <c r="F408" s="267">
        <f t="shared" ref="F408:Y408" si="192">F407+F402</f>
        <v>0</v>
      </c>
      <c r="G408" s="267">
        <f t="shared" si="192"/>
        <v>0</v>
      </c>
      <c r="H408" s="267">
        <f t="shared" si="192"/>
        <v>0</v>
      </c>
      <c r="I408" s="267">
        <f t="shared" si="192"/>
        <v>0</v>
      </c>
      <c r="J408" s="267">
        <f t="shared" si="192"/>
        <v>0</v>
      </c>
      <c r="K408" s="267">
        <f t="shared" si="192"/>
        <v>0</v>
      </c>
      <c r="L408" s="267">
        <f t="shared" si="192"/>
        <v>0</v>
      </c>
      <c r="M408" s="267">
        <f t="shared" si="192"/>
        <v>0</v>
      </c>
      <c r="N408" s="267">
        <f t="shared" si="192"/>
        <v>0</v>
      </c>
      <c r="O408" s="267">
        <f t="shared" si="192"/>
        <v>0</v>
      </c>
      <c r="P408" s="267">
        <f t="shared" si="192"/>
        <v>0</v>
      </c>
      <c r="Q408" s="267">
        <f t="shared" si="192"/>
        <v>0</v>
      </c>
      <c r="R408" s="267">
        <f t="shared" si="192"/>
        <v>0</v>
      </c>
      <c r="S408" s="267">
        <f t="shared" si="192"/>
        <v>0</v>
      </c>
      <c r="T408" s="267">
        <f t="shared" si="192"/>
        <v>0</v>
      </c>
      <c r="U408" s="267">
        <f t="shared" si="192"/>
        <v>0</v>
      </c>
      <c r="V408" s="267">
        <f t="shared" si="192"/>
        <v>0</v>
      </c>
      <c r="W408" s="267">
        <f t="shared" si="192"/>
        <v>0</v>
      </c>
      <c r="X408" s="267">
        <f t="shared" si="192"/>
        <v>0</v>
      </c>
      <c r="Y408" s="267">
        <f t="shared" si="192"/>
        <v>0</v>
      </c>
      <c r="Z408" s="502">
        <f t="shared" si="187"/>
        <v>0</v>
      </c>
      <c r="AA408" s="502">
        <f t="shared" si="188"/>
        <v>0</v>
      </c>
      <c r="AB408" s="267">
        <f t="shared" ref="AB408:AI408" si="193">AB407+AB402</f>
        <v>0</v>
      </c>
      <c r="AC408" s="267">
        <f t="shared" si="193"/>
        <v>0</v>
      </c>
      <c r="AD408" s="267">
        <f t="shared" si="193"/>
        <v>0</v>
      </c>
      <c r="AE408" s="267">
        <f t="shared" si="193"/>
        <v>0</v>
      </c>
      <c r="AF408" s="267">
        <f t="shared" si="193"/>
        <v>0</v>
      </c>
      <c r="AG408" s="267">
        <f t="shared" si="193"/>
        <v>0</v>
      </c>
      <c r="AH408" s="267">
        <f t="shared" si="193"/>
        <v>0</v>
      </c>
      <c r="AI408" s="267">
        <f t="shared" si="193"/>
        <v>0</v>
      </c>
      <c r="AJ408" s="391">
        <f t="shared" si="185"/>
        <v>0</v>
      </c>
      <c r="AK408" s="473"/>
      <c r="AL408" s="1019"/>
      <c r="AM408" s="31"/>
      <c r="AN408" s="1241"/>
      <c r="AO408" s="13">
        <v>323</v>
      </c>
      <c r="AP408" s="74"/>
      <c r="AQ408" s="75"/>
    </row>
    <row r="409" spans="1:43" ht="26.25" x14ac:dyDescent="0.4">
      <c r="A409" s="1255"/>
      <c r="B409" s="268" t="s">
        <v>542</v>
      </c>
      <c r="C409" s="575" t="s">
        <v>540</v>
      </c>
      <c r="D409" s="263"/>
      <c r="E409" s="264"/>
      <c r="F409" s="94"/>
      <c r="G409" s="94"/>
      <c r="H409" s="94"/>
      <c r="I409" s="94"/>
      <c r="J409" s="94"/>
      <c r="K409" s="94"/>
      <c r="L409" s="94"/>
      <c r="M409" s="94"/>
      <c r="N409" s="94"/>
      <c r="O409" s="94"/>
      <c r="P409" s="94"/>
      <c r="Q409" s="94"/>
      <c r="R409" s="94"/>
      <c r="S409" s="94"/>
      <c r="T409" s="94"/>
      <c r="U409" s="94"/>
      <c r="V409" s="94"/>
      <c r="W409" s="94"/>
      <c r="X409" s="94"/>
      <c r="Y409" s="94"/>
      <c r="Z409" s="502">
        <f t="shared" si="187"/>
        <v>0</v>
      </c>
      <c r="AA409" s="502">
        <f t="shared" si="188"/>
        <v>0</v>
      </c>
      <c r="AB409" s="94"/>
      <c r="AC409" s="94"/>
      <c r="AD409" s="94"/>
      <c r="AE409" s="94"/>
      <c r="AF409" s="94"/>
      <c r="AG409" s="94"/>
      <c r="AH409" s="94"/>
      <c r="AI409" s="94"/>
      <c r="AJ409" s="188">
        <f t="shared" si="185"/>
        <v>0</v>
      </c>
      <c r="AK409" s="30"/>
      <c r="AL409" s="1019"/>
      <c r="AM409" s="30" t="str">
        <f>CONCATENATE(IF(D407&gt;D409," * Newly Tested Positives "&amp;$D$20&amp;" "&amp;$D$21&amp;" is more than Total Positive Clients newly started on ART"&amp;CHAR(10),""),IF(E407&gt;E409," * Newly Tested Positives "&amp;$D$20&amp;" "&amp;$E$21&amp;" is more than Total Positive Clients newly started on ART"&amp;CHAR(10),""),IF(F407&gt;F409," * Newly Tested Positives "&amp;$F$20&amp;" "&amp;$F$21&amp;" is more than Total Positive Clients newly started on ART"&amp;CHAR(10),""),IF(G407&gt;G409," * Newly Tested Positives "&amp;$F$20&amp;" "&amp;$G$21&amp;" is more than Total Positive Clients newly started on ART"&amp;CHAR(10),""),IF(H407&gt;H409," * Newly Tested Positives "&amp;$H$20&amp;" "&amp;$H$21&amp;" is more than Total Positive Clients newly started on ART"&amp;CHAR(10),""),IF(I407&gt;I409," * Newly Tested Positives "&amp;$H$20&amp;" "&amp;$I$21&amp;" is more than Total Positive Clients newly started on ART"&amp;CHAR(10),""),IF(J407&gt;J409," * Newly Tested Positives "&amp;$J$20&amp;" "&amp;$J$21&amp;" is more than Total Positive Clients newly started on ART"&amp;CHAR(10),""),IF(K407&gt;K409," * Newly Tested Positives "&amp;$J$20&amp;" "&amp;$K$21&amp;" is more than Total Positive Clients newly started on ART"&amp;CHAR(10),""),IF(L407&gt;L409," * Newly Tested Positives "&amp;$L$20&amp;" "&amp;$L$21&amp;" is more than Total Positive Clients newly started on ART"&amp;CHAR(10),""),IF(M407&gt;M409," * Newly Tested Positives "&amp;$L$20&amp;" "&amp;$M$21&amp;" is more than Total Positive Clients newly started on ART"&amp;CHAR(10),""),IF(N407&gt;N409," * Newly Tested Positives "&amp;$N$20&amp;" "&amp;$N$21&amp;" is more than Total Positive Clients newly started on ART"&amp;CHAR(10),""),IF(O407&gt;O409," * Newly Tested Positives "&amp;$N$20&amp;" "&amp;$O$21&amp;" is more than Total Positive Clients newly started on ART"&amp;CHAR(10),""),IF(P407&gt;P409," * Newly Tested Positives "&amp;$P$20&amp;" "&amp;$P$21&amp;" is more than Total Positive Clients newly started on ART"&amp;CHAR(10),""),IF(Q407&gt;Q409," * Newly Tested Positives "&amp;$P$20&amp;" "&amp;$Q$21&amp;" is more than Total Positive Clients newly started on ART"&amp;CHAR(10),""),IF(R407&gt;R409," * Newly Tested Positives "&amp;$R$20&amp;" "&amp;$R$21&amp;" is more than Total Positive Clients newly started on ART"&amp;CHAR(10),""),IF(S407&gt;S409," * Newly Tested Positives "&amp;$R$20&amp;" "&amp;$S$21&amp;" is more than Total Positive Clients newly started on ART"&amp;CHAR(10),""),IF(T407&gt;T409," * Newly Tested Positives "&amp;$T$20&amp;" "&amp;$T$21&amp;" is more than Total Positive Clients newly started on ART"&amp;CHAR(10),""),IF(U407&gt;U409," * Newly Tested Positives "&amp;$T$20&amp;" "&amp;$U$21&amp;" is more than Total Positive Clients newly started on ART"&amp;CHAR(10),""),IF(V407&gt;V409," * Newly Tested Positives "&amp;$V$20&amp;" "&amp;$V$21&amp;" is more than Total Positive Clients newly started on ART"&amp;CHAR(10),""),IF(W407&gt;W409," * Newly Tested Positives "&amp;$V$20&amp;" "&amp;$W$21&amp;" is more than Total Positive Clients newly started on ART"&amp;CHAR(10),""),IF(X407&gt;X409," * Newly Tested Positives "&amp;$X$20&amp;" "&amp;$X$21&amp;" is more than Total Positive Clients newly started on ART"&amp;CHAR(10),""),IF(Y407&gt;Y409," * Newly Tested Positives "&amp;$X$20&amp;" "&amp;$Y$21&amp;" is more than Total Positive Clients newly started on ART"&amp;CHAR(10),""),IF(Z407&gt;Z409," * Newly Tested Positives "&amp;$Z$20&amp;" "&amp;$Z$21&amp;" is more than Total Positive Clients newly started on ART"&amp;CHAR(10),""),IF(AA407&gt;AA409," * Newly Tested Positives "&amp;$Z$20&amp;" "&amp;$AA$21&amp;" is more than Total Positive Clients newly started on ART"&amp;CHAR(10),""))</f>
        <v/>
      </c>
      <c r="AN409" s="1241"/>
      <c r="AO409" s="13">
        <v>324</v>
      </c>
      <c r="AP409" s="74"/>
      <c r="AQ409" s="75"/>
    </row>
    <row r="410" spans="1:43" ht="26.25" x14ac:dyDescent="0.4">
      <c r="A410" s="1255"/>
      <c r="B410" s="271" t="s">
        <v>544</v>
      </c>
      <c r="C410" s="576" t="s">
        <v>541</v>
      </c>
      <c r="D410" s="79"/>
      <c r="E410" s="79"/>
      <c r="F410" s="79"/>
      <c r="G410" s="79"/>
      <c r="H410" s="79"/>
      <c r="I410" s="79"/>
      <c r="J410" s="79"/>
      <c r="K410" s="79"/>
      <c r="L410" s="79"/>
      <c r="M410" s="79"/>
      <c r="N410" s="79"/>
      <c r="O410" s="79"/>
      <c r="P410" s="79"/>
      <c r="Q410" s="79"/>
      <c r="R410" s="79"/>
      <c r="S410" s="79"/>
      <c r="T410" s="79"/>
      <c r="U410" s="79"/>
      <c r="V410" s="79"/>
      <c r="W410" s="79"/>
      <c r="X410" s="79"/>
      <c r="Y410" s="79"/>
      <c r="Z410" s="502">
        <f t="shared" ref="Z410" si="194">SUM(AB410,AD410,AF410,AH410)</f>
        <v>0</v>
      </c>
      <c r="AA410" s="502">
        <f t="shared" ref="AA410" si="195">SUM(AC410,AE410,AG410,AI410)</f>
        <v>0</v>
      </c>
      <c r="AB410" s="79"/>
      <c r="AC410" s="79"/>
      <c r="AD410" s="79"/>
      <c r="AE410" s="79"/>
      <c r="AF410" s="79"/>
      <c r="AG410" s="79"/>
      <c r="AH410" s="79"/>
      <c r="AI410" s="79"/>
      <c r="AJ410" s="173">
        <f t="shared" si="185"/>
        <v>0</v>
      </c>
      <c r="AK410" s="30" t="str">
        <f>CONCATENATE(IF(D402&lt;&gt;D410," * TB Cases Already on ART at entry in TB clinic "&amp;$D$20&amp;" "&amp;$D$21&amp;" is Not equal to  TB cases with known HIV +ve status"&amp;CHAR(10),""),IF(E402&lt;&gt;E410," * TB Cases Already on ART at entry in TB clinic "&amp;$D$20&amp;" "&amp;$E$21&amp;" is Not equal to  TB cases with known HIV +ve status"&amp;CHAR(10),""),IF(F402&lt;&gt;F410," * TB Cases Already on ART at entry in TB clinic "&amp;$F$20&amp;" "&amp;$F$21&amp;" is Not equal to  TB cases with known HIV +ve status"&amp;CHAR(10),""),IF(G402&lt;&gt;G410," * TB Cases Already on ART at entry in TB clinic "&amp;$F$20&amp;" "&amp;$G$21&amp;" is Not equal to  TB cases with known HIV +ve status"&amp;CHAR(10),""),IF(H402&lt;&gt;H410," * TB Cases Already on ART at entry in TB clinic "&amp;$H$20&amp;" "&amp;$H$21&amp;" is Not equal to  TB cases with known HIV +ve status"&amp;CHAR(10),""),IF(I402&lt;&gt;I410," * TB Cases Already on ART at entry in TB clinic "&amp;$H$20&amp;" "&amp;$I$21&amp;" is Not equal to  TB cases with known HIV +ve status"&amp;CHAR(10),""),IF(J402&lt;&gt;J410," * TB Cases Already on ART at entry in TB clinic "&amp;$J$20&amp;" "&amp;$J$21&amp;" is Not equal to  TB cases with known HIV +ve status"&amp;CHAR(10),""),IF(K402&lt;&gt;K410," * TB Cases Already on ART at entry in TB clinic "&amp;$J$20&amp;" "&amp;$K$21&amp;" is Not equal to  TB cases with known HIV +ve status"&amp;CHAR(10),""),IF(L402&lt;&gt;L410," * TB Cases Already on ART at entry in TB clinic "&amp;$L$20&amp;" "&amp;$L$21&amp;" is Not equal to  TB cases with known HIV +ve status"&amp;CHAR(10),""),IF(M402&lt;&gt;M410," * TB Cases Already on ART at entry in TB clinic "&amp;$L$20&amp;" "&amp;$M$21&amp;" is Not equal to  TB cases with known HIV +ve status"&amp;CHAR(10),""),IF(N402&lt;&gt;N410," * TB Cases Already on ART at entry in TB clinic "&amp;$N$20&amp;" "&amp;$N$21&amp;" is Not equal to  TB cases with known HIV +ve status"&amp;CHAR(10),""),IF(O402&lt;&gt;O410," * TB Cases Already on ART at entry in TB clinic "&amp;$N$20&amp;" "&amp;$O$21&amp;" is Not equal to  TB cases with known HIV +ve status"&amp;CHAR(10),""),IF(P402&lt;&gt;P410," * TB Cases Already on ART at entry in TB clinic "&amp;$P$20&amp;" "&amp;$P$21&amp;" is Not equal to  TB cases with known HIV +ve status"&amp;CHAR(10),""),IF(Q402&lt;&gt;Q410," * TB Cases Already on ART at entry in TB clinic "&amp;$P$20&amp;" "&amp;$Q$21&amp;" is Not equal to  TB cases with known HIV +ve status"&amp;CHAR(10),""),IF(R402&lt;&gt;R410," * TB Cases Already on ART at entry in TB clinic "&amp;$R$20&amp;" "&amp;$R$21&amp;" is Not equal to  TB cases with known HIV +ve status"&amp;CHAR(10),""),IF(S402&lt;&gt;S410," * TB Cases Already on ART at entry in TB clinic "&amp;$R$20&amp;" "&amp;$S$21&amp;" is Not equal to  TB cases with known HIV +ve status"&amp;CHAR(10),""),IF(T402&lt;&gt;T410," * TB Cases Already on ART at entry in TB clinic "&amp;$T$20&amp;" "&amp;$T$21&amp;" is Not equal to  TB cases with known HIV +ve status"&amp;CHAR(10),""),IF(U402&lt;&gt;U410," * TB Cases Already on ART at entry in TB clinic "&amp;$T$20&amp;" "&amp;$U$21&amp;" is Not equal to  TB cases with known HIV +ve status"&amp;CHAR(10),""),IF(V402&lt;&gt;V410," * TB Cases Already on ART at entry in TB clinic "&amp;$V$20&amp;" "&amp;$V$21&amp;" is Not equal to  TB cases with known HIV +ve status"&amp;CHAR(10),""),IF(W402&lt;&gt;W410," * TB Cases Already on ART at entry in TB clinic "&amp;$V$20&amp;" "&amp;$W$21&amp;" is Not equal to  TB cases with known HIV +ve status"&amp;CHAR(10),""),IF(X402&lt;&gt;X410," * TB Cases Already on ART at entry in TB clinic "&amp;$X$20&amp;" "&amp;$X$21&amp;" is Not equal to  TB cases with known HIV +ve status"&amp;CHAR(10),""),IF(Y402&lt;&gt;Y410," * TB Cases Already on ART at entry in TB clinic "&amp;$X$20&amp;" "&amp;$Y$21&amp;" is Not equal to  TB cases with known HIV +ve status"&amp;CHAR(10),""),IF(Z402&lt;&gt;Z410," * TB Cases Already on ART at entry in TB clinic "&amp;$Z$20&amp;" "&amp;$Z$21&amp;" is Not equal to  TB cases with known HIV +ve status"&amp;CHAR(10),""),IF(AA402&lt;&gt;AA410," * TB Cases Already on ART at entry in TB clinic "&amp;$Z$20&amp;" "&amp;$AA$21&amp;" is Not equal to  TB cases with known HIV +ve status"&amp;CHAR(10),""))</f>
        <v/>
      </c>
      <c r="AL410" s="1019"/>
      <c r="AM410" s="31"/>
      <c r="AN410" s="1241"/>
      <c r="AO410" s="13">
        <v>325</v>
      </c>
      <c r="AP410" s="74"/>
      <c r="AQ410" s="75"/>
    </row>
    <row r="411" spans="1:43" s="83" customFormat="1" ht="27" thickBot="1" x14ac:dyDescent="0.3">
      <c r="A411" s="1256"/>
      <c r="B411" s="272" t="s">
        <v>550</v>
      </c>
      <c r="C411" s="577" t="s">
        <v>549</v>
      </c>
      <c r="D411" s="260">
        <f t="shared" ref="D411:Y411" si="196">D410+D409</f>
        <v>0</v>
      </c>
      <c r="E411" s="260">
        <f t="shared" si="196"/>
        <v>0</v>
      </c>
      <c r="F411" s="260">
        <f t="shared" si="196"/>
        <v>0</v>
      </c>
      <c r="G411" s="260">
        <f t="shared" si="196"/>
        <v>0</v>
      </c>
      <c r="H411" s="260">
        <f t="shared" si="196"/>
        <v>0</v>
      </c>
      <c r="I411" s="260">
        <f t="shared" si="196"/>
        <v>0</v>
      </c>
      <c r="J411" s="260">
        <f t="shared" si="196"/>
        <v>0</v>
      </c>
      <c r="K411" s="260">
        <f t="shared" si="196"/>
        <v>0</v>
      </c>
      <c r="L411" s="260">
        <f t="shared" si="196"/>
        <v>0</v>
      </c>
      <c r="M411" s="260">
        <f t="shared" si="196"/>
        <v>0</v>
      </c>
      <c r="N411" s="260">
        <f t="shared" si="196"/>
        <v>0</v>
      </c>
      <c r="O411" s="260">
        <f t="shared" si="196"/>
        <v>0</v>
      </c>
      <c r="P411" s="260">
        <f t="shared" si="196"/>
        <v>0</v>
      </c>
      <c r="Q411" s="260">
        <f t="shared" si="196"/>
        <v>0</v>
      </c>
      <c r="R411" s="260">
        <f t="shared" si="196"/>
        <v>0</v>
      </c>
      <c r="S411" s="260">
        <f t="shared" si="196"/>
        <v>0</v>
      </c>
      <c r="T411" s="260">
        <f t="shared" si="196"/>
        <v>0</v>
      </c>
      <c r="U411" s="260">
        <f t="shared" si="196"/>
        <v>0</v>
      </c>
      <c r="V411" s="260">
        <f t="shared" si="196"/>
        <v>0</v>
      </c>
      <c r="W411" s="260">
        <f t="shared" si="196"/>
        <v>0</v>
      </c>
      <c r="X411" s="260">
        <f t="shared" si="196"/>
        <v>0</v>
      </c>
      <c r="Y411" s="260">
        <f t="shared" si="196"/>
        <v>0</v>
      </c>
      <c r="Z411" s="502">
        <f t="shared" ref="Z411" si="197">SUM(AB411,AD411,AF411,AH411)</f>
        <v>0</v>
      </c>
      <c r="AA411" s="502">
        <f t="shared" ref="AA411" si="198">SUM(AC411,AE411,AG411,AI411)</f>
        <v>0</v>
      </c>
      <c r="AB411" s="260">
        <f t="shared" ref="AB411:AI411" si="199">AB410+AB409</f>
        <v>0</v>
      </c>
      <c r="AC411" s="260">
        <f t="shared" si="199"/>
        <v>0</v>
      </c>
      <c r="AD411" s="260">
        <f t="shared" si="199"/>
        <v>0</v>
      </c>
      <c r="AE411" s="260">
        <f t="shared" si="199"/>
        <v>0</v>
      </c>
      <c r="AF411" s="260">
        <f t="shared" si="199"/>
        <v>0</v>
      </c>
      <c r="AG411" s="260">
        <f t="shared" si="199"/>
        <v>0</v>
      </c>
      <c r="AH411" s="260">
        <f t="shared" si="199"/>
        <v>0</v>
      </c>
      <c r="AI411" s="260">
        <f t="shared" si="199"/>
        <v>0</v>
      </c>
      <c r="AJ411" s="192">
        <f t="shared" si="185"/>
        <v>0</v>
      </c>
      <c r="AK411" s="273" t="str">
        <f>CONCATENATE(IF(D406&lt;D411," * HIV coinfected clients started on ART "&amp;$D$20&amp;" "&amp;$D$21&amp;" is more than TB cases with documented HIV status"&amp;CHAR(10),""),IF(E406&lt;E411," * HIV coinfected clients started on ART "&amp;$D$20&amp;" "&amp;$E$21&amp;" is more than TB cases with documented HIV status"&amp;CHAR(10),""),IF(F406&lt;F411," * HIV coinfected clients started on ART "&amp;$F$20&amp;" "&amp;$F$21&amp;" is more than TB cases with documented HIV status"&amp;CHAR(10),""),IF(G406&lt;G411," * HIV coinfected clients started on ART "&amp;$F$20&amp;" "&amp;$G$21&amp;" is more than TB cases with documented HIV status"&amp;CHAR(10),""),IF(H406&lt;H411," * HIV coinfected clients started on ART "&amp;$H$20&amp;" "&amp;$H$21&amp;" is more than TB cases with documented HIV status"&amp;CHAR(10),""),IF(I406&lt;I411," * HIV coinfected clients started on ART "&amp;$H$20&amp;" "&amp;$I$21&amp;" is more than TB cases with documented HIV status"&amp;CHAR(10),""),IF(J406&lt;J411," * HIV coinfected clients started on ART "&amp;$J$20&amp;" "&amp;$J$21&amp;" is more than TB cases with documented HIV status"&amp;CHAR(10),""),IF(K406&lt;K411," * HIV coinfected clients started on ART "&amp;$J$20&amp;" "&amp;$K$21&amp;" is more than TB cases with documented HIV status"&amp;CHAR(10),""),IF(L406&lt;L411," * HIV coinfected clients started on ART "&amp;$L$20&amp;" "&amp;$L$21&amp;" is more than TB cases with documented HIV status"&amp;CHAR(10),""),IF(M406&lt;M411," * HIV coinfected clients started on ART "&amp;$L$20&amp;" "&amp;$M$21&amp;" is more than TB cases with documented HIV status"&amp;CHAR(10),""),IF(N406&lt;N411," * HIV coinfected clients started on ART "&amp;$N$20&amp;" "&amp;$N$21&amp;" is more than TB cases with documented HIV status"&amp;CHAR(10),""),IF(O406&lt;O411," * HIV coinfected clients started on ART "&amp;$N$20&amp;" "&amp;$O$21&amp;" is more than TB cases with documented HIV status"&amp;CHAR(10),""),IF(P406&lt;P411," * HIV coinfected clients started on ART "&amp;$P$20&amp;" "&amp;$P$21&amp;" is more than TB cases with documented HIV status"&amp;CHAR(10),""),IF(Q406&lt;Q411," * HIV coinfected clients started on ART "&amp;$P$20&amp;" "&amp;$Q$21&amp;" is more than TB cases with documented HIV status"&amp;CHAR(10),""),IF(R406&lt;R411," * HIV coinfected clients started on ART "&amp;$R$20&amp;" "&amp;$R$21&amp;" is more than TB cases with documented HIV status"&amp;CHAR(10),""),IF(S406&lt;S411," * HIV coinfected clients started on ART "&amp;$R$20&amp;" "&amp;$S$21&amp;" is more than TB cases with documented HIV status"&amp;CHAR(10),""),IF(T406&lt;T411," * HIV coinfected clients started on ART "&amp;$T$20&amp;" "&amp;$T$21&amp;" is more than TB cases with documented HIV status"&amp;CHAR(10),""),IF(U406&lt;U411," * HIV coinfected clients started on ART "&amp;$T$20&amp;" "&amp;$U$21&amp;" is more than TB cases with documented HIV status"&amp;CHAR(10),""),IF(V406&lt;V411," * HIV coinfected clients started on ART "&amp;$V$20&amp;" "&amp;$V$21&amp;" is more than TB cases with documented HIV status"&amp;CHAR(10),""),IF(W406&lt;W411," * HIV coinfected clients started on ART "&amp;$V$20&amp;" "&amp;$W$21&amp;" is more than TB cases with documented HIV status"&amp;CHAR(10),""),IF(X406&lt;X411," * HIV coinfected clients started on ART "&amp;$X$20&amp;" "&amp;$X$21&amp;" is more than TB cases with documented HIV status"&amp;CHAR(10),""),IF(Y406&lt;Y411," * HIV coinfected clients started on ART "&amp;$X$20&amp;" "&amp;$Y$21&amp;" is more than TB cases with documented HIV status"&amp;CHAR(10),""),IF(Z406&lt;Z411," * HIV coinfected clients started on ART "&amp;$Z$20&amp;" "&amp;$Z$21&amp;" is more than TB cases with documented HIV status"&amp;CHAR(10),""),IF(AA406&lt;AA411," * HIV coinfected clients started on ART "&amp;$Z$20&amp;" "&amp;$AA$21&amp;" is more than TB cases with documented HIV status"&amp;CHAR(10),""))</f>
        <v/>
      </c>
      <c r="AL411" s="1020"/>
      <c r="AM411" s="274"/>
      <c r="AN411" s="1242"/>
      <c r="AO411" s="275">
        <v>326</v>
      </c>
      <c r="AP411" s="81"/>
      <c r="AQ411" s="82"/>
    </row>
    <row r="412" spans="1:43" ht="27" hidden="1" thickBot="1" x14ac:dyDescent="0.45">
      <c r="A412" s="1014" t="s">
        <v>965</v>
      </c>
      <c r="B412" s="1014"/>
      <c r="C412" s="1014"/>
      <c r="D412" s="1014"/>
      <c r="E412" s="1014"/>
      <c r="F412" s="1014"/>
      <c r="G412" s="1014"/>
      <c r="H412" s="1014"/>
      <c r="I412" s="1014"/>
      <c r="J412" s="1014"/>
      <c r="K412" s="1014"/>
      <c r="L412" s="1014"/>
      <c r="M412" s="1014"/>
      <c r="N412" s="1014"/>
      <c r="O412" s="1014"/>
      <c r="P412" s="1014"/>
      <c r="Q412" s="1014"/>
      <c r="R412" s="1014"/>
      <c r="S412" s="1014"/>
      <c r="T412" s="1014"/>
      <c r="U412" s="1014"/>
      <c r="V412" s="1014"/>
      <c r="W412" s="1014"/>
      <c r="X412" s="1014"/>
      <c r="Y412" s="1014"/>
      <c r="Z412" s="1014"/>
      <c r="AA412" s="1014"/>
      <c r="AB412" s="1014"/>
      <c r="AC412" s="1014"/>
      <c r="AD412" s="1014"/>
      <c r="AE412" s="1014"/>
      <c r="AF412" s="1014"/>
      <c r="AG412" s="1014"/>
      <c r="AH412" s="1014"/>
      <c r="AI412" s="1014"/>
      <c r="AJ412" s="1014"/>
      <c r="AK412" s="1236"/>
      <c r="AL412" s="1014"/>
      <c r="AM412" s="1237"/>
      <c r="AN412" s="1238"/>
      <c r="AO412" s="13">
        <v>327</v>
      </c>
      <c r="AP412" s="74"/>
      <c r="AQ412" s="75"/>
    </row>
    <row r="413" spans="1:43" ht="27" hidden="1" thickBot="1" x14ac:dyDescent="0.45">
      <c r="A413" s="658" t="s">
        <v>967</v>
      </c>
      <c r="B413" s="268" t="s">
        <v>966</v>
      </c>
      <c r="C413" s="599" t="s">
        <v>964</v>
      </c>
      <c r="D413" s="269"/>
      <c r="E413" s="270"/>
      <c r="F413" s="269"/>
      <c r="G413" s="270"/>
      <c r="H413" s="269"/>
      <c r="I413" s="270"/>
      <c r="J413" s="94"/>
      <c r="K413" s="94"/>
      <c r="L413" s="94"/>
      <c r="M413" s="94"/>
      <c r="N413" s="94"/>
      <c r="O413" s="94"/>
      <c r="P413" s="94"/>
      <c r="Q413" s="94"/>
      <c r="R413" s="94"/>
      <c r="S413" s="94"/>
      <c r="T413" s="94"/>
      <c r="U413" s="94"/>
      <c r="V413" s="94"/>
      <c r="W413" s="94"/>
      <c r="X413" s="94"/>
      <c r="Y413" s="94"/>
      <c r="Z413" s="94"/>
      <c r="AA413" s="94"/>
      <c r="AB413" s="321"/>
      <c r="AC413" s="321"/>
      <c r="AD413" s="321"/>
      <c r="AE413" s="321"/>
      <c r="AF413" s="321"/>
      <c r="AG413" s="321"/>
      <c r="AH413" s="321"/>
      <c r="AI413" s="321"/>
      <c r="AJ413" s="65">
        <f t="shared" ref="AJ413" si="200">SUM(D413:AA413)</f>
        <v>0</v>
      </c>
      <c r="AK413" s="30"/>
      <c r="AL413" s="276"/>
      <c r="AM413" s="277" t="str">
        <f>CONCATENATE(IF(D411&gt;D413," * Newly Tested Positives "&amp;$D$20&amp;" "&amp;$D$21&amp;" is more than Total Positive Clients newly started on ART"&amp;CHAR(10),""),IF(E411&gt;E413," * Newly Tested Positives "&amp;$D$20&amp;" "&amp;$E$21&amp;" is more than Total Positive Clients newly started on ART"&amp;CHAR(10),""),IF(F411&gt;F413," * Newly Tested Positives "&amp;$F$20&amp;" "&amp;$F$21&amp;" is more than Total Positive Clients newly started on ART"&amp;CHAR(10),""),IF(G411&gt;G413," * Newly Tested Positives "&amp;$F$20&amp;" "&amp;$G$21&amp;" is more than Total Positive Clients newly started on ART"&amp;CHAR(10),""),IF(H411&gt;H413," * Newly Tested Positives "&amp;$H$20&amp;" "&amp;$H$21&amp;" is more than Total Positive Clients newly started on ART"&amp;CHAR(10),""),IF(I411&gt;I413," * Newly Tested Positives "&amp;$H$20&amp;" "&amp;$I$21&amp;" is more than Total Positive Clients newly started on ART"&amp;CHAR(10),""),IF(J411&gt;J413," * Newly Tested Positives "&amp;$J$20&amp;" "&amp;$J$21&amp;" is more than Total Positive Clients newly started on ART"&amp;CHAR(10),""),IF(K411&gt;K413," * Newly Tested Positives "&amp;$J$20&amp;" "&amp;$K$21&amp;" is more than Total Positive Clients newly started on ART"&amp;CHAR(10),""),IF(L411&gt;L413," * Newly Tested Positives "&amp;$L$20&amp;" "&amp;$L$21&amp;" is more than Total Positive Clients newly started on ART"&amp;CHAR(10),""),IF(M411&gt;M413," * Newly Tested Positives "&amp;$L$20&amp;" "&amp;$M$21&amp;" is more than Total Positive Clients newly started on ART"&amp;CHAR(10),""),IF(N411&gt;N413," * Newly Tested Positives "&amp;$N$20&amp;" "&amp;$N$21&amp;" is more than Total Positive Clients newly started on ART"&amp;CHAR(10),""),IF(O411&gt;O413," * Newly Tested Positives "&amp;$N$20&amp;" "&amp;$O$21&amp;" is more than Total Positive Clients newly started on ART"&amp;CHAR(10),""),IF(P411&gt;P413," * Newly Tested Positives "&amp;$P$20&amp;" "&amp;$P$21&amp;" is more than Total Positive Clients newly started on ART"&amp;CHAR(10),""),IF(Q411&gt;Q413," * Newly Tested Positives "&amp;$P$20&amp;" "&amp;$Q$21&amp;" is more than Total Positive Clients newly started on ART"&amp;CHAR(10),""),IF(R411&gt;R413," * Newly Tested Positives "&amp;$R$20&amp;" "&amp;$R$21&amp;" is more than Total Positive Clients newly started on ART"&amp;CHAR(10),""),IF(S411&gt;S413," * Newly Tested Positives "&amp;$R$20&amp;" "&amp;$S$21&amp;" is more than Total Positive Clients newly started on ART"&amp;CHAR(10),""),IF(T411&gt;T413," * Newly Tested Positives "&amp;$T$20&amp;" "&amp;$T$21&amp;" is more than Total Positive Clients newly started on ART"&amp;CHAR(10),""),IF(U411&gt;U413," * Newly Tested Positives "&amp;$T$20&amp;" "&amp;$U$21&amp;" is more than Total Positive Clients newly started on ART"&amp;CHAR(10),""),IF(V411&gt;V413," * Newly Tested Positives "&amp;$V$20&amp;" "&amp;$V$21&amp;" is more than Total Positive Clients newly started on ART"&amp;CHAR(10),""),IF(W411&gt;W413," * Newly Tested Positives "&amp;$V$20&amp;" "&amp;$W$21&amp;" is more than Total Positive Clients newly started on ART"&amp;CHAR(10),""),IF(X411&gt;X413," * Newly Tested Positives "&amp;$X$20&amp;" "&amp;$X$21&amp;" is more than Total Positive Clients newly started on ART"&amp;CHAR(10),""),IF(Y411&gt;Y413," * Newly Tested Positives "&amp;$X$20&amp;" "&amp;$Y$21&amp;" is more than Total Positive Clients newly started on ART"&amp;CHAR(10),""),IF(Z411&gt;Z413," * Newly Tested Positives "&amp;$Z$20&amp;" "&amp;$Z$21&amp;" is more than Total Positive Clients newly started on ART"&amp;CHAR(10),""),IF(AA411&gt;AA413," * Newly Tested Positives "&amp;$Z$20&amp;" "&amp;$AA$21&amp;" is more than Total Positive Clients newly started on ART"&amp;CHAR(10),""))</f>
        <v/>
      </c>
      <c r="AN413" s="278"/>
      <c r="AO413" s="13">
        <v>328</v>
      </c>
      <c r="AP413" s="74"/>
      <c r="AQ413" s="75"/>
    </row>
    <row r="414" spans="1:43" ht="36.75" customHeight="1" thickBot="1" x14ac:dyDescent="0.45">
      <c r="A414" s="1017" t="s">
        <v>1113</v>
      </c>
      <c r="B414" s="1015"/>
      <c r="C414" s="1015"/>
      <c r="D414" s="1015"/>
      <c r="E414" s="1015"/>
      <c r="F414" s="1015"/>
      <c r="G414" s="1015"/>
      <c r="H414" s="1015"/>
      <c r="I414" s="1015"/>
      <c r="J414" s="1015"/>
      <c r="K414" s="1015"/>
      <c r="L414" s="1015"/>
      <c r="M414" s="1015"/>
      <c r="N414" s="1015"/>
      <c r="O414" s="1015"/>
      <c r="P414" s="1015"/>
      <c r="Q414" s="1015"/>
      <c r="R414" s="1015"/>
      <c r="S414" s="1015"/>
      <c r="T414" s="1015"/>
      <c r="U414" s="1015"/>
      <c r="V414" s="1015"/>
      <c r="W414" s="1015"/>
      <c r="X414" s="1015"/>
      <c r="Y414" s="1015"/>
      <c r="Z414" s="1015"/>
      <c r="AA414" s="1015"/>
      <c r="AB414" s="1015"/>
      <c r="AC414" s="1015"/>
      <c r="AD414" s="1015"/>
      <c r="AE414" s="1015"/>
      <c r="AF414" s="1015"/>
      <c r="AG414" s="1015"/>
      <c r="AH414" s="1015"/>
      <c r="AI414" s="1015"/>
      <c r="AJ414" s="1015"/>
      <c r="AK414" s="1015"/>
      <c r="AL414" s="1015"/>
      <c r="AM414" s="1015"/>
      <c r="AN414" s="1097"/>
      <c r="AO414" s="482"/>
      <c r="AP414" s="484"/>
      <c r="AQ414" s="484"/>
    </row>
    <row r="415" spans="1:43" s="14" customFormat="1" ht="33" customHeight="1" x14ac:dyDescent="0.4">
      <c r="A415" s="1059" t="s">
        <v>37</v>
      </c>
      <c r="B415" s="1055" t="s">
        <v>344</v>
      </c>
      <c r="C415" s="1057" t="s">
        <v>325</v>
      </c>
      <c r="D415" s="1061" t="s">
        <v>0</v>
      </c>
      <c r="E415" s="1061"/>
      <c r="F415" s="1061" t="s">
        <v>1</v>
      </c>
      <c r="G415" s="1061"/>
      <c r="H415" s="1061" t="s">
        <v>2</v>
      </c>
      <c r="I415" s="1061"/>
      <c r="J415" s="1061" t="s">
        <v>3</v>
      </c>
      <c r="K415" s="1061"/>
      <c r="L415" s="1061" t="s">
        <v>4</v>
      </c>
      <c r="M415" s="1061"/>
      <c r="N415" s="1061" t="s">
        <v>5</v>
      </c>
      <c r="O415" s="1061"/>
      <c r="P415" s="1061" t="s">
        <v>6</v>
      </c>
      <c r="Q415" s="1061"/>
      <c r="R415" s="1061" t="s">
        <v>7</v>
      </c>
      <c r="S415" s="1061"/>
      <c r="T415" s="1061" t="s">
        <v>8</v>
      </c>
      <c r="U415" s="1061"/>
      <c r="V415" s="1061" t="s">
        <v>23</v>
      </c>
      <c r="W415" s="1061"/>
      <c r="X415" s="1061" t="s">
        <v>24</v>
      </c>
      <c r="Y415" s="1061"/>
      <c r="Z415" s="1061" t="s">
        <v>9</v>
      </c>
      <c r="AA415" s="1061"/>
      <c r="AB415" s="1038" t="s">
        <v>1017</v>
      </c>
      <c r="AC415" s="1079"/>
      <c r="AD415" s="1038" t="s">
        <v>1018</v>
      </c>
      <c r="AE415" s="1079"/>
      <c r="AF415" s="1038" t="s">
        <v>1188</v>
      </c>
      <c r="AG415" s="1079"/>
      <c r="AH415" s="1038" t="s">
        <v>1189</v>
      </c>
      <c r="AI415" s="1079"/>
      <c r="AJ415" s="1143" t="s">
        <v>19</v>
      </c>
      <c r="AK415" s="1106" t="s">
        <v>378</v>
      </c>
      <c r="AL415" s="1082" t="s">
        <v>384</v>
      </c>
      <c r="AM415" s="1074" t="s">
        <v>385</v>
      </c>
      <c r="AN415" s="1132" t="s">
        <v>385</v>
      </c>
      <c r="AO415" s="482"/>
      <c r="AP415" s="484"/>
      <c r="AQ415" s="484"/>
    </row>
    <row r="416" spans="1:43" s="14" customFormat="1" ht="33" customHeight="1" thickBot="1" x14ac:dyDescent="0.45">
      <c r="A416" s="1220"/>
      <c r="B416" s="1162"/>
      <c r="C416" s="1058"/>
      <c r="D416" s="294" t="s">
        <v>10</v>
      </c>
      <c r="E416" s="294" t="s">
        <v>11</v>
      </c>
      <c r="F416" s="294" t="s">
        <v>10</v>
      </c>
      <c r="G416" s="294" t="s">
        <v>11</v>
      </c>
      <c r="H416" s="294" t="s">
        <v>10</v>
      </c>
      <c r="I416" s="294" t="s">
        <v>11</v>
      </c>
      <c r="J416" s="294" t="s">
        <v>10</v>
      </c>
      <c r="K416" s="294" t="s">
        <v>11</v>
      </c>
      <c r="L416" s="294" t="s">
        <v>10</v>
      </c>
      <c r="M416" s="294" t="s">
        <v>11</v>
      </c>
      <c r="N416" s="294" t="s">
        <v>10</v>
      </c>
      <c r="O416" s="294" t="s">
        <v>11</v>
      </c>
      <c r="P416" s="294" t="s">
        <v>10</v>
      </c>
      <c r="Q416" s="294" t="s">
        <v>11</v>
      </c>
      <c r="R416" s="294" t="s">
        <v>10</v>
      </c>
      <c r="S416" s="294" t="s">
        <v>11</v>
      </c>
      <c r="T416" s="294" t="s">
        <v>10</v>
      </c>
      <c r="U416" s="294" t="s">
        <v>11</v>
      </c>
      <c r="V416" s="294" t="s">
        <v>10</v>
      </c>
      <c r="W416" s="294" t="s">
        <v>11</v>
      </c>
      <c r="X416" s="294" t="s">
        <v>10</v>
      </c>
      <c r="Y416" s="294" t="s">
        <v>11</v>
      </c>
      <c r="Z416" s="294" t="s">
        <v>10</v>
      </c>
      <c r="AA416" s="294" t="s">
        <v>11</v>
      </c>
      <c r="AB416" s="294" t="s">
        <v>10</v>
      </c>
      <c r="AC416" s="294" t="s">
        <v>11</v>
      </c>
      <c r="AD416" s="294" t="s">
        <v>10</v>
      </c>
      <c r="AE416" s="294" t="s">
        <v>11</v>
      </c>
      <c r="AF416" s="294" t="s">
        <v>10</v>
      </c>
      <c r="AG416" s="294" t="s">
        <v>11</v>
      </c>
      <c r="AH416" s="294" t="s">
        <v>10</v>
      </c>
      <c r="AI416" s="294" t="s">
        <v>11</v>
      </c>
      <c r="AJ416" s="1257"/>
      <c r="AK416" s="1107"/>
      <c r="AL416" s="1036"/>
      <c r="AM416" s="1141"/>
      <c r="AN416" s="1133"/>
      <c r="AO416" s="482"/>
      <c r="AP416" s="484"/>
      <c r="AQ416" s="484"/>
    </row>
    <row r="417" spans="1:43" s="83" customFormat="1" ht="27" thickBot="1" x14ac:dyDescent="0.45">
      <c r="A417" s="998" t="s">
        <v>121</v>
      </c>
      <c r="B417" s="775" t="s">
        <v>150</v>
      </c>
      <c r="C417" s="779" t="s">
        <v>1114</v>
      </c>
      <c r="D417" s="762"/>
      <c r="E417" s="790"/>
      <c r="F417" s="801">
        <f t="shared" ref="F417:AA417" si="201">F28</f>
        <v>0</v>
      </c>
      <c r="G417" s="500">
        <f t="shared" si="201"/>
        <v>0</v>
      </c>
      <c r="H417" s="500">
        <f t="shared" si="201"/>
        <v>0</v>
      </c>
      <c r="I417" s="500">
        <f t="shared" si="201"/>
        <v>0</v>
      </c>
      <c r="J417" s="500">
        <f t="shared" si="201"/>
        <v>0</v>
      </c>
      <c r="K417" s="500">
        <f t="shared" si="201"/>
        <v>0</v>
      </c>
      <c r="L417" s="500">
        <f t="shared" si="201"/>
        <v>0</v>
      </c>
      <c r="M417" s="500">
        <f t="shared" si="201"/>
        <v>0</v>
      </c>
      <c r="N417" s="500">
        <f t="shared" si="201"/>
        <v>0</v>
      </c>
      <c r="O417" s="500">
        <f t="shared" si="201"/>
        <v>0</v>
      </c>
      <c r="P417" s="500">
        <f t="shared" si="201"/>
        <v>0</v>
      </c>
      <c r="Q417" s="500">
        <f t="shared" si="201"/>
        <v>0</v>
      </c>
      <c r="R417" s="500">
        <f t="shared" si="201"/>
        <v>0</v>
      </c>
      <c r="S417" s="500">
        <f t="shared" si="201"/>
        <v>0</v>
      </c>
      <c r="T417" s="500">
        <f t="shared" si="201"/>
        <v>0</v>
      </c>
      <c r="U417" s="500">
        <f t="shared" si="201"/>
        <v>0</v>
      </c>
      <c r="V417" s="500">
        <f t="shared" si="201"/>
        <v>0</v>
      </c>
      <c r="W417" s="500">
        <f t="shared" si="201"/>
        <v>0</v>
      </c>
      <c r="X417" s="500">
        <f t="shared" si="201"/>
        <v>0</v>
      </c>
      <c r="Y417" s="500">
        <f t="shared" si="201"/>
        <v>0</v>
      </c>
      <c r="Z417" s="500">
        <f t="shared" si="201"/>
        <v>0</v>
      </c>
      <c r="AA417" s="500">
        <f t="shared" si="201"/>
        <v>0</v>
      </c>
      <c r="AB417" s="500">
        <f t="shared" ref="AB417:AI417" si="202">AB28</f>
        <v>0</v>
      </c>
      <c r="AC417" s="500">
        <f t="shared" si="202"/>
        <v>0</v>
      </c>
      <c r="AD417" s="500">
        <f t="shared" si="202"/>
        <v>0</v>
      </c>
      <c r="AE417" s="500">
        <f t="shared" si="202"/>
        <v>0</v>
      </c>
      <c r="AF417" s="500">
        <f t="shared" si="202"/>
        <v>0</v>
      </c>
      <c r="AG417" s="500">
        <f t="shared" si="202"/>
        <v>0</v>
      </c>
      <c r="AH417" s="500">
        <f t="shared" si="202"/>
        <v>0</v>
      </c>
      <c r="AI417" s="500">
        <f t="shared" si="202"/>
        <v>0</v>
      </c>
      <c r="AJ417" s="490">
        <f t="shared" ref="AJ417:AJ419" si="203">SUM(D417:AA417)</f>
        <v>0</v>
      </c>
      <c r="AK417" s="562" t="str">
        <f>CONCATENATE(IF((D418+D419+D420+D421)&lt;&gt;D417," * "&amp;$A417&amp;" , "&amp;$B418&amp;" plus "&amp;$B419&amp;" plus "&amp;$B420&amp;" plus "&amp;$B421&amp;" For age "&amp;$D$20&amp;" "&amp;$D$21&amp;" should be equal to "&amp;$B417&amp;""&amp;CHAR(10),""),IF((E418+E419+E420+E421)&lt;&gt;E417," * "&amp;$A417&amp;" , "&amp;$B418&amp;" plus "&amp;$B419&amp;" plus "&amp;$B420&amp;" plus "&amp;$B421&amp;" For age "&amp;$D$20&amp;" "&amp;$E$21&amp;" should be equal to "&amp;$B417&amp;""&amp;CHAR(10),""),IF((F418+F419+F420+F421)&lt;&gt;F417," * "&amp;$A417&amp;" , "&amp;$B418&amp;" plus "&amp;$B419&amp;" plus "&amp;$B420&amp;" plus "&amp;$B421&amp;" For age "&amp;$F$20&amp;" "&amp;$F$21&amp;" should be equal to "&amp;$B417&amp;""&amp;CHAR(10),""),IF((G418+G419+G420+G421)&lt;&gt;G417," * "&amp;$A417&amp;" , "&amp;$B418&amp;" plus "&amp;$B419&amp;" plus "&amp;$B420&amp;" plus "&amp;$B421&amp;" For age "&amp;$F$20&amp;" "&amp;$G$21&amp;" should be equal to "&amp;$B417&amp;""&amp;CHAR(10),""),IF((H418+H419+H420+H421)&lt;&gt;H417," * "&amp;$A417&amp;" , "&amp;$B418&amp;" plus "&amp;$B419&amp;" plus "&amp;$B420&amp;" plus "&amp;$B421&amp;" For age "&amp;$H$20&amp;" "&amp;$H$21&amp;" should be equal to "&amp;$B417&amp;""&amp;CHAR(10),""),IF((I418+I419+I420+I421)&lt;&gt;I417," * "&amp;$A417&amp;" , "&amp;$B418&amp;" plus "&amp;$B419&amp;" plus "&amp;$B420&amp;" plus "&amp;$B421&amp;" For age "&amp;$H$20&amp;" "&amp;$I$21&amp;" should be equal to "&amp;$B417&amp;""&amp;CHAR(10),""),IF((J418+J419+J420+J421)&lt;&gt;J417," * "&amp;$A417&amp;" , "&amp;$B418&amp;" plus "&amp;$B419&amp;" plus "&amp;$B420&amp;" plus "&amp;$B421&amp;" For age "&amp;$J$20&amp;" "&amp;$J$21&amp;" should be equal to "&amp;$B417&amp;""&amp;CHAR(10),""),IF((K418+K419+K420+K421)&lt;&gt;K417," * "&amp;$A417&amp;" , "&amp;$B418&amp;" plus "&amp;$B419&amp;" plus "&amp;$B420&amp;" plus "&amp;$B421&amp;" For age "&amp;$J$20&amp;" "&amp;$K$21&amp;" should be equal to "&amp;$B417&amp;""&amp;CHAR(10),""),IF((L418+L419+L420+L421)&lt;&gt;L417," * "&amp;$A417&amp;" , "&amp;$B418&amp;" plus "&amp;$B419&amp;" plus "&amp;$B420&amp;" plus "&amp;$B421&amp;" For age "&amp;$L$20&amp;" "&amp;$L$21&amp;" should be equal to "&amp;$B417&amp;""&amp;CHAR(10),""),IF((M418+M419+M420+M421)&lt;&gt;M417," * "&amp;$A417&amp;" , "&amp;$B418&amp;" plus "&amp;$B419&amp;" plus "&amp;$B420&amp;" plus "&amp;$B421&amp;" For age "&amp;$L$20&amp;" "&amp;$M$21&amp;" should be equal to "&amp;$B417&amp;""&amp;CHAR(10),""),IF((N418+N419+N420+N421)&lt;&gt;N417," * "&amp;$A417&amp;" , "&amp;$B418&amp;" plus "&amp;$B419&amp;" plus "&amp;$B420&amp;" plus "&amp;$B421&amp;" For age "&amp;$N$20&amp;" "&amp;$N$21&amp;" should be equal to "&amp;$B417&amp;""&amp;CHAR(10),""),IF((O418+O419+O420+O421)&lt;&gt;O417," * "&amp;$A417&amp;" , "&amp;$B418&amp;" plus "&amp;$B419&amp;" plus "&amp;$B420&amp;" plus "&amp;$B421&amp;" For age "&amp;$N$20&amp;" "&amp;$O$21&amp;" should be equal to "&amp;$B417&amp;""&amp;CHAR(10),""),IF((P418+P419+P420+P421)&lt;&gt;P417," * "&amp;$A417&amp;" , "&amp;$B418&amp;" plus "&amp;$B419&amp;" plus "&amp;$B420&amp;" plus "&amp;$B421&amp;" For age "&amp;$P$20&amp;" "&amp;$P$21&amp;" should be equal to "&amp;$B417&amp;""&amp;CHAR(10),""),IF((Q418+Q419+Q420+Q421)&lt;&gt;Q417," * "&amp;$A417&amp;" , "&amp;$B418&amp;" plus "&amp;$B419&amp;" plus "&amp;$B420&amp;" plus "&amp;$B421&amp;" For age "&amp;$P$20&amp;" "&amp;$Q$21&amp;" should be equal to "&amp;$B417&amp;""&amp;CHAR(10),""),IF((R418+R419+R420+R421)&lt;&gt;R417," * "&amp;$A417&amp;" , "&amp;$B418&amp;" plus "&amp;$B419&amp;" plus "&amp;$B420&amp;" plus "&amp;$B421&amp;" For age "&amp;$R$20&amp;" "&amp;$R$21&amp;" should be equal to "&amp;$B417&amp;""&amp;CHAR(10),""),IF((S418+S419+S420+S421)&lt;&gt;S417," * "&amp;$A417&amp;" , "&amp;$B418&amp;" plus "&amp;$B419&amp;" plus "&amp;$B420&amp;" plus "&amp;$B421&amp;" For age "&amp;$R$20&amp;" "&amp;$S$21&amp;" should be equal to "&amp;$B417&amp;""&amp;CHAR(10),""),IF((T418+T419+T420+T421)&lt;&gt;T417," * "&amp;$A417&amp;" , "&amp;$B418&amp;" plus "&amp;$B419&amp;" plus "&amp;$B420&amp;" plus "&amp;$B421&amp;" For age "&amp;$T$20&amp;" "&amp;$T$21&amp;" should be equal to "&amp;$B417&amp;""&amp;CHAR(10),""),IF((U418+U419+U420+U421)&lt;&gt;U417," * "&amp;$A417&amp;" , "&amp;$B418&amp;" plus "&amp;$B419&amp;" plus "&amp;$B420&amp;" plus "&amp;$B421&amp;" For age "&amp;$T$20&amp;" "&amp;$U$21&amp;" should be equal to "&amp;$B417&amp;""&amp;CHAR(10),""),IF((V418+V419+V420+V421)&lt;&gt;V417," * "&amp;$A417&amp;" , "&amp;$B418&amp;" plus "&amp;$B419&amp;" plus "&amp;$B420&amp;" plus "&amp;$B421&amp;" For age "&amp;$V$20&amp;" "&amp;$V$21&amp;" should be equal to "&amp;$B417&amp;""&amp;CHAR(10),""),IF((W418+W419+W420+W421)&lt;&gt;W417," * "&amp;$A417&amp;" , "&amp;$B418&amp;" plus "&amp;$B419&amp;" plus "&amp;$B420&amp;" plus "&amp;$B421&amp;" For age "&amp;$V$20&amp;" "&amp;$W$21&amp;" should be equal to "&amp;$B417&amp;""&amp;CHAR(10),""),IF((X418+X419+X420+X421)&lt;&gt;X417," * "&amp;$A417&amp;" , "&amp;$B418&amp;" plus "&amp;$B419&amp;" plus "&amp;$B420&amp;" plus "&amp;$B421&amp;" For age "&amp;$X$20&amp;" "&amp;$X$21&amp;" should be equal to "&amp;$B417&amp;""&amp;CHAR(10),""),IF((Y418+Y419+Y420+Y421)&lt;&gt;Y417," * "&amp;$A417&amp;" , "&amp;$B418&amp;" plus "&amp;$B419&amp;" plus "&amp;$B420&amp;" plus "&amp;$B421&amp;" For age "&amp;$X$20&amp;" "&amp;$Y$21&amp;" should be equal to "&amp;$B417&amp;""&amp;CHAR(10),""),IF((Z418+Z419+Z420+Z421)&lt;&gt;Z417," * "&amp;$A417&amp;" , "&amp;$B418&amp;" plus "&amp;$B419&amp;" plus "&amp;$B420&amp;" plus "&amp;$B421&amp;" For age "&amp;$Z$20&amp;" "&amp;$Z$21&amp;" should be equal to "&amp;$B417&amp;""&amp;CHAR(10),""),IF((AA418+AA419+AA420+AA421)&lt;&gt;AA417," * "&amp;$A417&amp;" , "&amp;$B418&amp;" plus "&amp;$B419&amp;" plus "&amp;$B420&amp;" plus "&amp;$B421&amp;" For age "&amp;$Z$20&amp;" "&amp;$AA$21&amp;" should be equal to "&amp;$B417&amp;""&amp;CHAR(10),""))</f>
        <v/>
      </c>
      <c r="AL417" s="1047" t="str">
        <f>CONCATENATE(AK417,AK418,AK421,AK422,AK423,AK425,AK426,AK427,AK428,AK430,AK431,AK432,AK433,AK435,AK436,AK437,AK438,AK440,AK441,AK442,AK443,AK445,AK446,AK447,AK448,AK450,AK451,AK452,AK453,AK456,AK420,AK455,AK457,AK458,AK460,AK461,AK462,AK463,AK465,AK466,AK467,AK468,AK471,AK470,AK472,AK473,AK475,AK476,AK477,AK478,AK480,AK481)</f>
        <v/>
      </c>
      <c r="AM417" s="31"/>
      <c r="AN417" s="845"/>
      <c r="AO417" s="13">
        <v>31</v>
      </c>
      <c r="AP417" s="81"/>
      <c r="AQ417" s="82"/>
    </row>
    <row r="418" spans="1:43" s="83" customFormat="1" ht="26.25" x14ac:dyDescent="0.4">
      <c r="A418" s="999"/>
      <c r="B418" s="776" t="s">
        <v>1136</v>
      </c>
      <c r="C418" s="780" t="s">
        <v>1115</v>
      </c>
      <c r="D418" s="644"/>
      <c r="E418" s="791"/>
      <c r="F418" s="567"/>
      <c r="G418" s="564"/>
      <c r="H418" s="564"/>
      <c r="I418" s="564"/>
      <c r="J418" s="564"/>
      <c r="K418" s="564"/>
      <c r="L418" s="564"/>
      <c r="M418" s="564"/>
      <c r="N418" s="564"/>
      <c r="O418" s="564"/>
      <c r="P418" s="564"/>
      <c r="Q418" s="564"/>
      <c r="R418" s="564"/>
      <c r="S418" s="564"/>
      <c r="T418" s="564"/>
      <c r="U418" s="564"/>
      <c r="V418" s="564"/>
      <c r="W418" s="564"/>
      <c r="X418" s="564"/>
      <c r="Y418" s="564"/>
      <c r="Z418" s="502">
        <f t="shared" ref="Z418:Z421" si="204">SUM(AB418,AD418,AF418,AH418)</f>
        <v>0</v>
      </c>
      <c r="AA418" s="502">
        <f t="shared" ref="AA418:AA421" si="205">SUM(AC418,AE418,AG418,AI418)</f>
        <v>0</v>
      </c>
      <c r="AB418" s="564"/>
      <c r="AC418" s="564"/>
      <c r="AD418" s="564"/>
      <c r="AE418" s="564"/>
      <c r="AF418" s="564"/>
      <c r="AG418" s="564"/>
      <c r="AH418" s="564"/>
      <c r="AI418" s="564"/>
      <c r="AJ418" s="491">
        <f t="shared" si="203"/>
        <v>0</v>
      </c>
      <c r="AK418" s="1111" t="str">
        <f>CONCATENATE(IF(D419&gt;D418," * Positive F01-13 for Age "&amp;D405&amp;" "&amp;D406&amp;" is more than Tested F01-12"&amp;CHAR(10),""),IF(E419&gt;E418," * Positive F01-13 for Age "&amp;D405&amp;" "&amp;E406&amp;" is more than Tested F01-12"&amp;CHAR(10),""),IF(F419&gt;F418," * Positive F01-13 for Age "&amp;F405&amp;" "&amp;F406&amp;" is more than Tested F01-12"&amp;CHAR(10),""),IF(G419&gt;G418," * Positive F01-13 for Age "&amp;F405&amp;" "&amp;G406&amp;" is more than Tested F01-12"&amp;CHAR(10),""),IF(H419&gt;H418," * Positive F01-13 for Age "&amp;H405&amp;" "&amp;H406&amp;" is more than Tested F01-12"&amp;CHAR(10),""),IF(I419&gt;I418," * Positive F01-13 for Age "&amp;H405&amp;" "&amp;I406&amp;" is more than Tested F01-12"&amp;CHAR(10),""),IF(J419&gt;J418," * Positive F01-13 for Age "&amp;J405&amp;" "&amp;J406&amp;" is more than Tested F01-12"&amp;CHAR(10),""),IF(K419&gt;K418," * Positive F01-13 for Age "&amp;J405&amp;" "&amp;K406&amp;" is more than Tested F01-12"&amp;CHAR(10),""),IF(L419&gt;L418," * Positive F01-13 for Age "&amp;L405&amp;" "&amp;L406&amp;" is more than Tested F01-12"&amp;CHAR(10),""),IF(M419&gt;M418," * Positive F01-13 for Age "&amp;L405&amp;" "&amp;M406&amp;" is more than Tested F01-12"&amp;CHAR(10),""),IF(N419&gt;N418," * Positive F01-13 for Age "&amp;N405&amp;" "&amp;N406&amp;" is more than Tested F01-12"&amp;CHAR(10),""),IF(O419&gt;O418," * Positive F01-13 for Age "&amp;N405&amp;" "&amp;O406&amp;" is more than Tested F01-12"&amp;CHAR(10),""),IF(P419&gt;P418," * Positive F01-13 for Age "&amp;P405&amp;" "&amp;P406&amp;" is more than Tested F01-12"&amp;CHAR(10),""),IF(Q419&gt;Q418," * Positive F01-13 for Age "&amp;P405&amp;" "&amp;Q406&amp;" is more than Tested F01-12"&amp;CHAR(10),""),IF(R419&gt;R418," * Positive F01-13 for Age "&amp;R405&amp;" "&amp;R406&amp;" is more than Tested F01-12"&amp;CHAR(10),""),IF(S419&gt;S418," * Positive F01-13 for Age "&amp;R405&amp;" "&amp;S406&amp;" is more than Tested F01-12"&amp;CHAR(10),""),IF(T419&gt;T418," * Positive F01-13 for Age "&amp;T405&amp;" "&amp;T406&amp;" is more than Tested F01-12"&amp;CHAR(10),""),IF(U419&gt;U418," * Positive F01-13 for Age "&amp;T405&amp;" "&amp;U406&amp;" is more than Tested F01-12"&amp;CHAR(10),""),IF(V419&gt;V418," * Positive F01-13 for Age "&amp;V405&amp;" "&amp;V406&amp;" is more than Tested F01-12"&amp;CHAR(10),""),IF(W419&gt;W418," * Positive F01-13 for Age "&amp;V405&amp;" "&amp;W406&amp;" is more than Tested F01-12"&amp;CHAR(10),""),IF(X419&gt;X418," * Positive F01-13 for Age "&amp;X405&amp;" "&amp;X406&amp;" is more than Tested F01-12"&amp;CHAR(10),""),IF(Y419&gt;Y418," * Positive F01-13 for Age "&amp;X405&amp;" "&amp;Y406&amp;" is more than Tested F01-12"&amp;CHAR(10),""),IF(Z419&gt;Z418," * Positive F01-13 for Age "&amp;Z405&amp;" "&amp;Z406&amp;" is more than Tested F01-12"&amp;CHAR(10),""),IF(AA419&gt;AA418," * Positive F01-13 for Age "&amp;Z405&amp;" "&amp;AA406&amp;" is more than Tested F01-12"&amp;CHAR(10),""))</f>
        <v/>
      </c>
      <c r="AL418" s="1048"/>
      <c r="AM418" s="31" t="str">
        <f>CONCATENATE(IF(AND(IFERROR((AJ419*100)/AJ418,0)&gt;10,AJ419&gt;5)," * This facility has a high positivity rate for Index Testing. Kindly confirm if this is the true reflection"&amp;CHAR(10),""),"")</f>
        <v/>
      </c>
      <c r="AN418" s="846"/>
      <c r="AO418" s="13">
        <v>32</v>
      </c>
      <c r="AP418" s="81"/>
      <c r="AQ418" s="82"/>
    </row>
    <row r="419" spans="1:43" s="83" customFormat="1" ht="26.25" x14ac:dyDescent="0.4">
      <c r="A419" s="999"/>
      <c r="B419" s="776" t="s">
        <v>1117</v>
      </c>
      <c r="C419" s="780" t="s">
        <v>1116</v>
      </c>
      <c r="D419" s="764"/>
      <c r="E419" s="792"/>
      <c r="F419" s="568"/>
      <c r="G419" s="494"/>
      <c r="H419" s="494"/>
      <c r="I419" s="494"/>
      <c r="J419" s="494"/>
      <c r="K419" s="494"/>
      <c r="L419" s="494"/>
      <c r="M419" s="494"/>
      <c r="N419" s="494"/>
      <c r="O419" s="494"/>
      <c r="P419" s="494"/>
      <c r="Q419" s="494"/>
      <c r="R419" s="494"/>
      <c r="S419" s="494"/>
      <c r="T419" s="494"/>
      <c r="U419" s="494"/>
      <c r="V419" s="494"/>
      <c r="W419" s="494"/>
      <c r="X419" s="494"/>
      <c r="Y419" s="494"/>
      <c r="Z419" s="502">
        <f t="shared" si="204"/>
        <v>0</v>
      </c>
      <c r="AA419" s="502">
        <f t="shared" si="205"/>
        <v>0</v>
      </c>
      <c r="AB419" s="494"/>
      <c r="AC419" s="494"/>
      <c r="AD419" s="494"/>
      <c r="AE419" s="494"/>
      <c r="AF419" s="494"/>
      <c r="AG419" s="494"/>
      <c r="AH419" s="494"/>
      <c r="AI419" s="494"/>
      <c r="AJ419" s="492">
        <f t="shared" si="203"/>
        <v>0</v>
      </c>
      <c r="AK419" s="1111"/>
      <c r="AL419" s="1048"/>
      <c r="AM419" s="31" t="e">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0"&amp;CHAR(10),""),IF(#REF!&gt;0," * F01-14 for Age "&amp;D405&amp;" "&amp;D406&amp;" has a value greater than 0"&amp;CHAR(10),""),IF(#REF!&gt;0,"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#REF!</v>
      </c>
      <c r="AN419" s="846"/>
      <c r="AO419" s="13">
        <v>33</v>
      </c>
      <c r="AP419" s="81"/>
      <c r="AQ419" s="82"/>
    </row>
    <row r="420" spans="1:43" s="83" customFormat="1" ht="26.25" x14ac:dyDescent="0.4">
      <c r="A420" s="999"/>
      <c r="B420" s="776" t="s">
        <v>1119</v>
      </c>
      <c r="C420" s="780" t="s">
        <v>1118</v>
      </c>
      <c r="D420" s="764"/>
      <c r="E420" s="792"/>
      <c r="F420" s="569"/>
      <c r="G420" s="501"/>
      <c r="H420" s="501"/>
      <c r="I420" s="501"/>
      <c r="J420" s="501"/>
      <c r="K420" s="501"/>
      <c r="L420" s="501"/>
      <c r="M420" s="501"/>
      <c r="N420" s="501"/>
      <c r="O420" s="501"/>
      <c r="P420" s="501"/>
      <c r="Q420" s="501"/>
      <c r="R420" s="501"/>
      <c r="S420" s="501"/>
      <c r="T420" s="501"/>
      <c r="U420" s="501"/>
      <c r="V420" s="501"/>
      <c r="W420" s="501"/>
      <c r="X420" s="501"/>
      <c r="Y420" s="501"/>
      <c r="Z420" s="502">
        <f t="shared" si="204"/>
        <v>0</v>
      </c>
      <c r="AA420" s="502">
        <f t="shared" si="205"/>
        <v>0</v>
      </c>
      <c r="AB420" s="501"/>
      <c r="AC420" s="501"/>
      <c r="AD420" s="501"/>
      <c r="AE420" s="501"/>
      <c r="AF420" s="501"/>
      <c r="AG420" s="501"/>
      <c r="AH420" s="501"/>
      <c r="AI420" s="501"/>
      <c r="AJ420" s="492">
        <f t="shared" ref="AJ420" si="206">SUM(D420:AA420)</f>
        <v>0</v>
      </c>
      <c r="AK420" s="483"/>
      <c r="AL420" s="1048"/>
      <c r="AM420" s="31" t="str">
        <f>CONCATENATE(IF(D419&gt;0," * F01-12 for Age "&amp;D406&amp;" "&amp;D407&amp;" has a value greater than 0"&amp;CHAR(10),""),IF(E419&gt;0," * F01-12 for Age "&amp;D406&amp;" "&amp;E407&amp;" has a value greater than 0"&amp;CHAR(10),""),IF(D420&gt;0," * F01-13 for Age "&amp;D406&amp;" "&amp;D407&amp;" has a value greater than 0"&amp;CHAR(10),""),IF(E420&gt;0," * F01-13 for Age "&amp;D406&amp;" "&amp;E407&amp;" has a value greater than 0"&amp;CHAR(10),""),IF(D482&gt;0," * F01-14 for Age "&amp;D406&amp;" "&amp;D407&amp;" has a value greater than 0"&amp;CHAR(10),""),IF(E482&gt;0," * F01-14 for Age "&amp;D406&amp;" "&amp;E407&amp;" has a value greater than 0"&amp;CHAR(10),""),IF(D483&gt;0," * F01-15 for Age "&amp;D406&amp;" "&amp;D407&amp;" has a value greater than 0"&amp;CHAR(10),""),IF(E483&gt;0," * F01-15 for Age "&amp;D406&amp;" "&amp;E407&amp;" has a value greater than 0"&amp;CHAR(10),""),IF(D488&gt;0," * F01-20 for Age "&amp;D406&amp;" "&amp;D407&amp;" has a value greater than 0"&amp;CHAR(10),""),IF(E488&gt;0," * F01-20 for Age "&amp;D406&amp;" "&amp;E407&amp;" has a value greater than 0"&amp;CHAR(10),""),IF(D489&gt;0," * F01-21 for Age "&amp;D406&amp;" "&amp;D407&amp;" has a value greater than 0"&amp;CHAR(10),""),IF(E489&gt;0," * F01-21 for Age "&amp;D406&amp;" "&amp;E407&amp;" has a value greater than 0"&amp;CHAR(10),""),IF(D490&gt;0," * F01-22 for Age "&amp;D406&amp;" "&amp;D407&amp;" has a value greater than 0"&amp;CHAR(10),""),IF(E490&gt;0," * F01-22 for Age "&amp;D406&amp;" "&amp;E407&amp;" has a value greater than 0"&amp;CHAR(10),""),IF(D491&gt;0," * F01-23 for Age "&amp;D406&amp;" "&amp;D407&amp;" has a value greater than 0"&amp;CHAR(10),""),IF(E491&gt;0," * F01-23 for Age "&amp;D406&amp;" "&amp;E407&amp;" has a value greater than 0"&amp;CHAR(10),""),"")</f>
        <v/>
      </c>
      <c r="AN420" s="846"/>
      <c r="AO420" s="13">
        <v>33</v>
      </c>
      <c r="AP420" s="81"/>
      <c r="AQ420" s="82"/>
    </row>
    <row r="421" spans="1:43" s="83" customFormat="1" ht="27" thickBot="1" x14ac:dyDescent="0.45">
      <c r="A421" s="1000"/>
      <c r="B421" s="777" t="s">
        <v>1121</v>
      </c>
      <c r="C421" s="781" t="s">
        <v>1120</v>
      </c>
      <c r="D421" s="765"/>
      <c r="E421" s="793"/>
      <c r="F421" s="570"/>
      <c r="G421" s="566"/>
      <c r="H421" s="566"/>
      <c r="I421" s="566"/>
      <c r="J421" s="566"/>
      <c r="K421" s="566"/>
      <c r="L421" s="566"/>
      <c r="M421" s="566"/>
      <c r="N421" s="566"/>
      <c r="O421" s="566"/>
      <c r="P421" s="566"/>
      <c r="Q421" s="566"/>
      <c r="R421" s="566"/>
      <c r="S421" s="566"/>
      <c r="T421" s="566"/>
      <c r="U421" s="566"/>
      <c r="V421" s="566"/>
      <c r="W421" s="566"/>
      <c r="X421" s="566"/>
      <c r="Y421" s="566"/>
      <c r="Z421" s="502">
        <f t="shared" si="204"/>
        <v>0</v>
      </c>
      <c r="AA421" s="502">
        <f t="shared" si="205"/>
        <v>0</v>
      </c>
      <c r="AB421" s="566"/>
      <c r="AC421" s="566"/>
      <c r="AD421" s="566"/>
      <c r="AE421" s="566"/>
      <c r="AF421" s="566"/>
      <c r="AG421" s="566"/>
      <c r="AH421" s="566"/>
      <c r="AI421" s="566"/>
      <c r="AJ421" s="493">
        <f t="shared" ref="AJ421:AJ425" si="207">SUM(D421:AA421)</f>
        <v>0</v>
      </c>
      <c r="AK421" s="483"/>
      <c r="AL421" s="1048"/>
      <c r="AM421" s="31" t="str">
        <f>CONCATENATE(IF(D420&gt;0," * F01-12 for Age "&amp;D407&amp;" "&amp;D408&amp;" has a value greater than 0"&amp;CHAR(10),""),IF(E420&gt;0," * F01-12 for Age "&amp;D407&amp;" "&amp;E408&amp;" has a value greater than 0"&amp;CHAR(10),""),IF(D421&gt;0," * F01-13 for Age "&amp;D407&amp;" "&amp;D408&amp;" has a value greater than 0"&amp;CHAR(10),""),IF(E421&gt;0," * F01-13 for Age "&amp;D407&amp;" "&amp;E408&amp;" has a value greater than 0"&amp;CHAR(10),""),IF(D483&gt;0," * F01-14 for Age "&amp;D407&amp;" "&amp;D408&amp;" has a value greater than 0"&amp;CHAR(10),""),IF(E483&gt;0," * F01-14 for Age "&amp;D407&amp;" "&amp;E408&amp;" has a value greater than 0"&amp;CHAR(10),""),IF(D484&gt;0," * F01-15 for Age "&amp;D407&amp;" "&amp;D408&amp;" has a value greater than 0"&amp;CHAR(10),""),IF(E484&gt;0," * F01-15 for Age "&amp;D407&amp;" "&amp;E408&amp;" has a value greater than 0"&amp;CHAR(10),""),IF(D489&gt;0," * F01-20 for Age "&amp;D407&amp;" "&amp;D408&amp;" has a value greater than 0"&amp;CHAR(10),""),IF(E489&gt;0," * F01-20 for Age "&amp;D407&amp;" "&amp;E408&amp;" has a value greater than 0"&amp;CHAR(10),""),IF(D490&gt;0," * F01-21 for Age "&amp;D407&amp;" "&amp;D408&amp;" has a value greater than 0"&amp;CHAR(10),""),IF(E490&gt;0," * F01-21 for Age "&amp;D407&amp;" "&amp;E408&amp;" has a value greater than 0"&amp;CHAR(10),""),IF(D491&gt;0," * F01-22 for Age "&amp;D407&amp;" "&amp;D408&amp;" has a value greater than 0"&amp;CHAR(10),""),IF(E491&gt;0," * F01-22 for Age "&amp;D407&amp;" "&amp;E408&amp;" has a value greater than 0"&amp;CHAR(10),""),IF(D492&gt;0," * F01-23 for Age "&amp;D407&amp;" "&amp;D408&amp;" has a value greater than 0"&amp;CHAR(10),""),IF(E492&gt;0," * F01-23 for Age "&amp;D407&amp;" "&amp;E408&amp;" has a value greater than 0"&amp;CHAR(10),""),"")</f>
        <v/>
      </c>
      <c r="AN421" s="846"/>
      <c r="AO421" s="13">
        <v>33</v>
      </c>
      <c r="AP421" s="81"/>
      <c r="AQ421" s="82"/>
    </row>
    <row r="422" spans="1:43" s="83" customFormat="1" ht="27" thickBot="1" x14ac:dyDescent="0.45">
      <c r="A422" s="998" t="s">
        <v>13</v>
      </c>
      <c r="B422" s="775" t="s">
        <v>150</v>
      </c>
      <c r="C422" s="779" t="s">
        <v>1122</v>
      </c>
      <c r="D422" s="762"/>
      <c r="E422" s="790"/>
      <c r="F422" s="801">
        <f t="shared" ref="F422:AA422" si="208">F34</f>
        <v>0</v>
      </c>
      <c r="G422" s="500">
        <f t="shared" si="208"/>
        <v>0</v>
      </c>
      <c r="H422" s="500">
        <f t="shared" si="208"/>
        <v>0</v>
      </c>
      <c r="I422" s="500">
        <f t="shared" si="208"/>
        <v>0</v>
      </c>
      <c r="J422" s="500">
        <f t="shared" si="208"/>
        <v>0</v>
      </c>
      <c r="K422" s="500">
        <f t="shared" si="208"/>
        <v>0</v>
      </c>
      <c r="L422" s="500">
        <f t="shared" si="208"/>
        <v>0</v>
      </c>
      <c r="M422" s="500">
        <f t="shared" si="208"/>
        <v>0</v>
      </c>
      <c r="N422" s="500">
        <f t="shared" si="208"/>
        <v>0</v>
      </c>
      <c r="O422" s="500">
        <f t="shared" si="208"/>
        <v>0</v>
      </c>
      <c r="P422" s="500">
        <f t="shared" si="208"/>
        <v>0</v>
      </c>
      <c r="Q422" s="500">
        <f t="shared" si="208"/>
        <v>0</v>
      </c>
      <c r="R422" s="500">
        <f t="shared" si="208"/>
        <v>0</v>
      </c>
      <c r="S422" s="500">
        <f t="shared" si="208"/>
        <v>0</v>
      </c>
      <c r="T422" s="500">
        <f t="shared" si="208"/>
        <v>0</v>
      </c>
      <c r="U422" s="500">
        <f t="shared" si="208"/>
        <v>0</v>
      </c>
      <c r="V422" s="500">
        <f t="shared" si="208"/>
        <v>0</v>
      </c>
      <c r="W422" s="500">
        <f t="shared" si="208"/>
        <v>0</v>
      </c>
      <c r="X422" s="500">
        <f t="shared" si="208"/>
        <v>0</v>
      </c>
      <c r="Y422" s="500">
        <f t="shared" si="208"/>
        <v>0</v>
      </c>
      <c r="Z422" s="500">
        <f t="shared" si="208"/>
        <v>0</v>
      </c>
      <c r="AA422" s="500">
        <f t="shared" si="208"/>
        <v>0</v>
      </c>
      <c r="AB422" s="500">
        <f t="shared" ref="AB422:AI422" si="209">AB34</f>
        <v>0</v>
      </c>
      <c r="AC422" s="500">
        <f t="shared" si="209"/>
        <v>0</v>
      </c>
      <c r="AD422" s="500">
        <f t="shared" si="209"/>
        <v>0</v>
      </c>
      <c r="AE422" s="500">
        <f t="shared" si="209"/>
        <v>0</v>
      </c>
      <c r="AF422" s="500">
        <f t="shared" si="209"/>
        <v>0</v>
      </c>
      <c r="AG422" s="500">
        <f t="shared" si="209"/>
        <v>0</v>
      </c>
      <c r="AH422" s="500">
        <f t="shared" si="209"/>
        <v>0</v>
      </c>
      <c r="AI422" s="500">
        <f t="shared" si="209"/>
        <v>0</v>
      </c>
      <c r="AJ422" s="490">
        <f t="shared" si="207"/>
        <v>0</v>
      </c>
      <c r="AK422" s="562" t="str">
        <f>CONCATENATE(IF((D423+D424+D425+D426)&lt;&gt;D422," * "&amp;$A422&amp;" , "&amp;$B423&amp;" plus "&amp;$B424&amp;" plus "&amp;$B425&amp;" plus "&amp;$B426&amp;" For age "&amp;$D$20&amp;" "&amp;$D$21&amp;" should be equal to "&amp;$B422&amp;""&amp;CHAR(10),""),IF((E423+E424+E425+E426)&lt;&gt;E422," * "&amp;$A422&amp;" , "&amp;$B423&amp;" plus "&amp;$B424&amp;" plus "&amp;$B425&amp;" plus "&amp;$B426&amp;" For age "&amp;$D$20&amp;" "&amp;$E$21&amp;" should be equal to "&amp;$B422&amp;""&amp;CHAR(10),""),IF((F423+F424+F425+F426)&lt;&gt;F422," * "&amp;$A422&amp;" , "&amp;$B423&amp;" plus "&amp;$B424&amp;" plus "&amp;$B425&amp;" plus "&amp;$B426&amp;" For age "&amp;$F$20&amp;" "&amp;$F$21&amp;" should be equal to "&amp;$B422&amp;""&amp;CHAR(10),""),IF((G423+G424+G425+G426)&lt;&gt;G422," * "&amp;$A422&amp;" , "&amp;$B423&amp;" plus "&amp;$B424&amp;" plus "&amp;$B425&amp;" plus "&amp;$B426&amp;" For age "&amp;$F$20&amp;" "&amp;$G$21&amp;" should be equal to "&amp;$B422&amp;""&amp;CHAR(10),""),IF((H423+H424+H425+H426)&lt;&gt;H422," * "&amp;$A422&amp;" , "&amp;$B423&amp;" plus "&amp;$B424&amp;" plus "&amp;$B425&amp;" plus "&amp;$B426&amp;" For age "&amp;$H$20&amp;" "&amp;$H$21&amp;" should be equal to "&amp;$B422&amp;""&amp;CHAR(10),""),IF((I423+I424+I425+I426)&lt;&gt;I422," * "&amp;$A422&amp;" , "&amp;$B423&amp;" plus "&amp;$B424&amp;" plus "&amp;$B425&amp;" plus "&amp;$B426&amp;" For age "&amp;$H$20&amp;" "&amp;$I$21&amp;" should be equal to "&amp;$B422&amp;""&amp;CHAR(10),""),IF((J423+J424+J425+J426)&lt;&gt;J422," * "&amp;$A422&amp;" , "&amp;$B423&amp;" plus "&amp;$B424&amp;" plus "&amp;$B425&amp;" plus "&amp;$B426&amp;" For age "&amp;$J$20&amp;" "&amp;$J$21&amp;" should be equal to "&amp;$B422&amp;""&amp;CHAR(10),""),IF((K423+K424+K425+K426)&lt;&gt;K422," * "&amp;$A422&amp;" , "&amp;$B423&amp;" plus "&amp;$B424&amp;" plus "&amp;$B425&amp;" plus "&amp;$B426&amp;" For age "&amp;$J$20&amp;" "&amp;$K$21&amp;" should be equal to "&amp;$B422&amp;""&amp;CHAR(10),""),IF((L423+L424+L425+L426)&lt;&gt;L422," * "&amp;$A422&amp;" , "&amp;$B423&amp;" plus "&amp;$B424&amp;" plus "&amp;$B425&amp;" plus "&amp;$B426&amp;" For age "&amp;$L$20&amp;" "&amp;$L$21&amp;" should be equal to "&amp;$B422&amp;""&amp;CHAR(10),""),IF((M423+M424+M425+M426)&lt;&gt;M422," * "&amp;$A422&amp;" , "&amp;$B423&amp;" plus "&amp;$B424&amp;" plus "&amp;$B425&amp;" plus "&amp;$B426&amp;" For age "&amp;$L$20&amp;" "&amp;$M$21&amp;" should be equal to "&amp;$B422&amp;""&amp;CHAR(10),""),IF((N423+N424+N425+N426)&lt;&gt;N422," * "&amp;$A422&amp;" , "&amp;$B423&amp;" plus "&amp;$B424&amp;" plus "&amp;$B425&amp;" plus "&amp;$B426&amp;" For age "&amp;$N$20&amp;" "&amp;$N$21&amp;" should be equal to "&amp;$B422&amp;""&amp;CHAR(10),""),IF((O423+O424+O425+O426)&lt;&gt;O422," * "&amp;$A422&amp;" , "&amp;$B423&amp;" plus "&amp;$B424&amp;" plus "&amp;$B425&amp;" plus "&amp;$B426&amp;" For age "&amp;$N$20&amp;" "&amp;$O$21&amp;" should be equal to "&amp;$B422&amp;""&amp;CHAR(10),""),IF((P423+P424+P425+P426)&lt;&gt;P422," * "&amp;$A422&amp;" , "&amp;$B423&amp;" plus "&amp;$B424&amp;" plus "&amp;$B425&amp;" plus "&amp;$B426&amp;" For age "&amp;$P$20&amp;" "&amp;$P$21&amp;" should be equal to "&amp;$B422&amp;""&amp;CHAR(10),""),IF((Q423+Q424+Q425+Q426)&lt;&gt;Q422," * "&amp;$A422&amp;" , "&amp;$B423&amp;" plus "&amp;$B424&amp;" plus "&amp;$B425&amp;" plus "&amp;$B426&amp;" For age "&amp;$P$20&amp;" "&amp;$Q$21&amp;" should be equal to "&amp;$B422&amp;""&amp;CHAR(10),""),IF((R423+R424+R425+R426)&lt;&gt;R422," * "&amp;$A422&amp;" , "&amp;$B423&amp;" plus "&amp;$B424&amp;" plus "&amp;$B425&amp;" plus "&amp;$B426&amp;" For age "&amp;$R$20&amp;" "&amp;$R$21&amp;" should be equal to "&amp;$B422&amp;""&amp;CHAR(10),""),IF((S423+S424+S425+S426)&lt;&gt;S422," * "&amp;$A422&amp;" , "&amp;$B423&amp;" plus "&amp;$B424&amp;" plus "&amp;$B425&amp;" plus "&amp;$B426&amp;" For age "&amp;$R$20&amp;" "&amp;$S$21&amp;" should be equal to "&amp;$B422&amp;""&amp;CHAR(10),""),IF((T423+T424+T425+T426)&lt;&gt;T422," * "&amp;$A422&amp;" , "&amp;$B423&amp;" plus "&amp;$B424&amp;" plus "&amp;$B425&amp;" plus "&amp;$B426&amp;" For age "&amp;$T$20&amp;" "&amp;$T$21&amp;" should be equal to "&amp;$B422&amp;""&amp;CHAR(10),""),IF((U423+U424+U425+U426)&lt;&gt;U422," * "&amp;$A422&amp;" , "&amp;$B423&amp;" plus "&amp;$B424&amp;" plus "&amp;$B425&amp;" plus "&amp;$B426&amp;" For age "&amp;$T$20&amp;" "&amp;$U$21&amp;" should be equal to "&amp;$B422&amp;""&amp;CHAR(10),""),IF((V423+V424+V425+V426)&lt;&gt;V422," * "&amp;$A422&amp;" , "&amp;$B423&amp;" plus "&amp;$B424&amp;" plus "&amp;$B425&amp;" plus "&amp;$B426&amp;" For age "&amp;$V$20&amp;" "&amp;$V$21&amp;" should be equal to "&amp;$B422&amp;""&amp;CHAR(10),""),IF((W423+W424+W425+W426)&lt;&gt;W422," * "&amp;$A422&amp;" , "&amp;$B423&amp;" plus "&amp;$B424&amp;" plus "&amp;$B425&amp;" plus "&amp;$B426&amp;" For age "&amp;$V$20&amp;" "&amp;$W$21&amp;" should be equal to "&amp;$B422&amp;""&amp;CHAR(10),""),IF((X423+X424+X425+X426)&lt;&gt;X422," * "&amp;$A422&amp;" , "&amp;$B423&amp;" plus "&amp;$B424&amp;" plus "&amp;$B425&amp;" plus "&amp;$B426&amp;" For age "&amp;$X$20&amp;" "&amp;$X$21&amp;" should be equal to "&amp;$B422&amp;""&amp;CHAR(10),""),IF((Y423+Y424+Y425+Y426)&lt;&gt;Y422," * "&amp;$A422&amp;" , "&amp;$B423&amp;" plus "&amp;$B424&amp;" plus "&amp;$B425&amp;" plus "&amp;$B426&amp;" For age "&amp;$X$20&amp;" "&amp;$Y$21&amp;" should be equal to "&amp;$B422&amp;""&amp;CHAR(10),""),IF((Z423+Z424+Z425+Z426)&lt;&gt;Z422," * "&amp;$A422&amp;" , "&amp;$B423&amp;" plus "&amp;$B424&amp;" plus "&amp;$B425&amp;" plus "&amp;$B426&amp;" For age "&amp;$Z$20&amp;" "&amp;$Z$21&amp;" should be equal to "&amp;$B422&amp;""&amp;CHAR(10),""),IF((AA423+AA424+AA425+AA426)&lt;&gt;AA422," * "&amp;$A422&amp;" , "&amp;$B423&amp;" plus "&amp;$B424&amp;" plus "&amp;$B425&amp;" plus "&amp;$B426&amp;" For age "&amp;$Z$20&amp;" "&amp;$AA$21&amp;" should be equal to "&amp;$B422&amp;""&amp;CHAR(10),""))</f>
        <v/>
      </c>
      <c r="AL422" s="1048"/>
      <c r="AM422" s="31"/>
      <c r="AN422" s="846"/>
      <c r="AO422" s="13">
        <v>31</v>
      </c>
      <c r="AP422" s="81"/>
      <c r="AQ422" s="82"/>
    </row>
    <row r="423" spans="1:43" s="83" customFormat="1" ht="26.25" x14ac:dyDescent="0.4">
      <c r="A423" s="999"/>
      <c r="B423" s="776" t="s">
        <v>1136</v>
      </c>
      <c r="C423" s="780" t="s">
        <v>1123</v>
      </c>
      <c r="D423" s="644"/>
      <c r="E423" s="791"/>
      <c r="F423" s="567"/>
      <c r="G423" s="564"/>
      <c r="H423" s="564"/>
      <c r="I423" s="564"/>
      <c r="J423" s="564"/>
      <c r="K423" s="564"/>
      <c r="L423" s="564"/>
      <c r="M423" s="564"/>
      <c r="N423" s="564"/>
      <c r="O423" s="564"/>
      <c r="P423" s="564"/>
      <c r="Q423" s="564"/>
      <c r="R423" s="564"/>
      <c r="S423" s="564"/>
      <c r="T423" s="564"/>
      <c r="U423" s="564"/>
      <c r="V423" s="564"/>
      <c r="W423" s="564"/>
      <c r="X423" s="564"/>
      <c r="Y423" s="564"/>
      <c r="Z423" s="502">
        <f t="shared" ref="Z423:Z426" si="210">SUM(AB423,AD423,AF423,AH423)</f>
        <v>0</v>
      </c>
      <c r="AA423" s="502">
        <f t="shared" ref="AA423:AA426" si="211">SUM(AC423,AE423,AG423,AI423)</f>
        <v>0</v>
      </c>
      <c r="AB423" s="564"/>
      <c r="AC423" s="564"/>
      <c r="AD423" s="564"/>
      <c r="AE423" s="564"/>
      <c r="AF423" s="564"/>
      <c r="AG423" s="564"/>
      <c r="AH423" s="564"/>
      <c r="AI423" s="564"/>
      <c r="AJ423" s="491">
        <f t="shared" si="207"/>
        <v>0</v>
      </c>
      <c r="AK423" s="1111" t="str">
        <f>CONCATENATE(IF(D424&gt;D423," * Positive F01-13 for Age "&amp;D410&amp;" "&amp;D411&amp;" is more than Tested F01-12"&amp;CHAR(10),""),IF(E424&gt;E423," * Positive F01-13 for Age "&amp;D410&amp;" "&amp;E411&amp;" is more than Tested F01-12"&amp;CHAR(10),""),IF(F424&gt;F423," * Positive F01-13 for Age "&amp;F410&amp;" "&amp;F411&amp;" is more than Tested F01-12"&amp;CHAR(10),""),IF(G424&gt;G423," * Positive F01-13 for Age "&amp;F410&amp;" "&amp;G411&amp;" is more than Tested F01-12"&amp;CHAR(10),""),IF(H424&gt;H423," * Positive F01-13 for Age "&amp;H410&amp;" "&amp;H411&amp;" is more than Tested F01-12"&amp;CHAR(10),""),IF(I424&gt;I423," * Positive F01-13 for Age "&amp;H410&amp;" "&amp;I411&amp;" is more than Tested F01-12"&amp;CHAR(10),""),IF(J424&gt;J423," * Positive F01-13 for Age "&amp;J410&amp;" "&amp;J411&amp;" is more than Tested F01-12"&amp;CHAR(10),""),IF(K424&gt;K423," * Positive F01-13 for Age "&amp;J410&amp;" "&amp;K411&amp;" is more than Tested F01-12"&amp;CHAR(10),""),IF(L424&gt;L423," * Positive F01-13 for Age "&amp;L410&amp;" "&amp;L411&amp;" is more than Tested F01-12"&amp;CHAR(10),""),IF(M424&gt;M423," * Positive F01-13 for Age "&amp;L410&amp;" "&amp;M411&amp;" is more than Tested F01-12"&amp;CHAR(10),""),IF(N424&gt;N423," * Positive F01-13 for Age "&amp;N410&amp;" "&amp;N411&amp;" is more than Tested F01-12"&amp;CHAR(10),""),IF(O424&gt;O423," * Positive F01-13 for Age "&amp;N410&amp;" "&amp;O411&amp;" is more than Tested F01-12"&amp;CHAR(10),""),IF(P424&gt;P423," * Positive F01-13 for Age "&amp;P410&amp;" "&amp;P411&amp;" is more than Tested F01-12"&amp;CHAR(10),""),IF(Q424&gt;Q423," * Positive F01-13 for Age "&amp;P410&amp;" "&amp;Q411&amp;" is more than Tested F01-12"&amp;CHAR(10),""),IF(R424&gt;R423," * Positive F01-13 for Age "&amp;R410&amp;" "&amp;R411&amp;" is more than Tested F01-12"&amp;CHAR(10),""),IF(S424&gt;S423," * Positive F01-13 for Age "&amp;R410&amp;" "&amp;S411&amp;" is more than Tested F01-12"&amp;CHAR(10),""),IF(T424&gt;T423," * Positive F01-13 for Age "&amp;T410&amp;" "&amp;T411&amp;" is more than Tested F01-12"&amp;CHAR(10),""),IF(U424&gt;U423," * Positive F01-13 for Age "&amp;T410&amp;" "&amp;U411&amp;" is more than Tested F01-12"&amp;CHAR(10),""),IF(V424&gt;V423," * Positive F01-13 for Age "&amp;V410&amp;" "&amp;V411&amp;" is more than Tested F01-12"&amp;CHAR(10),""),IF(W424&gt;W423," * Positive F01-13 for Age "&amp;V410&amp;" "&amp;W411&amp;" is more than Tested F01-12"&amp;CHAR(10),""),IF(X424&gt;X423," * Positive F01-13 for Age "&amp;X410&amp;" "&amp;X411&amp;" is more than Tested F01-12"&amp;CHAR(10),""),IF(Y424&gt;Y423," * Positive F01-13 for Age "&amp;X410&amp;" "&amp;Y411&amp;" is more than Tested F01-12"&amp;CHAR(10),""),IF(Z424&gt;Z423," * Positive F01-13 for Age "&amp;Z410&amp;" "&amp;Z411&amp;" is more than Tested F01-12"&amp;CHAR(10),""),IF(AA424&gt;AA423," * Positive F01-13 for Age "&amp;Z410&amp;" "&amp;AA411&amp;" is more than Tested F01-12"&amp;CHAR(10),""))</f>
        <v/>
      </c>
      <c r="AL423" s="1048"/>
      <c r="AM423" s="31" t="str">
        <f>CONCATENATE(IF(AND(IFERROR((AJ424*100)/AJ423,0)&gt;10,AJ424&gt;5)," * This facility has a high positivity rate for Index Testing. Kindly confirm if this is the true reflection"&amp;CHAR(10),""),"")</f>
        <v/>
      </c>
      <c r="AN423" s="846"/>
      <c r="AO423" s="13">
        <v>32</v>
      </c>
      <c r="AP423" s="81"/>
      <c r="AQ423" s="82"/>
    </row>
    <row r="424" spans="1:43" s="83" customFormat="1" ht="26.25" x14ac:dyDescent="0.4">
      <c r="A424" s="999"/>
      <c r="B424" s="776" t="s">
        <v>1117</v>
      </c>
      <c r="C424" s="780" t="s">
        <v>1124</v>
      </c>
      <c r="D424" s="764"/>
      <c r="E424" s="792"/>
      <c r="F424" s="568"/>
      <c r="G424" s="494"/>
      <c r="H424" s="494"/>
      <c r="I424" s="494"/>
      <c r="J424" s="494"/>
      <c r="K424" s="494"/>
      <c r="L424" s="494"/>
      <c r="M424" s="494"/>
      <c r="N424" s="494"/>
      <c r="O424" s="494"/>
      <c r="P424" s="494"/>
      <c r="Q424" s="494"/>
      <c r="R424" s="494"/>
      <c r="S424" s="494"/>
      <c r="T424" s="494"/>
      <c r="U424" s="494"/>
      <c r="V424" s="494"/>
      <c r="W424" s="494"/>
      <c r="X424" s="494"/>
      <c r="Y424" s="494"/>
      <c r="Z424" s="502">
        <f t="shared" si="210"/>
        <v>0</v>
      </c>
      <c r="AA424" s="502">
        <f t="shared" si="211"/>
        <v>0</v>
      </c>
      <c r="AB424" s="494"/>
      <c r="AC424" s="494"/>
      <c r="AD424" s="494"/>
      <c r="AE424" s="494"/>
      <c r="AF424" s="494"/>
      <c r="AG424" s="494"/>
      <c r="AH424" s="494"/>
      <c r="AI424" s="494"/>
      <c r="AJ424" s="492">
        <f t="shared" si="207"/>
        <v>0</v>
      </c>
      <c r="AK424" s="1111"/>
      <c r="AL424" s="1048"/>
      <c r="AM424" s="31" t="e">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0"&amp;CHAR(10),""),IF(#REF!&gt;0," * F01-14 for Age "&amp;D410&amp;" "&amp;D411&amp;" has a value greater than 0"&amp;CHAR(10),""),IF(#REF!&gt;0,"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#REF!</v>
      </c>
      <c r="AN424" s="846"/>
      <c r="AO424" s="13">
        <v>33</v>
      </c>
      <c r="AP424" s="81"/>
      <c r="AQ424" s="82"/>
    </row>
    <row r="425" spans="1:43" s="83" customFormat="1" ht="26.25" x14ac:dyDescent="0.4">
      <c r="A425" s="999"/>
      <c r="B425" s="776" t="s">
        <v>1119</v>
      </c>
      <c r="C425" s="780" t="s">
        <v>1125</v>
      </c>
      <c r="D425" s="764"/>
      <c r="E425" s="792"/>
      <c r="F425" s="569"/>
      <c r="G425" s="501"/>
      <c r="H425" s="501"/>
      <c r="I425" s="501"/>
      <c r="J425" s="501"/>
      <c r="K425" s="501"/>
      <c r="L425" s="501"/>
      <c r="M425" s="501"/>
      <c r="N425" s="501"/>
      <c r="O425" s="501"/>
      <c r="P425" s="501"/>
      <c r="Q425" s="501"/>
      <c r="R425" s="501"/>
      <c r="S425" s="501"/>
      <c r="T425" s="501"/>
      <c r="U425" s="501"/>
      <c r="V425" s="501"/>
      <c r="W425" s="501"/>
      <c r="X425" s="501"/>
      <c r="Y425" s="501"/>
      <c r="Z425" s="502">
        <f t="shared" si="210"/>
        <v>0</v>
      </c>
      <c r="AA425" s="502">
        <f t="shared" si="211"/>
        <v>0</v>
      </c>
      <c r="AB425" s="501"/>
      <c r="AC425" s="501"/>
      <c r="AD425" s="501"/>
      <c r="AE425" s="501"/>
      <c r="AF425" s="501"/>
      <c r="AG425" s="501"/>
      <c r="AH425" s="501"/>
      <c r="AI425" s="501"/>
      <c r="AJ425" s="492">
        <f t="shared" si="207"/>
        <v>0</v>
      </c>
      <c r="AK425" s="483"/>
      <c r="AL425" s="1048"/>
      <c r="AM425" s="31" t="str">
        <f>CONCATENATE(IF(D424&gt;0," * F01-12 for Age "&amp;D411&amp;" "&amp;D412&amp;" has a value greater than 0"&amp;CHAR(10),""),IF(E424&gt;0," * F01-12 for Age "&amp;D411&amp;" "&amp;E412&amp;" has a value greater than 0"&amp;CHAR(10),""),IF(D425&gt;0," * F01-13 for Age "&amp;D411&amp;" "&amp;D412&amp;" has a value greater than 0"&amp;CHAR(10),""),IF(E425&gt;0," * F01-13 for Age "&amp;D411&amp;" "&amp;E412&amp;" has a value greater than 0"&amp;CHAR(10),""),IF(D487&gt;0," * F01-14 for Age "&amp;D411&amp;" "&amp;D412&amp;" has a value greater than 0"&amp;CHAR(10),""),IF(E487&gt;0," * F01-14 for Age "&amp;D411&amp;" "&amp;E412&amp;" has a value greater than 0"&amp;CHAR(10),""),IF(D488&gt;0," * F01-15 for Age "&amp;D411&amp;" "&amp;D412&amp;" has a value greater than 0"&amp;CHAR(10),""),IF(E488&gt;0," * F01-15 for Age "&amp;D411&amp;" "&amp;E412&amp;" has a value greater than 0"&amp;CHAR(10),""),IF(D493&gt;0," * F01-20 for Age "&amp;D411&amp;" "&amp;D412&amp;" has a value greater than 0"&amp;CHAR(10),""),IF(E493&gt;0," * F01-20 for Age "&amp;D411&amp;" "&amp;E412&amp;" has a value greater than 0"&amp;CHAR(10),""),IF(D494&gt;0," * F01-21 for Age "&amp;D411&amp;" "&amp;D412&amp;" has a value greater than 0"&amp;CHAR(10),""),IF(E494&gt;0," * F01-21 for Age "&amp;D411&amp;" "&amp;E412&amp;" has a value greater than 0"&amp;CHAR(10),""),IF(D495&gt;0," * F01-22 for Age "&amp;D411&amp;" "&amp;D412&amp;" has a value greater than 0"&amp;CHAR(10),""),IF(E495&gt;0," * F01-22 for Age "&amp;D411&amp;" "&amp;E412&amp;" has a value greater than 0"&amp;CHAR(10),""),IF(D496&gt;0," * F01-23 for Age "&amp;D411&amp;" "&amp;D412&amp;" has a value greater than 0"&amp;CHAR(10),""),IF(E496&gt;0," * F01-23 for Age "&amp;D411&amp;" "&amp;E412&amp;" has a value greater than 0"&amp;CHAR(10),""),"")</f>
        <v/>
      </c>
      <c r="AN425" s="846"/>
      <c r="AO425" s="13">
        <v>33</v>
      </c>
      <c r="AP425" s="81"/>
      <c r="AQ425" s="82"/>
    </row>
    <row r="426" spans="1:43" s="83" customFormat="1" ht="27" thickBot="1" x14ac:dyDescent="0.45">
      <c r="A426" s="1000"/>
      <c r="B426" s="777" t="s">
        <v>1121</v>
      </c>
      <c r="C426" s="781" t="s">
        <v>1126</v>
      </c>
      <c r="D426" s="765"/>
      <c r="E426" s="793"/>
      <c r="F426" s="570"/>
      <c r="G426" s="566"/>
      <c r="H426" s="566"/>
      <c r="I426" s="566"/>
      <c r="J426" s="566"/>
      <c r="K426" s="566"/>
      <c r="L426" s="566"/>
      <c r="M426" s="566"/>
      <c r="N426" s="566"/>
      <c r="O426" s="566"/>
      <c r="P426" s="566"/>
      <c r="Q426" s="566"/>
      <c r="R426" s="566"/>
      <c r="S426" s="566"/>
      <c r="T426" s="566"/>
      <c r="U426" s="566"/>
      <c r="V426" s="566"/>
      <c r="W426" s="566"/>
      <c r="X426" s="566"/>
      <c r="Y426" s="566"/>
      <c r="Z426" s="502">
        <f t="shared" si="210"/>
        <v>0</v>
      </c>
      <c r="AA426" s="502">
        <f t="shared" si="211"/>
        <v>0</v>
      </c>
      <c r="AB426" s="566"/>
      <c r="AC426" s="566"/>
      <c r="AD426" s="566"/>
      <c r="AE426" s="566"/>
      <c r="AF426" s="566"/>
      <c r="AG426" s="566"/>
      <c r="AH426" s="566"/>
      <c r="AI426" s="566"/>
      <c r="AJ426" s="493">
        <f t="shared" ref="AJ426:AJ435" si="212">SUM(D426:AA426)</f>
        <v>0</v>
      </c>
      <c r="AK426" s="483"/>
      <c r="AL426" s="1048"/>
      <c r="AM426" s="31" t="str">
        <f>CONCATENATE(IF(D425&gt;0," * F01-12 for Age "&amp;D412&amp;" "&amp;D413&amp;" has a value greater than 0"&amp;CHAR(10),""),IF(E425&gt;0," * F01-12 for Age "&amp;D412&amp;" "&amp;E413&amp;" has a value greater than 0"&amp;CHAR(10),""),IF(D426&gt;0," * F01-13 for Age "&amp;D412&amp;" "&amp;D413&amp;" has a value greater than 0"&amp;CHAR(10),""),IF(E426&gt;0," * F01-13 for Age "&amp;D412&amp;" "&amp;E413&amp;" has a value greater than 0"&amp;CHAR(10),""),IF(D488&gt;0," * F01-14 for Age "&amp;D412&amp;" "&amp;D413&amp;" has a value greater than 0"&amp;CHAR(10),""),IF(E488&gt;0," * F01-14 for Age "&amp;D412&amp;" "&amp;E413&amp;" has a value greater than 0"&amp;CHAR(10),""),IF(D489&gt;0," * F01-15 for Age "&amp;D412&amp;" "&amp;D413&amp;" has a value greater than 0"&amp;CHAR(10),""),IF(E489&gt;0," * F01-15 for Age "&amp;D412&amp;" "&amp;E413&amp;" has a value greater than 0"&amp;CHAR(10),""),IF(D494&gt;0," * F01-20 for Age "&amp;D412&amp;" "&amp;D413&amp;" has a value greater than 0"&amp;CHAR(10),""),IF(E494&gt;0," * F01-20 for Age "&amp;D412&amp;" "&amp;E413&amp;" has a value greater than 0"&amp;CHAR(10),""),IF(D495&gt;0," * F01-21 for Age "&amp;D412&amp;" "&amp;D413&amp;" has a value greater than 0"&amp;CHAR(10),""),IF(E495&gt;0," * F01-21 for Age "&amp;D412&amp;" "&amp;E413&amp;" has a value greater than 0"&amp;CHAR(10),""),IF(D496&gt;0," * F01-22 for Age "&amp;D412&amp;" "&amp;D413&amp;" has a value greater than 0"&amp;CHAR(10),""),IF(E496&gt;0," * F01-22 for Age "&amp;D412&amp;" "&amp;E413&amp;" has a value greater than 0"&amp;CHAR(10),""),IF(D497&gt;0," * F01-23 for Age "&amp;D412&amp;" "&amp;D413&amp;" has a value greater than 0"&amp;CHAR(10),""),IF(E497&gt;0," * F01-23 for Age "&amp;D412&amp;" "&amp;E413&amp;" has a value greater than 0"&amp;CHAR(10),""),"")</f>
        <v/>
      </c>
      <c r="AN426" s="846"/>
      <c r="AO426" s="13">
        <v>33</v>
      </c>
      <c r="AP426" s="81"/>
      <c r="AQ426" s="82"/>
    </row>
    <row r="427" spans="1:43" s="83" customFormat="1" ht="27" thickBot="1" x14ac:dyDescent="0.45">
      <c r="A427" s="998" t="s">
        <v>14</v>
      </c>
      <c r="B427" s="775" t="s">
        <v>150</v>
      </c>
      <c r="C427" s="779" t="s">
        <v>1127</v>
      </c>
      <c r="D427" s="762"/>
      <c r="E427" s="790"/>
      <c r="F427" s="801">
        <f t="shared" ref="F427:AA427" si="213">F36</f>
        <v>0</v>
      </c>
      <c r="G427" s="500">
        <f t="shared" si="213"/>
        <v>0</v>
      </c>
      <c r="H427" s="500">
        <f t="shared" si="213"/>
        <v>0</v>
      </c>
      <c r="I427" s="500">
        <f t="shared" si="213"/>
        <v>0</v>
      </c>
      <c r="J427" s="500">
        <f t="shared" si="213"/>
        <v>0</v>
      </c>
      <c r="K427" s="500">
        <f t="shared" si="213"/>
        <v>0</v>
      </c>
      <c r="L427" s="500">
        <f t="shared" si="213"/>
        <v>0</v>
      </c>
      <c r="M427" s="500">
        <f t="shared" si="213"/>
        <v>0</v>
      </c>
      <c r="N427" s="500">
        <f t="shared" si="213"/>
        <v>0</v>
      </c>
      <c r="O427" s="500">
        <f t="shared" si="213"/>
        <v>0</v>
      </c>
      <c r="P427" s="500">
        <f t="shared" si="213"/>
        <v>0</v>
      </c>
      <c r="Q427" s="500">
        <f t="shared" si="213"/>
        <v>0</v>
      </c>
      <c r="R427" s="500">
        <f t="shared" si="213"/>
        <v>0</v>
      </c>
      <c r="S427" s="500">
        <f t="shared" si="213"/>
        <v>0</v>
      </c>
      <c r="T427" s="500">
        <f t="shared" si="213"/>
        <v>0</v>
      </c>
      <c r="U427" s="500">
        <f t="shared" si="213"/>
        <v>0</v>
      </c>
      <c r="V427" s="500">
        <f t="shared" si="213"/>
        <v>0</v>
      </c>
      <c r="W427" s="500">
        <f t="shared" si="213"/>
        <v>0</v>
      </c>
      <c r="X427" s="500">
        <f t="shared" si="213"/>
        <v>0</v>
      </c>
      <c r="Y427" s="500">
        <f t="shared" si="213"/>
        <v>0</v>
      </c>
      <c r="Z427" s="500">
        <f t="shared" si="213"/>
        <v>0</v>
      </c>
      <c r="AA427" s="500">
        <f t="shared" si="213"/>
        <v>0</v>
      </c>
      <c r="AB427" s="500">
        <f t="shared" ref="AB427:AI427" si="214">AB36</f>
        <v>0</v>
      </c>
      <c r="AC427" s="500">
        <f t="shared" si="214"/>
        <v>0</v>
      </c>
      <c r="AD427" s="500">
        <f t="shared" si="214"/>
        <v>0</v>
      </c>
      <c r="AE427" s="500">
        <f t="shared" si="214"/>
        <v>0</v>
      </c>
      <c r="AF427" s="500">
        <f t="shared" si="214"/>
        <v>0</v>
      </c>
      <c r="AG427" s="500">
        <f t="shared" si="214"/>
        <v>0</v>
      </c>
      <c r="AH427" s="500">
        <f t="shared" si="214"/>
        <v>0</v>
      </c>
      <c r="AI427" s="500">
        <f t="shared" si="214"/>
        <v>0</v>
      </c>
      <c r="AJ427" s="490">
        <f t="shared" si="212"/>
        <v>0</v>
      </c>
      <c r="AK427" s="562" t="str">
        <f>CONCATENATE(IF((D428+D429+D430+D431)&lt;&gt;D427," * "&amp;$A427&amp;" , "&amp;$B428&amp;" plus "&amp;$B429&amp;" plus "&amp;$B430&amp;" plus "&amp;$B431&amp;" For age "&amp;$D$20&amp;" "&amp;$D$21&amp;" should be equal to "&amp;$B427&amp;""&amp;CHAR(10),""),IF((E428+E429+E430+E431)&lt;&gt;E427," * "&amp;$A427&amp;" , "&amp;$B428&amp;" plus "&amp;$B429&amp;" plus "&amp;$B430&amp;" plus "&amp;$B431&amp;" For age "&amp;$D$20&amp;" "&amp;$E$21&amp;" should be equal to "&amp;$B427&amp;""&amp;CHAR(10),""),IF((F428+F429+F430+F431)&lt;&gt;F427," * "&amp;$A427&amp;" , "&amp;$B428&amp;" plus "&amp;$B429&amp;" plus "&amp;$B430&amp;" plus "&amp;$B431&amp;" For age "&amp;$F$20&amp;" "&amp;$F$21&amp;" should be equal to "&amp;$B427&amp;""&amp;CHAR(10),""),IF((G428+G429+G430+G431)&lt;&gt;G427," * "&amp;$A427&amp;" , "&amp;$B428&amp;" plus "&amp;$B429&amp;" plus "&amp;$B430&amp;" plus "&amp;$B431&amp;" For age "&amp;$F$20&amp;" "&amp;$G$21&amp;" should be equal to "&amp;$B427&amp;""&amp;CHAR(10),""),IF((H428+H429+H430+H431)&lt;&gt;H427," * "&amp;$A427&amp;" , "&amp;$B428&amp;" plus "&amp;$B429&amp;" plus "&amp;$B430&amp;" plus "&amp;$B431&amp;" For age "&amp;$H$20&amp;" "&amp;$H$21&amp;" should be equal to "&amp;$B427&amp;""&amp;CHAR(10),""),IF((I428+I429+I430+I431)&lt;&gt;I427," * "&amp;$A427&amp;" , "&amp;$B428&amp;" plus "&amp;$B429&amp;" plus "&amp;$B430&amp;" plus "&amp;$B431&amp;" For age "&amp;$H$20&amp;" "&amp;$I$21&amp;" should be equal to "&amp;$B427&amp;""&amp;CHAR(10),""),IF((J428+J429+J430+J431)&lt;&gt;J427," * "&amp;$A427&amp;" , "&amp;$B428&amp;" plus "&amp;$B429&amp;" plus "&amp;$B430&amp;" plus "&amp;$B431&amp;" For age "&amp;$J$20&amp;" "&amp;$J$21&amp;" should be equal to "&amp;$B427&amp;""&amp;CHAR(10),""),IF((K428+K429+K430+K431)&lt;&gt;K427," * "&amp;$A427&amp;" , "&amp;$B428&amp;" plus "&amp;$B429&amp;" plus "&amp;$B430&amp;" plus "&amp;$B431&amp;" For age "&amp;$J$20&amp;" "&amp;$K$21&amp;" should be equal to "&amp;$B427&amp;""&amp;CHAR(10),""),IF((L428+L429+L430+L431)&lt;&gt;L427," * "&amp;$A427&amp;" , "&amp;$B428&amp;" plus "&amp;$B429&amp;" plus "&amp;$B430&amp;" plus "&amp;$B431&amp;" For age "&amp;$L$20&amp;" "&amp;$L$21&amp;" should be equal to "&amp;$B427&amp;""&amp;CHAR(10),""),IF((M428+M429+M430+M431)&lt;&gt;M427," * "&amp;$A427&amp;" , "&amp;$B428&amp;" plus "&amp;$B429&amp;" plus "&amp;$B430&amp;" plus "&amp;$B431&amp;" For age "&amp;$L$20&amp;" "&amp;$M$21&amp;" should be equal to "&amp;$B427&amp;""&amp;CHAR(10),""),IF((N428+N429+N430+N431)&lt;&gt;N427," * "&amp;$A427&amp;" , "&amp;$B428&amp;" plus "&amp;$B429&amp;" plus "&amp;$B430&amp;" plus "&amp;$B431&amp;" For age "&amp;$N$20&amp;" "&amp;$N$21&amp;" should be equal to "&amp;$B427&amp;""&amp;CHAR(10),""),IF((O428+O429+O430+O431)&lt;&gt;O427," * "&amp;$A427&amp;" , "&amp;$B428&amp;" plus "&amp;$B429&amp;" plus "&amp;$B430&amp;" plus "&amp;$B431&amp;" For age "&amp;$N$20&amp;" "&amp;$O$21&amp;" should be equal to "&amp;$B427&amp;""&amp;CHAR(10),""),IF((P428+P429+P430+P431)&lt;&gt;P427," * "&amp;$A427&amp;" , "&amp;$B428&amp;" plus "&amp;$B429&amp;" plus "&amp;$B430&amp;" plus "&amp;$B431&amp;" For age "&amp;$P$20&amp;" "&amp;$P$21&amp;" should be equal to "&amp;$B427&amp;""&amp;CHAR(10),""),IF((Q428+Q429+Q430+Q431)&lt;&gt;Q427," * "&amp;$A427&amp;" , "&amp;$B428&amp;" plus "&amp;$B429&amp;" plus "&amp;$B430&amp;" plus "&amp;$B431&amp;" For age "&amp;$P$20&amp;" "&amp;$Q$21&amp;" should be equal to "&amp;$B427&amp;""&amp;CHAR(10),""),IF((R428+R429+R430+R431)&lt;&gt;R427," * "&amp;$A427&amp;" , "&amp;$B428&amp;" plus "&amp;$B429&amp;" plus "&amp;$B430&amp;" plus "&amp;$B431&amp;" For age "&amp;$R$20&amp;" "&amp;$R$21&amp;" should be equal to "&amp;$B427&amp;""&amp;CHAR(10),""),IF((S428+S429+S430+S431)&lt;&gt;S427," * "&amp;$A427&amp;" , "&amp;$B428&amp;" plus "&amp;$B429&amp;" plus "&amp;$B430&amp;" plus "&amp;$B431&amp;" For age "&amp;$R$20&amp;" "&amp;$S$21&amp;" should be equal to "&amp;$B427&amp;""&amp;CHAR(10),""),IF((T428+T429+T430+T431)&lt;&gt;T427," * "&amp;$A427&amp;" , "&amp;$B428&amp;" plus "&amp;$B429&amp;" plus "&amp;$B430&amp;" plus "&amp;$B431&amp;" For age "&amp;$T$20&amp;" "&amp;$T$21&amp;" should be equal to "&amp;$B427&amp;""&amp;CHAR(10),""),IF((U428+U429+U430+U431)&lt;&gt;U427," * "&amp;$A427&amp;" , "&amp;$B428&amp;" plus "&amp;$B429&amp;" plus "&amp;$B430&amp;" plus "&amp;$B431&amp;" For age "&amp;$T$20&amp;" "&amp;$U$21&amp;" should be equal to "&amp;$B427&amp;""&amp;CHAR(10),""),IF((V428+V429+V430+V431)&lt;&gt;V427," * "&amp;$A427&amp;" , "&amp;$B428&amp;" plus "&amp;$B429&amp;" plus "&amp;$B430&amp;" plus "&amp;$B431&amp;" For age "&amp;$V$20&amp;" "&amp;$V$21&amp;" should be equal to "&amp;$B427&amp;""&amp;CHAR(10),""),IF((W428+W429+W430+W431)&lt;&gt;W427," * "&amp;$A427&amp;" , "&amp;$B428&amp;" plus "&amp;$B429&amp;" plus "&amp;$B430&amp;" plus "&amp;$B431&amp;" For age "&amp;$V$20&amp;" "&amp;$W$21&amp;" should be equal to "&amp;$B427&amp;""&amp;CHAR(10),""),IF((X428+X429+X430+X431)&lt;&gt;X427," * "&amp;$A427&amp;" , "&amp;$B428&amp;" plus "&amp;$B429&amp;" plus "&amp;$B430&amp;" plus "&amp;$B431&amp;" For age "&amp;$X$20&amp;" "&amp;$X$21&amp;" should be equal to "&amp;$B427&amp;""&amp;CHAR(10),""),IF((Y428+Y429+Y430+Y431)&lt;&gt;Y427," * "&amp;$A427&amp;" , "&amp;$B428&amp;" plus "&amp;$B429&amp;" plus "&amp;$B430&amp;" plus "&amp;$B431&amp;" For age "&amp;$X$20&amp;" "&amp;$Y$21&amp;" should be equal to "&amp;$B427&amp;""&amp;CHAR(10),""),IF((Z428+Z429+Z430+Z431)&lt;&gt;Z427," * "&amp;$A427&amp;" , "&amp;$B428&amp;" plus "&amp;$B429&amp;" plus "&amp;$B430&amp;" plus "&amp;$B431&amp;" For age "&amp;$Z$20&amp;" "&amp;$Z$21&amp;" should be equal to "&amp;$B427&amp;""&amp;CHAR(10),""),IF((AA428+AA429+AA430+AA431)&lt;&gt;AA427," * "&amp;$A427&amp;" , "&amp;$B428&amp;" plus "&amp;$B429&amp;" plus "&amp;$B430&amp;" plus "&amp;$B431&amp;" For age "&amp;$Z$20&amp;" "&amp;$AA$21&amp;" should be equal to "&amp;$B427&amp;""&amp;CHAR(10),""))</f>
        <v/>
      </c>
      <c r="AL427" s="1048"/>
      <c r="AM427" s="31"/>
      <c r="AN427" s="846"/>
      <c r="AO427" s="13">
        <v>31</v>
      </c>
      <c r="AP427" s="81"/>
      <c r="AQ427" s="82"/>
    </row>
    <row r="428" spans="1:43" s="83" customFormat="1" ht="26.25" x14ac:dyDescent="0.4">
      <c r="A428" s="999"/>
      <c r="B428" s="776" t="s">
        <v>1136</v>
      </c>
      <c r="C428" s="780" t="s">
        <v>1128</v>
      </c>
      <c r="D428" s="644"/>
      <c r="E428" s="791"/>
      <c r="F428" s="567"/>
      <c r="G428" s="564"/>
      <c r="H428" s="564"/>
      <c r="I428" s="564"/>
      <c r="J428" s="564"/>
      <c r="K428" s="564"/>
      <c r="L428" s="564"/>
      <c r="M428" s="564"/>
      <c r="N428" s="564"/>
      <c r="O428" s="564"/>
      <c r="P428" s="564"/>
      <c r="Q428" s="564"/>
      <c r="R428" s="564"/>
      <c r="S428" s="564"/>
      <c r="T428" s="564"/>
      <c r="U428" s="564"/>
      <c r="V428" s="564"/>
      <c r="W428" s="564"/>
      <c r="X428" s="564"/>
      <c r="Y428" s="564"/>
      <c r="Z428" s="502">
        <f t="shared" ref="Z428:Z431" si="215">SUM(AB428,AD428,AF428,AH428)</f>
        <v>0</v>
      </c>
      <c r="AA428" s="502">
        <f t="shared" ref="AA428:AA431" si="216">SUM(AC428,AE428,AG428,AI428)</f>
        <v>0</v>
      </c>
      <c r="AB428" s="564"/>
      <c r="AC428" s="564"/>
      <c r="AD428" s="564"/>
      <c r="AE428" s="564"/>
      <c r="AF428" s="564"/>
      <c r="AG428" s="564"/>
      <c r="AH428" s="564"/>
      <c r="AI428" s="564"/>
      <c r="AJ428" s="491">
        <f t="shared" si="212"/>
        <v>0</v>
      </c>
      <c r="AK428" s="1111" t="str">
        <f>CONCATENATE(IF(D429&gt;D428," * Positive F01-13 for Age "&amp;D415&amp;" "&amp;D416&amp;" is more than Tested F01-12"&amp;CHAR(10),""),IF(E429&gt;E428," * Positive F01-13 for Age "&amp;D415&amp;" "&amp;E416&amp;" is more than Tested F01-12"&amp;CHAR(10),""),IF(F429&gt;F428," * Positive F01-13 for Age "&amp;F415&amp;" "&amp;F416&amp;" is more than Tested F01-12"&amp;CHAR(10),""),IF(G429&gt;G428," * Positive F01-13 for Age "&amp;F415&amp;" "&amp;G416&amp;" is more than Tested F01-12"&amp;CHAR(10),""),IF(H429&gt;H428," * Positive F01-13 for Age "&amp;H415&amp;" "&amp;H416&amp;" is more than Tested F01-12"&amp;CHAR(10),""),IF(I429&gt;I428," * Positive F01-13 for Age "&amp;H415&amp;" "&amp;I416&amp;" is more than Tested F01-12"&amp;CHAR(10),""),IF(J429&gt;J428," * Positive F01-13 for Age "&amp;J415&amp;" "&amp;J416&amp;" is more than Tested F01-12"&amp;CHAR(10),""),IF(K429&gt;K428," * Positive F01-13 for Age "&amp;J415&amp;" "&amp;K416&amp;" is more than Tested F01-12"&amp;CHAR(10),""),IF(L429&gt;L428," * Positive F01-13 for Age "&amp;L415&amp;" "&amp;L416&amp;" is more than Tested F01-12"&amp;CHAR(10),""),IF(M429&gt;M428," * Positive F01-13 for Age "&amp;L415&amp;" "&amp;M416&amp;" is more than Tested F01-12"&amp;CHAR(10),""),IF(N429&gt;N428," * Positive F01-13 for Age "&amp;N415&amp;" "&amp;N416&amp;" is more than Tested F01-12"&amp;CHAR(10),""),IF(O429&gt;O428," * Positive F01-13 for Age "&amp;N415&amp;" "&amp;O416&amp;" is more than Tested F01-12"&amp;CHAR(10),""),IF(P429&gt;P428," * Positive F01-13 for Age "&amp;P415&amp;" "&amp;P416&amp;" is more than Tested F01-12"&amp;CHAR(10),""),IF(Q429&gt;Q428," * Positive F01-13 for Age "&amp;P415&amp;" "&amp;Q416&amp;" is more than Tested F01-12"&amp;CHAR(10),""),IF(R429&gt;R428," * Positive F01-13 for Age "&amp;R415&amp;" "&amp;R416&amp;" is more than Tested F01-12"&amp;CHAR(10),""),IF(S429&gt;S428," * Positive F01-13 for Age "&amp;R415&amp;" "&amp;S416&amp;" is more than Tested F01-12"&amp;CHAR(10),""),IF(T429&gt;T428," * Positive F01-13 for Age "&amp;T415&amp;" "&amp;T416&amp;" is more than Tested F01-12"&amp;CHAR(10),""),IF(U429&gt;U428," * Positive F01-13 for Age "&amp;T415&amp;" "&amp;U416&amp;" is more than Tested F01-12"&amp;CHAR(10),""),IF(V429&gt;V428," * Positive F01-13 for Age "&amp;V415&amp;" "&amp;V416&amp;" is more than Tested F01-12"&amp;CHAR(10),""),IF(W429&gt;W428," * Positive F01-13 for Age "&amp;V415&amp;" "&amp;W416&amp;" is more than Tested F01-12"&amp;CHAR(10),""),IF(X429&gt;X428," * Positive F01-13 for Age "&amp;X415&amp;" "&amp;X416&amp;" is more than Tested F01-12"&amp;CHAR(10),""),IF(Y429&gt;Y428," * Positive F01-13 for Age "&amp;X415&amp;" "&amp;Y416&amp;" is more than Tested F01-12"&amp;CHAR(10),""),IF(Z429&gt;Z428," * Positive F01-13 for Age "&amp;Z415&amp;" "&amp;Z416&amp;" is more than Tested F01-12"&amp;CHAR(10),""),IF(AA429&gt;AA428," * Positive F01-13 for Age "&amp;Z415&amp;" "&amp;AA416&amp;" is more than Tested F01-12"&amp;CHAR(10),""))</f>
        <v/>
      </c>
      <c r="AL428" s="1048"/>
      <c r="AM428" s="31" t="str">
        <f>CONCATENATE(IF(AND(IFERROR((AJ429*100)/AJ428,0)&gt;10,AJ429&gt;5)," * This facility has a high positivity rate for Index Testing. Kindly confirm if this is the true reflection"&amp;CHAR(10),""),"")</f>
        <v/>
      </c>
      <c r="AN428" s="846"/>
      <c r="AO428" s="13">
        <v>32</v>
      </c>
      <c r="AP428" s="81"/>
      <c r="AQ428" s="82"/>
    </row>
    <row r="429" spans="1:43" s="83" customFormat="1" ht="26.25" x14ac:dyDescent="0.4">
      <c r="A429" s="999"/>
      <c r="B429" s="776" t="s">
        <v>1117</v>
      </c>
      <c r="C429" s="780" t="s">
        <v>1129</v>
      </c>
      <c r="D429" s="764"/>
      <c r="E429" s="792"/>
      <c r="F429" s="568"/>
      <c r="G429" s="494"/>
      <c r="H429" s="494"/>
      <c r="I429" s="494"/>
      <c r="J429" s="494"/>
      <c r="K429" s="494"/>
      <c r="L429" s="494"/>
      <c r="M429" s="494"/>
      <c r="N429" s="494"/>
      <c r="O429" s="494"/>
      <c r="P429" s="494"/>
      <c r="Q429" s="494"/>
      <c r="R429" s="494"/>
      <c r="S429" s="494"/>
      <c r="T429" s="494"/>
      <c r="U429" s="494"/>
      <c r="V429" s="494"/>
      <c r="W429" s="494"/>
      <c r="X429" s="494"/>
      <c r="Y429" s="494"/>
      <c r="Z429" s="502">
        <f t="shared" si="215"/>
        <v>0</v>
      </c>
      <c r="AA429" s="502">
        <f t="shared" si="216"/>
        <v>0</v>
      </c>
      <c r="AB429" s="494"/>
      <c r="AC429" s="494"/>
      <c r="AD429" s="494"/>
      <c r="AE429" s="494"/>
      <c r="AF429" s="494"/>
      <c r="AG429" s="494"/>
      <c r="AH429" s="494"/>
      <c r="AI429" s="494"/>
      <c r="AJ429" s="492">
        <f t="shared" si="212"/>
        <v>0</v>
      </c>
      <c r="AK429" s="1111"/>
      <c r="AL429" s="1048"/>
      <c r="AM429" s="31" t="e">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0"&amp;CHAR(10),""),IF(#REF!&gt;0," * F01-14 for Age "&amp;D415&amp;" "&amp;D416&amp;" has a value greater than 0"&amp;CHAR(10),""),IF(#REF!&gt;0,"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#REF!</v>
      </c>
      <c r="AN429" s="846"/>
      <c r="AO429" s="13">
        <v>33</v>
      </c>
      <c r="AP429" s="81"/>
      <c r="AQ429" s="82"/>
    </row>
    <row r="430" spans="1:43" s="83" customFormat="1" ht="26.25" x14ac:dyDescent="0.4">
      <c r="A430" s="999"/>
      <c r="B430" s="776" t="s">
        <v>1119</v>
      </c>
      <c r="C430" s="780" t="s">
        <v>1130</v>
      </c>
      <c r="D430" s="764"/>
      <c r="E430" s="792"/>
      <c r="F430" s="569"/>
      <c r="G430" s="501"/>
      <c r="H430" s="501"/>
      <c r="I430" s="501"/>
      <c r="J430" s="501"/>
      <c r="K430" s="501"/>
      <c r="L430" s="501"/>
      <c r="M430" s="501"/>
      <c r="N430" s="501"/>
      <c r="O430" s="501"/>
      <c r="P430" s="501"/>
      <c r="Q430" s="501"/>
      <c r="R430" s="501"/>
      <c r="S430" s="501"/>
      <c r="T430" s="501"/>
      <c r="U430" s="501"/>
      <c r="V430" s="501"/>
      <c r="W430" s="501"/>
      <c r="X430" s="501"/>
      <c r="Y430" s="501"/>
      <c r="Z430" s="502">
        <f t="shared" si="215"/>
        <v>0</v>
      </c>
      <c r="AA430" s="502">
        <f t="shared" si="216"/>
        <v>0</v>
      </c>
      <c r="AB430" s="501"/>
      <c r="AC430" s="501"/>
      <c r="AD430" s="501"/>
      <c r="AE430" s="501"/>
      <c r="AF430" s="501"/>
      <c r="AG430" s="501"/>
      <c r="AH430" s="501"/>
      <c r="AI430" s="501"/>
      <c r="AJ430" s="492">
        <f t="shared" si="212"/>
        <v>0</v>
      </c>
      <c r="AK430" s="483"/>
      <c r="AL430" s="1048"/>
      <c r="AM430" s="31" t="str">
        <f>CONCATENATE(IF(D429&gt;0," * F01-12 for Age "&amp;D416&amp;" "&amp;D417&amp;" has a value greater than 0"&amp;CHAR(10),""),IF(E429&gt;0," * F01-12 for Age "&amp;D416&amp;" "&amp;E417&amp;" has a value greater than 0"&amp;CHAR(10),""),IF(D430&gt;0," * F01-13 for Age "&amp;D416&amp;" "&amp;D417&amp;" has a value greater than 0"&amp;CHAR(10),""),IF(E430&gt;0," * F01-13 for Age "&amp;D416&amp;" "&amp;E417&amp;" has a value greater than 0"&amp;CHAR(10),""),IF(D492&gt;0," * F01-14 for Age "&amp;D416&amp;" "&amp;D417&amp;" has a value greater than 0"&amp;CHAR(10),""),IF(E492&gt;0," * F01-14 for Age "&amp;D416&amp;" "&amp;E417&amp;" has a value greater than 0"&amp;CHAR(10),""),IF(D493&gt;0," * F01-15 for Age "&amp;D416&amp;" "&amp;D417&amp;" has a value greater than 0"&amp;CHAR(10),""),IF(E493&gt;0," * F01-15 for Age "&amp;D416&amp;" "&amp;E417&amp;" has a value greater than 0"&amp;CHAR(10),""),IF(D498&gt;0," * F01-20 for Age "&amp;D416&amp;" "&amp;D417&amp;" has a value greater than 0"&amp;CHAR(10),""),IF(E498&gt;0," * F01-20 for Age "&amp;D416&amp;" "&amp;E417&amp;" has a value greater than 0"&amp;CHAR(10),""),IF(D499&gt;0," * F01-21 for Age "&amp;D416&amp;" "&amp;D417&amp;" has a value greater than 0"&amp;CHAR(10),""),IF(E499&gt;0," * F01-21 for Age "&amp;D416&amp;" "&amp;E417&amp;" has a value greater than 0"&amp;CHAR(10),""),IF(D500&gt;0," * F01-22 for Age "&amp;D416&amp;" "&amp;D417&amp;" has a value greater than 0"&amp;CHAR(10),""),IF(E500&gt;0," * F01-22 for Age "&amp;D416&amp;" "&amp;E417&amp;" has a value greater than 0"&amp;CHAR(10),""),IF(D501&gt;0," * F01-23 for Age "&amp;D416&amp;" "&amp;D417&amp;" has a value greater than 0"&amp;CHAR(10),""),IF(E501&gt;0," * F01-23 for Age "&amp;D416&amp;" "&amp;E417&amp;" has a value greater than 0"&amp;CHAR(10),""),"")</f>
        <v/>
      </c>
      <c r="AN430" s="846"/>
      <c r="AO430" s="13">
        <v>33</v>
      </c>
      <c r="AP430" s="81"/>
      <c r="AQ430" s="82"/>
    </row>
    <row r="431" spans="1:43" s="83" customFormat="1" ht="27" thickBot="1" x14ac:dyDescent="0.45">
      <c r="A431" s="1000"/>
      <c r="B431" s="777" t="s">
        <v>1121</v>
      </c>
      <c r="C431" s="781" t="s">
        <v>1131</v>
      </c>
      <c r="D431" s="765"/>
      <c r="E431" s="793"/>
      <c r="F431" s="570"/>
      <c r="G431" s="566"/>
      <c r="H431" s="566"/>
      <c r="I431" s="566"/>
      <c r="J431" s="566"/>
      <c r="K431" s="566"/>
      <c r="L431" s="566"/>
      <c r="M431" s="566"/>
      <c r="N431" s="566"/>
      <c r="O431" s="566"/>
      <c r="P431" s="566"/>
      <c r="Q431" s="566"/>
      <c r="R431" s="566"/>
      <c r="S431" s="566"/>
      <c r="T431" s="566"/>
      <c r="U431" s="566"/>
      <c r="V431" s="566"/>
      <c r="W431" s="566"/>
      <c r="X431" s="566"/>
      <c r="Y431" s="566"/>
      <c r="Z431" s="502">
        <f t="shared" si="215"/>
        <v>0</v>
      </c>
      <c r="AA431" s="502">
        <f t="shared" si="216"/>
        <v>0</v>
      </c>
      <c r="AB431" s="566"/>
      <c r="AC431" s="566"/>
      <c r="AD431" s="566"/>
      <c r="AE431" s="566"/>
      <c r="AF431" s="566"/>
      <c r="AG431" s="566"/>
      <c r="AH431" s="566"/>
      <c r="AI431" s="566"/>
      <c r="AJ431" s="493">
        <f t="shared" si="212"/>
        <v>0</v>
      </c>
      <c r="AK431" s="483"/>
      <c r="AL431" s="1048"/>
      <c r="AM431" s="31" t="str">
        <f>CONCATENATE(IF(D430&gt;0," * F01-12 for Age "&amp;D417&amp;" "&amp;D418&amp;" has a value greater than 0"&amp;CHAR(10),""),IF(E430&gt;0," * F01-12 for Age "&amp;D417&amp;" "&amp;E418&amp;" has a value greater than 0"&amp;CHAR(10),""),IF(D431&gt;0," * F01-13 for Age "&amp;D417&amp;" "&amp;D418&amp;" has a value greater than 0"&amp;CHAR(10),""),IF(E431&gt;0," * F01-13 for Age "&amp;D417&amp;" "&amp;E418&amp;" has a value greater than 0"&amp;CHAR(10),""),IF(D493&gt;0," * F01-14 for Age "&amp;D417&amp;" "&amp;D418&amp;" has a value greater than 0"&amp;CHAR(10),""),IF(E493&gt;0," * F01-14 for Age "&amp;D417&amp;" "&amp;E418&amp;" has a value greater than 0"&amp;CHAR(10),""),IF(D494&gt;0," * F01-15 for Age "&amp;D417&amp;" "&amp;D418&amp;" has a value greater than 0"&amp;CHAR(10),""),IF(E494&gt;0," * F01-15 for Age "&amp;D417&amp;" "&amp;E418&amp;" has a value greater than 0"&amp;CHAR(10),""),IF(D499&gt;0," * F01-20 for Age "&amp;D417&amp;" "&amp;D418&amp;" has a value greater than 0"&amp;CHAR(10),""),IF(E499&gt;0," * F01-20 for Age "&amp;D417&amp;" "&amp;E418&amp;" has a value greater than 0"&amp;CHAR(10),""),IF(D500&gt;0," * F01-21 for Age "&amp;D417&amp;" "&amp;D418&amp;" has a value greater than 0"&amp;CHAR(10),""),IF(E500&gt;0," * F01-21 for Age "&amp;D417&amp;" "&amp;E418&amp;" has a value greater than 0"&amp;CHAR(10),""),IF(D501&gt;0," * F01-22 for Age "&amp;D417&amp;" "&amp;D418&amp;" has a value greater than 0"&amp;CHAR(10),""),IF(E501&gt;0," * F01-22 for Age "&amp;D417&amp;" "&amp;E418&amp;" has a value greater than 0"&amp;CHAR(10),""),IF(D502&gt;0," * F01-23 for Age "&amp;D417&amp;" "&amp;D418&amp;" has a value greater than 0"&amp;CHAR(10),""),IF(E502&gt;0," * F01-23 for Age "&amp;D417&amp;" "&amp;E418&amp;" has a value greater than 0"&amp;CHAR(10),""),"")</f>
        <v/>
      </c>
      <c r="AN431" s="846"/>
      <c r="AO431" s="13">
        <v>33</v>
      </c>
      <c r="AP431" s="81"/>
      <c r="AQ431" s="82"/>
    </row>
    <row r="432" spans="1:43" s="83" customFormat="1" ht="27" thickBot="1" x14ac:dyDescent="0.45">
      <c r="A432" s="998" t="s">
        <v>15</v>
      </c>
      <c r="B432" s="775" t="s">
        <v>150</v>
      </c>
      <c r="C432" s="779" t="s">
        <v>1132</v>
      </c>
      <c r="D432" s="762"/>
      <c r="E432" s="790"/>
      <c r="F432" s="801">
        <f t="shared" ref="F432:AA432" si="217">F38</f>
        <v>0</v>
      </c>
      <c r="G432" s="500">
        <f t="shared" si="217"/>
        <v>0</v>
      </c>
      <c r="H432" s="500">
        <f t="shared" si="217"/>
        <v>0</v>
      </c>
      <c r="I432" s="500">
        <f t="shared" si="217"/>
        <v>0</v>
      </c>
      <c r="J432" s="500">
        <f t="shared" si="217"/>
        <v>0</v>
      </c>
      <c r="K432" s="500">
        <f t="shared" si="217"/>
        <v>0</v>
      </c>
      <c r="L432" s="500">
        <f t="shared" si="217"/>
        <v>0</v>
      </c>
      <c r="M432" s="500">
        <f t="shared" si="217"/>
        <v>0</v>
      </c>
      <c r="N432" s="500">
        <f t="shared" si="217"/>
        <v>0</v>
      </c>
      <c r="O432" s="500">
        <f t="shared" si="217"/>
        <v>0</v>
      </c>
      <c r="P432" s="500">
        <f t="shared" si="217"/>
        <v>0</v>
      </c>
      <c r="Q432" s="500">
        <f t="shared" si="217"/>
        <v>0</v>
      </c>
      <c r="R432" s="500">
        <f t="shared" si="217"/>
        <v>0</v>
      </c>
      <c r="S432" s="500">
        <f t="shared" si="217"/>
        <v>0</v>
      </c>
      <c r="T432" s="500">
        <f t="shared" si="217"/>
        <v>0</v>
      </c>
      <c r="U432" s="500">
        <f t="shared" si="217"/>
        <v>0</v>
      </c>
      <c r="V432" s="500">
        <f t="shared" si="217"/>
        <v>0</v>
      </c>
      <c r="W432" s="500">
        <f t="shared" si="217"/>
        <v>0</v>
      </c>
      <c r="X432" s="500">
        <f t="shared" si="217"/>
        <v>0</v>
      </c>
      <c r="Y432" s="500">
        <f t="shared" si="217"/>
        <v>0</v>
      </c>
      <c r="Z432" s="500">
        <f t="shared" si="217"/>
        <v>0</v>
      </c>
      <c r="AA432" s="500">
        <f t="shared" si="217"/>
        <v>0</v>
      </c>
      <c r="AB432" s="500">
        <f t="shared" ref="AB432:AI432" si="218">AB38</f>
        <v>0</v>
      </c>
      <c r="AC432" s="500">
        <f t="shared" si="218"/>
        <v>0</v>
      </c>
      <c r="AD432" s="500">
        <f t="shared" si="218"/>
        <v>0</v>
      </c>
      <c r="AE432" s="500">
        <f t="shared" si="218"/>
        <v>0</v>
      </c>
      <c r="AF432" s="500">
        <f t="shared" si="218"/>
        <v>0</v>
      </c>
      <c r="AG432" s="500">
        <f t="shared" si="218"/>
        <v>0</v>
      </c>
      <c r="AH432" s="500">
        <f t="shared" si="218"/>
        <v>0</v>
      </c>
      <c r="AI432" s="500">
        <f t="shared" si="218"/>
        <v>0</v>
      </c>
      <c r="AJ432" s="490">
        <f t="shared" si="212"/>
        <v>0</v>
      </c>
      <c r="AK432" s="562" t="str">
        <f>CONCATENATE(IF((D433+D434+D435+D436)&lt;&gt;D432," * "&amp;$A432&amp;" , "&amp;$B433&amp;" plus "&amp;$B434&amp;" plus "&amp;$B435&amp;" plus "&amp;$B436&amp;" For age "&amp;$D$20&amp;" "&amp;$D$21&amp;" should be equal to "&amp;$B432&amp;""&amp;CHAR(10),""),IF((E433+E434+E435+E436)&lt;&gt;E432," * "&amp;$A432&amp;" , "&amp;$B433&amp;" plus "&amp;$B434&amp;" plus "&amp;$B435&amp;" plus "&amp;$B436&amp;" For age "&amp;$D$20&amp;" "&amp;$E$21&amp;" should be equal to "&amp;$B432&amp;""&amp;CHAR(10),""),IF((F433+F434+F435+F436)&lt;&gt;F432," * "&amp;$A432&amp;" , "&amp;$B433&amp;" plus "&amp;$B434&amp;" plus "&amp;$B435&amp;" plus "&amp;$B436&amp;" For age "&amp;$F$20&amp;" "&amp;$F$21&amp;" should be equal to "&amp;$B432&amp;""&amp;CHAR(10),""),IF((G433+G434+G435+G436)&lt;&gt;G432," * "&amp;$A432&amp;" , "&amp;$B433&amp;" plus "&amp;$B434&amp;" plus "&amp;$B435&amp;" plus "&amp;$B436&amp;" For age "&amp;$F$20&amp;" "&amp;$G$21&amp;" should be equal to "&amp;$B432&amp;""&amp;CHAR(10),""),IF((H433+H434+H435+H436)&lt;&gt;H432," * "&amp;$A432&amp;" , "&amp;$B433&amp;" plus "&amp;$B434&amp;" plus "&amp;$B435&amp;" plus "&amp;$B436&amp;" For age "&amp;$H$20&amp;" "&amp;$H$21&amp;" should be equal to "&amp;$B432&amp;""&amp;CHAR(10),""),IF((I433+I434+I435+I436)&lt;&gt;I432," * "&amp;$A432&amp;" , "&amp;$B433&amp;" plus "&amp;$B434&amp;" plus "&amp;$B435&amp;" plus "&amp;$B436&amp;" For age "&amp;$H$20&amp;" "&amp;$I$21&amp;" should be equal to "&amp;$B432&amp;""&amp;CHAR(10),""),IF((J433+J434+J435+J436)&lt;&gt;J432," * "&amp;$A432&amp;" , "&amp;$B433&amp;" plus "&amp;$B434&amp;" plus "&amp;$B435&amp;" plus "&amp;$B436&amp;" For age "&amp;$J$20&amp;" "&amp;$J$21&amp;" should be equal to "&amp;$B432&amp;""&amp;CHAR(10),""),IF((K433+K434+K435+K436)&lt;&gt;K432," * "&amp;$A432&amp;" , "&amp;$B433&amp;" plus "&amp;$B434&amp;" plus "&amp;$B435&amp;" plus "&amp;$B436&amp;" For age "&amp;$J$20&amp;" "&amp;$K$21&amp;" should be equal to "&amp;$B432&amp;""&amp;CHAR(10),""),IF((L433+L434+L435+L436)&lt;&gt;L432," * "&amp;$A432&amp;" , "&amp;$B433&amp;" plus "&amp;$B434&amp;" plus "&amp;$B435&amp;" plus "&amp;$B436&amp;" For age "&amp;$L$20&amp;" "&amp;$L$21&amp;" should be equal to "&amp;$B432&amp;""&amp;CHAR(10),""),IF((M433+M434+M435+M436)&lt;&gt;M432," * "&amp;$A432&amp;" , "&amp;$B433&amp;" plus "&amp;$B434&amp;" plus "&amp;$B435&amp;" plus "&amp;$B436&amp;" For age "&amp;$L$20&amp;" "&amp;$M$21&amp;" should be equal to "&amp;$B432&amp;""&amp;CHAR(10),""),IF((N433+N434+N435+N436)&lt;&gt;N432," * "&amp;$A432&amp;" , "&amp;$B433&amp;" plus "&amp;$B434&amp;" plus "&amp;$B435&amp;" plus "&amp;$B436&amp;" For age "&amp;$N$20&amp;" "&amp;$N$21&amp;" should be equal to "&amp;$B432&amp;""&amp;CHAR(10),""),IF((O433+O434+O435+O436)&lt;&gt;O432," * "&amp;$A432&amp;" , "&amp;$B433&amp;" plus "&amp;$B434&amp;" plus "&amp;$B435&amp;" plus "&amp;$B436&amp;" For age "&amp;$N$20&amp;" "&amp;$O$21&amp;" should be equal to "&amp;$B432&amp;""&amp;CHAR(10),""),IF((P433+P434+P435+P436)&lt;&gt;P432," * "&amp;$A432&amp;" , "&amp;$B433&amp;" plus "&amp;$B434&amp;" plus "&amp;$B435&amp;" plus "&amp;$B436&amp;" For age "&amp;$P$20&amp;" "&amp;$P$21&amp;" should be equal to "&amp;$B432&amp;""&amp;CHAR(10),""),IF((Q433+Q434+Q435+Q436)&lt;&gt;Q432," * "&amp;$A432&amp;" , "&amp;$B433&amp;" plus "&amp;$B434&amp;" plus "&amp;$B435&amp;" plus "&amp;$B436&amp;" For age "&amp;$P$20&amp;" "&amp;$Q$21&amp;" should be equal to "&amp;$B432&amp;""&amp;CHAR(10),""),IF((R433+R434+R435+R436)&lt;&gt;R432," * "&amp;$A432&amp;" , "&amp;$B433&amp;" plus "&amp;$B434&amp;" plus "&amp;$B435&amp;" plus "&amp;$B436&amp;" For age "&amp;$R$20&amp;" "&amp;$R$21&amp;" should be equal to "&amp;$B432&amp;""&amp;CHAR(10),""),IF((S433+S434+S435+S436)&lt;&gt;S432," * "&amp;$A432&amp;" , "&amp;$B433&amp;" plus "&amp;$B434&amp;" plus "&amp;$B435&amp;" plus "&amp;$B436&amp;" For age "&amp;$R$20&amp;" "&amp;$S$21&amp;" should be equal to "&amp;$B432&amp;""&amp;CHAR(10),""),IF((T433+T434+T435+T436)&lt;&gt;T432," * "&amp;$A432&amp;" , "&amp;$B433&amp;" plus "&amp;$B434&amp;" plus "&amp;$B435&amp;" plus "&amp;$B436&amp;" For age "&amp;$T$20&amp;" "&amp;$T$21&amp;" should be equal to "&amp;$B432&amp;""&amp;CHAR(10),""),IF((U433+U434+U435+U436)&lt;&gt;U432," * "&amp;$A432&amp;" , "&amp;$B433&amp;" plus "&amp;$B434&amp;" plus "&amp;$B435&amp;" plus "&amp;$B436&amp;" For age "&amp;$T$20&amp;" "&amp;$U$21&amp;" should be equal to "&amp;$B432&amp;""&amp;CHAR(10),""),IF((V433+V434+V435+V436)&lt;&gt;V432," * "&amp;$A432&amp;" , "&amp;$B433&amp;" plus "&amp;$B434&amp;" plus "&amp;$B435&amp;" plus "&amp;$B436&amp;" For age "&amp;$V$20&amp;" "&amp;$V$21&amp;" should be equal to "&amp;$B432&amp;""&amp;CHAR(10),""),IF((W433+W434+W435+W436)&lt;&gt;W432," * "&amp;$A432&amp;" , "&amp;$B433&amp;" plus "&amp;$B434&amp;" plus "&amp;$B435&amp;" plus "&amp;$B436&amp;" For age "&amp;$V$20&amp;" "&amp;$W$21&amp;" should be equal to "&amp;$B432&amp;""&amp;CHAR(10),""),IF((X433+X434+X435+X436)&lt;&gt;X432," * "&amp;$A432&amp;" , "&amp;$B433&amp;" plus "&amp;$B434&amp;" plus "&amp;$B435&amp;" plus "&amp;$B436&amp;" For age "&amp;$X$20&amp;" "&amp;$X$21&amp;" should be equal to "&amp;$B432&amp;""&amp;CHAR(10),""),IF((Y433+Y434+Y435+Y436)&lt;&gt;Y432," * "&amp;$A432&amp;" , "&amp;$B433&amp;" plus "&amp;$B434&amp;" plus "&amp;$B435&amp;" plus "&amp;$B436&amp;" For age "&amp;$X$20&amp;" "&amp;$Y$21&amp;" should be equal to "&amp;$B432&amp;""&amp;CHAR(10),""),IF((Z433+Z434+Z435+Z436)&lt;&gt;Z432," * "&amp;$A432&amp;" , "&amp;$B433&amp;" plus "&amp;$B434&amp;" plus "&amp;$B435&amp;" plus "&amp;$B436&amp;" For age "&amp;$Z$20&amp;" "&amp;$Z$21&amp;" should be equal to "&amp;$B432&amp;""&amp;CHAR(10),""),IF((AA433+AA434+AA435+AA436)&lt;&gt;AA432," * "&amp;$A432&amp;" , "&amp;$B433&amp;" plus "&amp;$B434&amp;" plus "&amp;$B435&amp;" plus "&amp;$B436&amp;" For age "&amp;$Z$20&amp;" "&amp;$AA$21&amp;" should be equal to "&amp;$B432&amp;""&amp;CHAR(10),""))</f>
        <v/>
      </c>
      <c r="AL432" s="1048"/>
      <c r="AM432" s="31"/>
      <c r="AN432" s="846"/>
      <c r="AO432" s="13">
        <v>31</v>
      </c>
      <c r="AP432" s="81"/>
      <c r="AQ432" s="82"/>
    </row>
    <row r="433" spans="1:43" s="83" customFormat="1" ht="26.25" x14ac:dyDescent="0.4">
      <c r="A433" s="999"/>
      <c r="B433" s="776" t="s">
        <v>1136</v>
      </c>
      <c r="C433" s="780" t="s">
        <v>1133</v>
      </c>
      <c r="D433" s="644"/>
      <c r="E433" s="791"/>
      <c r="F433" s="567"/>
      <c r="G433" s="564"/>
      <c r="H433" s="564"/>
      <c r="I433" s="564"/>
      <c r="J433" s="564"/>
      <c r="K433" s="564"/>
      <c r="L433" s="564"/>
      <c r="M433" s="564"/>
      <c r="N433" s="564"/>
      <c r="O433" s="564"/>
      <c r="P433" s="564"/>
      <c r="Q433" s="564"/>
      <c r="R433" s="564"/>
      <c r="S433" s="564"/>
      <c r="T433" s="564"/>
      <c r="U433" s="564"/>
      <c r="V433" s="564"/>
      <c r="W433" s="564"/>
      <c r="X433" s="564"/>
      <c r="Y433" s="564"/>
      <c r="Z433" s="502">
        <f t="shared" ref="Z433:Z436" si="219">SUM(AB433,AD433,AF433,AH433)</f>
        <v>0</v>
      </c>
      <c r="AA433" s="502">
        <f t="shared" ref="AA433:AA436" si="220">SUM(AC433,AE433,AG433,AI433)</f>
        <v>0</v>
      </c>
      <c r="AB433" s="564"/>
      <c r="AC433" s="564"/>
      <c r="AD433" s="564"/>
      <c r="AE433" s="564"/>
      <c r="AF433" s="564"/>
      <c r="AG433" s="564"/>
      <c r="AH433" s="564"/>
      <c r="AI433" s="564"/>
      <c r="AJ433" s="491">
        <f t="shared" si="212"/>
        <v>0</v>
      </c>
      <c r="AK433" s="1111" t="str">
        <f>CONCATENATE(IF(D434&gt;D433," * Positive F01-13 for Age "&amp;D420&amp;" "&amp;D421&amp;" is more than Tested F01-12"&amp;CHAR(10),""),IF(E434&gt;E433," * Positive F01-13 for Age "&amp;D420&amp;" "&amp;E421&amp;" is more than Tested F01-12"&amp;CHAR(10),""),IF(F434&gt;F433," * Positive F01-13 for Age "&amp;F420&amp;" "&amp;F421&amp;" is more than Tested F01-12"&amp;CHAR(10),""),IF(G434&gt;G433," * Positive F01-13 for Age "&amp;F420&amp;" "&amp;G421&amp;" is more than Tested F01-12"&amp;CHAR(10),""),IF(H434&gt;H433," * Positive F01-13 for Age "&amp;H420&amp;" "&amp;H421&amp;" is more than Tested F01-12"&amp;CHAR(10),""),IF(I434&gt;I433," * Positive F01-13 for Age "&amp;H420&amp;" "&amp;I421&amp;" is more than Tested F01-12"&amp;CHAR(10),""),IF(J434&gt;J433," * Positive F01-13 for Age "&amp;J420&amp;" "&amp;J421&amp;" is more than Tested F01-12"&amp;CHAR(10),""),IF(K434&gt;K433," * Positive F01-13 for Age "&amp;J420&amp;" "&amp;K421&amp;" is more than Tested F01-12"&amp;CHAR(10),""),IF(L434&gt;L433," * Positive F01-13 for Age "&amp;L420&amp;" "&amp;L421&amp;" is more than Tested F01-12"&amp;CHAR(10),""),IF(M434&gt;M433," * Positive F01-13 for Age "&amp;L420&amp;" "&amp;M421&amp;" is more than Tested F01-12"&amp;CHAR(10),""),IF(N434&gt;N433," * Positive F01-13 for Age "&amp;N420&amp;" "&amp;N421&amp;" is more than Tested F01-12"&amp;CHAR(10),""),IF(O434&gt;O433," * Positive F01-13 for Age "&amp;N420&amp;" "&amp;O421&amp;" is more than Tested F01-12"&amp;CHAR(10),""),IF(P434&gt;P433," * Positive F01-13 for Age "&amp;P420&amp;" "&amp;P421&amp;" is more than Tested F01-12"&amp;CHAR(10),""),IF(Q434&gt;Q433," * Positive F01-13 for Age "&amp;P420&amp;" "&amp;Q421&amp;" is more than Tested F01-12"&amp;CHAR(10),""),IF(R434&gt;R433," * Positive F01-13 for Age "&amp;R420&amp;" "&amp;R421&amp;" is more than Tested F01-12"&amp;CHAR(10),""),IF(S434&gt;S433," * Positive F01-13 for Age "&amp;R420&amp;" "&amp;S421&amp;" is more than Tested F01-12"&amp;CHAR(10),""),IF(T434&gt;T433," * Positive F01-13 for Age "&amp;T420&amp;" "&amp;T421&amp;" is more than Tested F01-12"&amp;CHAR(10),""),IF(U434&gt;U433," * Positive F01-13 for Age "&amp;T420&amp;" "&amp;U421&amp;" is more than Tested F01-12"&amp;CHAR(10),""),IF(V434&gt;V433," * Positive F01-13 for Age "&amp;V420&amp;" "&amp;V421&amp;" is more than Tested F01-12"&amp;CHAR(10),""),IF(W434&gt;W433," * Positive F01-13 for Age "&amp;V420&amp;" "&amp;W421&amp;" is more than Tested F01-12"&amp;CHAR(10),""),IF(X434&gt;X433," * Positive F01-13 for Age "&amp;X420&amp;" "&amp;X421&amp;" is more than Tested F01-12"&amp;CHAR(10),""),IF(Y434&gt;Y433," * Positive F01-13 for Age "&amp;X420&amp;" "&amp;Y421&amp;" is more than Tested F01-12"&amp;CHAR(10),""),IF(Z434&gt;Z433," * Positive F01-13 for Age "&amp;Z420&amp;" "&amp;Z421&amp;" is more than Tested F01-12"&amp;CHAR(10),""),IF(AA434&gt;AA433," * Positive F01-13 for Age "&amp;Z420&amp;" "&amp;AA421&amp;" is more than Tested F01-12"&amp;CHAR(10),""))</f>
        <v/>
      </c>
      <c r="AL433" s="1048"/>
      <c r="AM433" s="31" t="str">
        <f>CONCATENATE(IF(AND(IFERROR((AJ434*100)/AJ433,0)&gt;10,AJ434&gt;5)," * This facility has a high positivity rate for Index Testing. Kindly confirm if this is the true reflection"&amp;CHAR(10),""),"")</f>
        <v/>
      </c>
      <c r="AN433" s="846"/>
      <c r="AO433" s="13">
        <v>32</v>
      </c>
      <c r="AP433" s="81"/>
      <c r="AQ433" s="82"/>
    </row>
    <row r="434" spans="1:43" s="83" customFormat="1" ht="26.25" x14ac:dyDescent="0.4">
      <c r="A434" s="999"/>
      <c r="B434" s="776" t="s">
        <v>1117</v>
      </c>
      <c r="C434" s="780" t="s">
        <v>1134</v>
      </c>
      <c r="D434" s="764"/>
      <c r="E434" s="792"/>
      <c r="F434" s="568"/>
      <c r="G434" s="494"/>
      <c r="H434" s="494"/>
      <c r="I434" s="494"/>
      <c r="J434" s="494"/>
      <c r="K434" s="494"/>
      <c r="L434" s="494"/>
      <c r="M434" s="494"/>
      <c r="N434" s="494"/>
      <c r="O434" s="494"/>
      <c r="P434" s="494"/>
      <c r="Q434" s="494"/>
      <c r="R434" s="494"/>
      <c r="S434" s="494"/>
      <c r="T434" s="494"/>
      <c r="U434" s="494"/>
      <c r="V434" s="494"/>
      <c r="W434" s="494"/>
      <c r="X434" s="494"/>
      <c r="Y434" s="494"/>
      <c r="Z434" s="502">
        <f t="shared" si="219"/>
        <v>0</v>
      </c>
      <c r="AA434" s="502">
        <f t="shared" si="220"/>
        <v>0</v>
      </c>
      <c r="AB434" s="494"/>
      <c r="AC434" s="494"/>
      <c r="AD434" s="494"/>
      <c r="AE434" s="494"/>
      <c r="AF434" s="494"/>
      <c r="AG434" s="494"/>
      <c r="AH434" s="494"/>
      <c r="AI434" s="494"/>
      <c r="AJ434" s="492">
        <f t="shared" si="212"/>
        <v>0</v>
      </c>
      <c r="AK434" s="1111"/>
      <c r="AL434" s="1048"/>
      <c r="AM434" s="31" t="e">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0"&amp;CHAR(10),""),IF(#REF!&gt;0," * F01-14 for Age "&amp;D420&amp;" "&amp;D421&amp;" has a value greater than 0"&amp;CHAR(10),""),IF(#REF!&gt;0,"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#REF!</v>
      </c>
      <c r="AN434" s="846"/>
      <c r="AO434" s="13">
        <v>33</v>
      </c>
      <c r="AP434" s="81"/>
      <c r="AQ434" s="82"/>
    </row>
    <row r="435" spans="1:43" s="83" customFormat="1" ht="26.25" x14ac:dyDescent="0.4">
      <c r="A435" s="999"/>
      <c r="B435" s="776" t="s">
        <v>1119</v>
      </c>
      <c r="C435" s="780" t="s">
        <v>1135</v>
      </c>
      <c r="D435" s="764"/>
      <c r="E435" s="792"/>
      <c r="F435" s="569"/>
      <c r="G435" s="501"/>
      <c r="H435" s="501"/>
      <c r="I435" s="501"/>
      <c r="J435" s="501"/>
      <c r="K435" s="501"/>
      <c r="L435" s="501"/>
      <c r="M435" s="501"/>
      <c r="N435" s="501"/>
      <c r="O435" s="501"/>
      <c r="P435" s="501"/>
      <c r="Q435" s="501"/>
      <c r="R435" s="501"/>
      <c r="S435" s="501"/>
      <c r="T435" s="501"/>
      <c r="U435" s="501"/>
      <c r="V435" s="501"/>
      <c r="W435" s="501"/>
      <c r="X435" s="501"/>
      <c r="Y435" s="501"/>
      <c r="Z435" s="502">
        <f t="shared" si="219"/>
        <v>0</v>
      </c>
      <c r="AA435" s="502">
        <f t="shared" si="220"/>
        <v>0</v>
      </c>
      <c r="AB435" s="501"/>
      <c r="AC435" s="501"/>
      <c r="AD435" s="501"/>
      <c r="AE435" s="501"/>
      <c r="AF435" s="501"/>
      <c r="AG435" s="501"/>
      <c r="AH435" s="501"/>
      <c r="AI435" s="501"/>
      <c r="AJ435" s="492">
        <f t="shared" si="212"/>
        <v>0</v>
      </c>
      <c r="AK435" s="483"/>
      <c r="AL435" s="1048"/>
      <c r="AM435" s="31" t="str">
        <f>CONCATENATE(IF(D434&gt;0," * F01-12 for Age "&amp;D421&amp;" "&amp;D422&amp;" has a value greater than 0"&amp;CHAR(10),""),IF(E434&gt;0," * F01-12 for Age "&amp;D421&amp;" "&amp;E422&amp;" has a value greater than 0"&amp;CHAR(10),""),IF(D435&gt;0," * F01-13 for Age "&amp;D421&amp;" "&amp;D422&amp;" has a value greater than 0"&amp;CHAR(10),""),IF(E435&gt;0," * F01-13 for Age "&amp;D421&amp;" "&amp;E422&amp;" has a value greater than 0"&amp;CHAR(10),""),IF(D497&gt;0," * F01-14 for Age "&amp;D421&amp;" "&amp;D422&amp;" has a value greater than 0"&amp;CHAR(10),""),IF(E497&gt;0," * F01-14 for Age "&amp;D421&amp;" "&amp;E422&amp;" has a value greater than 0"&amp;CHAR(10),""),IF(D498&gt;0," * F01-15 for Age "&amp;D421&amp;" "&amp;D422&amp;" has a value greater than 0"&amp;CHAR(10),""),IF(E498&gt;0," * F01-15 for Age "&amp;D421&amp;" "&amp;E422&amp;" has a value greater than 0"&amp;CHAR(10),""),IF(D503&gt;0," * F01-20 for Age "&amp;D421&amp;" "&amp;D422&amp;" has a value greater than 0"&amp;CHAR(10),""),IF(E503&gt;0," * F01-20 for Age "&amp;D421&amp;" "&amp;E422&amp;" has a value greater than 0"&amp;CHAR(10),""),IF(D504&gt;0," * F01-21 for Age "&amp;D421&amp;" "&amp;D422&amp;" has a value greater than 0"&amp;CHAR(10),""),IF(E504&gt;0," * F01-21 for Age "&amp;D421&amp;" "&amp;E422&amp;" has a value greater than 0"&amp;CHAR(10),""),IF(D505&gt;0," * F01-22 for Age "&amp;D421&amp;" "&amp;D422&amp;" has a value greater than 0"&amp;CHAR(10),""),IF(E505&gt;0," * F01-22 for Age "&amp;D421&amp;" "&amp;E422&amp;" has a value greater than 0"&amp;CHAR(10),""),IF(D506&gt;0," * F01-23 for Age "&amp;D421&amp;" "&amp;D422&amp;" has a value greater than 0"&amp;CHAR(10),""),IF(E506&gt;0," * F01-23 for Age "&amp;D421&amp;" "&amp;E422&amp;" has a value greater than 0"&amp;CHAR(10),""),"")</f>
        <v/>
      </c>
      <c r="AN435" s="846"/>
      <c r="AO435" s="13">
        <v>33</v>
      </c>
      <c r="AP435" s="81"/>
      <c r="AQ435" s="82"/>
    </row>
    <row r="436" spans="1:43" s="83" customFormat="1" ht="27" thickBot="1" x14ac:dyDescent="0.45">
      <c r="A436" s="1000"/>
      <c r="B436" s="777" t="s">
        <v>1121</v>
      </c>
      <c r="C436" s="781" t="s">
        <v>1141</v>
      </c>
      <c r="D436" s="765"/>
      <c r="E436" s="793"/>
      <c r="F436" s="570"/>
      <c r="G436" s="566"/>
      <c r="H436" s="566"/>
      <c r="I436" s="566"/>
      <c r="J436" s="566"/>
      <c r="K436" s="566"/>
      <c r="L436" s="566"/>
      <c r="M436" s="566"/>
      <c r="N436" s="566"/>
      <c r="O436" s="566"/>
      <c r="P436" s="566"/>
      <c r="Q436" s="566"/>
      <c r="R436" s="566"/>
      <c r="S436" s="566"/>
      <c r="T436" s="566"/>
      <c r="U436" s="566"/>
      <c r="V436" s="566"/>
      <c r="W436" s="566"/>
      <c r="X436" s="566"/>
      <c r="Y436" s="566"/>
      <c r="Z436" s="502">
        <f t="shared" si="219"/>
        <v>0</v>
      </c>
      <c r="AA436" s="502">
        <f t="shared" si="220"/>
        <v>0</v>
      </c>
      <c r="AB436" s="566"/>
      <c r="AC436" s="566"/>
      <c r="AD436" s="566"/>
      <c r="AE436" s="566"/>
      <c r="AF436" s="566"/>
      <c r="AG436" s="566"/>
      <c r="AH436" s="566"/>
      <c r="AI436" s="566"/>
      <c r="AJ436" s="493">
        <f t="shared" ref="AJ436:AJ455" si="221">SUM(D436:AA436)</f>
        <v>0</v>
      </c>
      <c r="AK436" s="483"/>
      <c r="AL436" s="1048"/>
      <c r="AM436" s="31" t="str">
        <f>CONCATENATE(IF(D435&gt;0," * F01-12 for Age "&amp;D422&amp;" "&amp;D423&amp;" has a value greater than 0"&amp;CHAR(10),""),IF(E435&gt;0," * F01-12 for Age "&amp;D422&amp;" "&amp;E423&amp;" has a value greater than 0"&amp;CHAR(10),""),IF(D436&gt;0," * F01-13 for Age "&amp;D422&amp;" "&amp;D423&amp;" has a value greater than 0"&amp;CHAR(10),""),IF(E436&gt;0," * F01-13 for Age "&amp;D422&amp;" "&amp;E423&amp;" has a value greater than 0"&amp;CHAR(10),""),IF(D498&gt;0," * F01-14 for Age "&amp;D422&amp;" "&amp;D423&amp;" has a value greater than 0"&amp;CHAR(10),""),IF(E498&gt;0," * F01-14 for Age "&amp;D422&amp;" "&amp;E423&amp;" has a value greater than 0"&amp;CHAR(10),""),IF(D499&gt;0," * F01-15 for Age "&amp;D422&amp;" "&amp;D423&amp;" has a value greater than 0"&amp;CHAR(10),""),IF(E499&gt;0," * F01-15 for Age "&amp;D422&amp;" "&amp;E423&amp;" has a value greater than 0"&amp;CHAR(10),""),IF(D504&gt;0," * F01-20 for Age "&amp;D422&amp;" "&amp;D423&amp;" has a value greater than 0"&amp;CHAR(10),""),IF(E504&gt;0," * F01-20 for Age "&amp;D422&amp;" "&amp;E423&amp;" has a value greater than 0"&amp;CHAR(10),""),IF(D505&gt;0," * F01-21 for Age "&amp;D422&amp;" "&amp;D423&amp;" has a value greater than 0"&amp;CHAR(10),""),IF(E505&gt;0," * F01-21 for Age "&amp;D422&amp;" "&amp;E423&amp;" has a value greater than 0"&amp;CHAR(10),""),IF(D506&gt;0," * F01-22 for Age "&amp;D422&amp;" "&amp;D423&amp;" has a value greater than 0"&amp;CHAR(10),""),IF(E506&gt;0," * F01-22 for Age "&amp;D422&amp;" "&amp;E423&amp;" has a value greater than 0"&amp;CHAR(10),""),IF(D507&gt;0," * F01-23 for Age "&amp;D422&amp;" "&amp;D423&amp;" has a value greater than 0"&amp;CHAR(10),""),IF(E507&gt;0," * F01-23 for Age "&amp;D422&amp;" "&amp;E423&amp;" has a value greater than 0"&amp;CHAR(10),""),"")</f>
        <v/>
      </c>
      <c r="AN436" s="846"/>
      <c r="AO436" s="13">
        <v>33</v>
      </c>
      <c r="AP436" s="81"/>
      <c r="AQ436" s="82"/>
    </row>
    <row r="437" spans="1:43" s="83" customFormat="1" ht="27" thickBot="1" x14ac:dyDescent="0.45">
      <c r="A437" s="998" t="s">
        <v>1137</v>
      </c>
      <c r="B437" s="775" t="s">
        <v>150</v>
      </c>
      <c r="C437" s="779" t="s">
        <v>1142</v>
      </c>
      <c r="D437" s="762"/>
      <c r="E437" s="790"/>
      <c r="F437" s="801">
        <f t="shared" ref="F437:AA437" si="222">F40</f>
        <v>0</v>
      </c>
      <c r="G437" s="500">
        <f t="shared" si="222"/>
        <v>0</v>
      </c>
      <c r="H437" s="500">
        <f t="shared" si="222"/>
        <v>0</v>
      </c>
      <c r="I437" s="500">
        <f t="shared" si="222"/>
        <v>0</v>
      </c>
      <c r="J437" s="500">
        <f t="shared" si="222"/>
        <v>0</v>
      </c>
      <c r="K437" s="500">
        <f t="shared" si="222"/>
        <v>0</v>
      </c>
      <c r="L437" s="500">
        <f t="shared" si="222"/>
        <v>0</v>
      </c>
      <c r="M437" s="500">
        <f t="shared" si="222"/>
        <v>0</v>
      </c>
      <c r="N437" s="500">
        <f t="shared" si="222"/>
        <v>0</v>
      </c>
      <c r="O437" s="500">
        <f t="shared" si="222"/>
        <v>0</v>
      </c>
      <c r="P437" s="500">
        <f t="shared" si="222"/>
        <v>0</v>
      </c>
      <c r="Q437" s="500">
        <f t="shared" si="222"/>
        <v>0</v>
      </c>
      <c r="R437" s="500">
        <f t="shared" si="222"/>
        <v>0</v>
      </c>
      <c r="S437" s="500">
        <f t="shared" si="222"/>
        <v>0</v>
      </c>
      <c r="T437" s="500">
        <f t="shared" si="222"/>
        <v>0</v>
      </c>
      <c r="U437" s="500">
        <f t="shared" si="222"/>
        <v>0</v>
      </c>
      <c r="V437" s="500">
        <f t="shared" si="222"/>
        <v>0</v>
      </c>
      <c r="W437" s="500">
        <f t="shared" si="222"/>
        <v>0</v>
      </c>
      <c r="X437" s="500">
        <f t="shared" si="222"/>
        <v>0</v>
      </c>
      <c r="Y437" s="500">
        <f t="shared" si="222"/>
        <v>0</v>
      </c>
      <c r="Z437" s="500">
        <f t="shared" si="222"/>
        <v>0</v>
      </c>
      <c r="AA437" s="500">
        <f t="shared" si="222"/>
        <v>0</v>
      </c>
      <c r="AB437" s="500">
        <f t="shared" ref="AB437:AI437" si="223">AB40</f>
        <v>0</v>
      </c>
      <c r="AC437" s="500">
        <f t="shared" si="223"/>
        <v>0</v>
      </c>
      <c r="AD437" s="500">
        <f t="shared" si="223"/>
        <v>0</v>
      </c>
      <c r="AE437" s="500">
        <f t="shared" si="223"/>
        <v>0</v>
      </c>
      <c r="AF437" s="500">
        <f t="shared" si="223"/>
        <v>0</v>
      </c>
      <c r="AG437" s="500">
        <f t="shared" si="223"/>
        <v>0</v>
      </c>
      <c r="AH437" s="500">
        <f t="shared" si="223"/>
        <v>0</v>
      </c>
      <c r="AI437" s="500">
        <f t="shared" si="223"/>
        <v>0</v>
      </c>
      <c r="AJ437" s="490">
        <f t="shared" si="221"/>
        <v>0</v>
      </c>
      <c r="AK437" s="562" t="str">
        <f>CONCATENATE(IF((D438+D439+D440+D441)&lt;&gt;D437," * "&amp;$A437&amp;" , "&amp;$B438&amp;" plus "&amp;$B439&amp;" plus "&amp;$B440&amp;" plus "&amp;$B441&amp;" For age "&amp;$D$20&amp;" "&amp;$D$21&amp;" should be equal to "&amp;$B437&amp;""&amp;CHAR(10),""),IF((E438+E439+E440+E441)&lt;&gt;E437," * "&amp;$A437&amp;" , "&amp;$B438&amp;" plus "&amp;$B439&amp;" plus "&amp;$B440&amp;" plus "&amp;$B441&amp;" For age "&amp;$D$20&amp;" "&amp;$E$21&amp;" should be equal to "&amp;$B437&amp;""&amp;CHAR(10),""),IF((F438+F439+F440+F441)&lt;&gt;F437," * "&amp;$A437&amp;" , "&amp;$B438&amp;" plus "&amp;$B439&amp;" plus "&amp;$B440&amp;" plus "&amp;$B441&amp;" For age "&amp;$F$20&amp;" "&amp;$F$21&amp;" should be equal to "&amp;$B437&amp;""&amp;CHAR(10),""),IF((G438+G439+G440+G441)&lt;&gt;G437," * "&amp;$A437&amp;" , "&amp;$B438&amp;" plus "&amp;$B439&amp;" plus "&amp;$B440&amp;" plus "&amp;$B441&amp;" For age "&amp;$F$20&amp;" "&amp;$G$21&amp;" should be equal to "&amp;$B437&amp;""&amp;CHAR(10),""),IF((H438+H439+H440+H441)&lt;&gt;H437," * "&amp;$A437&amp;" , "&amp;$B438&amp;" plus "&amp;$B439&amp;" plus "&amp;$B440&amp;" plus "&amp;$B441&amp;" For age "&amp;$H$20&amp;" "&amp;$H$21&amp;" should be equal to "&amp;$B437&amp;""&amp;CHAR(10),""),IF((I438+I439+I440+I441)&lt;&gt;I437," * "&amp;$A437&amp;" , "&amp;$B438&amp;" plus "&amp;$B439&amp;" plus "&amp;$B440&amp;" plus "&amp;$B441&amp;" For age "&amp;$H$20&amp;" "&amp;$I$21&amp;" should be equal to "&amp;$B437&amp;""&amp;CHAR(10),""),IF((J438+J439+J440+J441)&lt;&gt;J437," * "&amp;$A437&amp;" , "&amp;$B438&amp;" plus "&amp;$B439&amp;" plus "&amp;$B440&amp;" plus "&amp;$B441&amp;" For age "&amp;$J$20&amp;" "&amp;$J$21&amp;" should be equal to "&amp;$B437&amp;""&amp;CHAR(10),""),IF((K438+K439+K440+K441)&lt;&gt;K437," * "&amp;$A437&amp;" , "&amp;$B438&amp;" plus "&amp;$B439&amp;" plus "&amp;$B440&amp;" plus "&amp;$B441&amp;" For age "&amp;$J$20&amp;" "&amp;$K$21&amp;" should be equal to "&amp;$B437&amp;""&amp;CHAR(10),""),IF((L438+L439+L440+L441)&lt;&gt;L437," * "&amp;$A437&amp;" , "&amp;$B438&amp;" plus "&amp;$B439&amp;" plus "&amp;$B440&amp;" plus "&amp;$B441&amp;" For age "&amp;$L$20&amp;" "&amp;$L$21&amp;" should be equal to "&amp;$B437&amp;""&amp;CHAR(10),""),IF((M438+M439+M440+M441)&lt;&gt;M437," * "&amp;$A437&amp;" , "&amp;$B438&amp;" plus "&amp;$B439&amp;" plus "&amp;$B440&amp;" plus "&amp;$B441&amp;" For age "&amp;$L$20&amp;" "&amp;$M$21&amp;" should be equal to "&amp;$B437&amp;""&amp;CHAR(10),""),IF((N438+N439+N440+N441)&lt;&gt;N437," * "&amp;$A437&amp;" , "&amp;$B438&amp;" plus "&amp;$B439&amp;" plus "&amp;$B440&amp;" plus "&amp;$B441&amp;" For age "&amp;$N$20&amp;" "&amp;$N$21&amp;" should be equal to "&amp;$B437&amp;""&amp;CHAR(10),""),IF((O438+O439+O440+O441)&lt;&gt;O437," * "&amp;$A437&amp;" , "&amp;$B438&amp;" plus "&amp;$B439&amp;" plus "&amp;$B440&amp;" plus "&amp;$B441&amp;" For age "&amp;$N$20&amp;" "&amp;$O$21&amp;" should be equal to "&amp;$B437&amp;""&amp;CHAR(10),""),IF((P438+P439+P440+P441)&lt;&gt;P437," * "&amp;$A437&amp;" , "&amp;$B438&amp;" plus "&amp;$B439&amp;" plus "&amp;$B440&amp;" plus "&amp;$B441&amp;" For age "&amp;$P$20&amp;" "&amp;$P$21&amp;" should be equal to "&amp;$B437&amp;""&amp;CHAR(10),""),IF((Q438+Q439+Q440+Q441)&lt;&gt;Q437," * "&amp;$A437&amp;" , "&amp;$B438&amp;" plus "&amp;$B439&amp;" plus "&amp;$B440&amp;" plus "&amp;$B441&amp;" For age "&amp;$P$20&amp;" "&amp;$Q$21&amp;" should be equal to "&amp;$B437&amp;""&amp;CHAR(10),""),IF((R438+R439+R440+R441)&lt;&gt;R437," * "&amp;$A437&amp;" , "&amp;$B438&amp;" plus "&amp;$B439&amp;" plus "&amp;$B440&amp;" plus "&amp;$B441&amp;" For age "&amp;$R$20&amp;" "&amp;$R$21&amp;" should be equal to "&amp;$B437&amp;""&amp;CHAR(10),""),IF((S438+S439+S440+S441)&lt;&gt;S437," * "&amp;$A437&amp;" , "&amp;$B438&amp;" plus "&amp;$B439&amp;" plus "&amp;$B440&amp;" plus "&amp;$B441&amp;" For age "&amp;$R$20&amp;" "&amp;$S$21&amp;" should be equal to "&amp;$B437&amp;""&amp;CHAR(10),""),IF((T438+T439+T440+T441)&lt;&gt;T437," * "&amp;$A437&amp;" , "&amp;$B438&amp;" plus "&amp;$B439&amp;" plus "&amp;$B440&amp;" plus "&amp;$B441&amp;" For age "&amp;$T$20&amp;" "&amp;$T$21&amp;" should be equal to "&amp;$B437&amp;""&amp;CHAR(10),""),IF((U438+U439+U440+U441)&lt;&gt;U437," * "&amp;$A437&amp;" , "&amp;$B438&amp;" plus "&amp;$B439&amp;" plus "&amp;$B440&amp;" plus "&amp;$B441&amp;" For age "&amp;$T$20&amp;" "&amp;$U$21&amp;" should be equal to "&amp;$B437&amp;""&amp;CHAR(10),""),IF((V438+V439+V440+V441)&lt;&gt;V437," * "&amp;$A437&amp;" , "&amp;$B438&amp;" plus "&amp;$B439&amp;" plus "&amp;$B440&amp;" plus "&amp;$B441&amp;" For age "&amp;$V$20&amp;" "&amp;$V$21&amp;" should be equal to "&amp;$B437&amp;""&amp;CHAR(10),""),IF((W438+W439+W440+W441)&lt;&gt;W437," * "&amp;$A437&amp;" , "&amp;$B438&amp;" plus "&amp;$B439&amp;" plus "&amp;$B440&amp;" plus "&amp;$B441&amp;" For age "&amp;$V$20&amp;" "&amp;$W$21&amp;" should be equal to "&amp;$B437&amp;""&amp;CHAR(10),""),IF((X438+X439+X440+X441)&lt;&gt;X437," * "&amp;$A437&amp;" , "&amp;$B438&amp;" plus "&amp;$B439&amp;" plus "&amp;$B440&amp;" plus "&amp;$B441&amp;" For age "&amp;$X$20&amp;" "&amp;$X$21&amp;" should be equal to "&amp;$B437&amp;""&amp;CHAR(10),""),IF((Y438+Y439+Y440+Y441)&lt;&gt;Y437," * "&amp;$A437&amp;" , "&amp;$B438&amp;" plus "&amp;$B439&amp;" plus "&amp;$B440&amp;" plus "&amp;$B441&amp;" For age "&amp;$X$20&amp;" "&amp;$Y$21&amp;" should be equal to "&amp;$B437&amp;""&amp;CHAR(10),""),IF((Z438+Z439+Z440+Z441)&lt;&gt;Z437," * "&amp;$A437&amp;" , "&amp;$B438&amp;" plus "&amp;$B439&amp;" plus "&amp;$B440&amp;" plus "&amp;$B441&amp;" For age "&amp;$Z$20&amp;" "&amp;$Z$21&amp;" should be equal to "&amp;$B437&amp;""&amp;CHAR(10),""),IF((AA438+AA439+AA440+AA441)&lt;&gt;AA437," * "&amp;$A437&amp;" , "&amp;$B438&amp;" plus "&amp;$B439&amp;" plus "&amp;$B440&amp;" plus "&amp;$B441&amp;" For age "&amp;$Z$20&amp;" "&amp;$AA$21&amp;" should be equal to "&amp;$B437&amp;""&amp;CHAR(10),""))</f>
        <v/>
      </c>
      <c r="AL437" s="1048"/>
      <c r="AM437" s="31"/>
      <c r="AN437" s="846"/>
      <c r="AO437" s="13">
        <v>31</v>
      </c>
      <c r="AP437" s="81"/>
      <c r="AQ437" s="82"/>
    </row>
    <row r="438" spans="1:43" s="83" customFormat="1" ht="26.25" x14ac:dyDescent="0.4">
      <c r="A438" s="999"/>
      <c r="B438" s="776" t="s">
        <v>1136</v>
      </c>
      <c r="C438" s="780" t="s">
        <v>1143</v>
      </c>
      <c r="D438" s="644"/>
      <c r="E438" s="791"/>
      <c r="F438" s="567"/>
      <c r="G438" s="564"/>
      <c r="H438" s="564"/>
      <c r="I438" s="564"/>
      <c r="J438" s="564"/>
      <c r="K438" s="564"/>
      <c r="L438" s="564"/>
      <c r="M438" s="564"/>
      <c r="N438" s="564"/>
      <c r="O438" s="564"/>
      <c r="P438" s="564"/>
      <c r="Q438" s="564"/>
      <c r="R438" s="564"/>
      <c r="S438" s="564"/>
      <c r="T438" s="564"/>
      <c r="U438" s="564"/>
      <c r="V438" s="564"/>
      <c r="W438" s="564"/>
      <c r="X438" s="564"/>
      <c r="Y438" s="564"/>
      <c r="Z438" s="502">
        <f t="shared" ref="Z438:Z441" si="224">SUM(AB438,AD438,AF438,AH438)</f>
        <v>0</v>
      </c>
      <c r="AA438" s="502">
        <f t="shared" ref="AA438:AA441" si="225">SUM(AC438,AE438,AG438,AI438)</f>
        <v>0</v>
      </c>
      <c r="AB438" s="564"/>
      <c r="AC438" s="564"/>
      <c r="AD438" s="564"/>
      <c r="AE438" s="564"/>
      <c r="AF438" s="564"/>
      <c r="AG438" s="564"/>
      <c r="AH438" s="564"/>
      <c r="AI438" s="564"/>
      <c r="AJ438" s="491">
        <f t="shared" si="221"/>
        <v>0</v>
      </c>
      <c r="AK438" s="1111" t="str">
        <f>CONCATENATE(IF(D439&gt;D438," * Positive F01-13 for Age "&amp;D425&amp;" "&amp;D426&amp;" is more than Tested F01-12"&amp;CHAR(10),""),IF(E439&gt;E438," * Positive F01-13 for Age "&amp;D425&amp;" "&amp;E426&amp;" is more than Tested F01-12"&amp;CHAR(10),""),IF(F439&gt;F438," * Positive F01-13 for Age "&amp;F425&amp;" "&amp;F426&amp;" is more than Tested F01-12"&amp;CHAR(10),""),IF(G439&gt;G438," * Positive F01-13 for Age "&amp;F425&amp;" "&amp;G426&amp;" is more than Tested F01-12"&amp;CHAR(10),""),IF(H439&gt;H438," * Positive F01-13 for Age "&amp;H425&amp;" "&amp;H426&amp;" is more than Tested F01-12"&amp;CHAR(10),""),IF(I439&gt;I438," * Positive F01-13 for Age "&amp;H425&amp;" "&amp;I426&amp;" is more than Tested F01-12"&amp;CHAR(10),""),IF(J439&gt;J438," * Positive F01-13 for Age "&amp;J425&amp;" "&amp;J426&amp;" is more than Tested F01-12"&amp;CHAR(10),""),IF(K439&gt;K438," * Positive F01-13 for Age "&amp;J425&amp;" "&amp;K426&amp;" is more than Tested F01-12"&amp;CHAR(10),""),IF(L439&gt;L438," * Positive F01-13 for Age "&amp;L425&amp;" "&amp;L426&amp;" is more than Tested F01-12"&amp;CHAR(10),""),IF(M439&gt;M438," * Positive F01-13 for Age "&amp;L425&amp;" "&amp;M426&amp;" is more than Tested F01-12"&amp;CHAR(10),""),IF(N439&gt;N438," * Positive F01-13 for Age "&amp;N425&amp;" "&amp;N426&amp;" is more than Tested F01-12"&amp;CHAR(10),""),IF(O439&gt;O438," * Positive F01-13 for Age "&amp;N425&amp;" "&amp;O426&amp;" is more than Tested F01-12"&amp;CHAR(10),""),IF(P439&gt;P438," * Positive F01-13 for Age "&amp;P425&amp;" "&amp;P426&amp;" is more than Tested F01-12"&amp;CHAR(10),""),IF(Q439&gt;Q438," * Positive F01-13 for Age "&amp;P425&amp;" "&amp;Q426&amp;" is more than Tested F01-12"&amp;CHAR(10),""),IF(R439&gt;R438," * Positive F01-13 for Age "&amp;R425&amp;" "&amp;R426&amp;" is more than Tested F01-12"&amp;CHAR(10),""),IF(S439&gt;S438," * Positive F01-13 for Age "&amp;R425&amp;" "&amp;S426&amp;" is more than Tested F01-12"&amp;CHAR(10),""),IF(T439&gt;T438," * Positive F01-13 for Age "&amp;T425&amp;" "&amp;T426&amp;" is more than Tested F01-12"&amp;CHAR(10),""),IF(U439&gt;U438," * Positive F01-13 for Age "&amp;T425&amp;" "&amp;U426&amp;" is more than Tested F01-12"&amp;CHAR(10),""),IF(V439&gt;V438," * Positive F01-13 for Age "&amp;V425&amp;" "&amp;V426&amp;" is more than Tested F01-12"&amp;CHAR(10),""),IF(W439&gt;W438," * Positive F01-13 for Age "&amp;V425&amp;" "&amp;W426&amp;" is more than Tested F01-12"&amp;CHAR(10),""),IF(X439&gt;X438," * Positive F01-13 for Age "&amp;X425&amp;" "&amp;X426&amp;" is more than Tested F01-12"&amp;CHAR(10),""),IF(Y439&gt;Y438," * Positive F01-13 for Age "&amp;X425&amp;" "&amp;Y426&amp;" is more than Tested F01-12"&amp;CHAR(10),""),IF(Z439&gt;Z438," * Positive F01-13 for Age "&amp;Z425&amp;" "&amp;Z426&amp;" is more than Tested F01-12"&amp;CHAR(10),""),IF(AA439&gt;AA438," * Positive F01-13 for Age "&amp;Z425&amp;" "&amp;AA426&amp;" is more than Tested F01-12"&amp;CHAR(10),""))</f>
        <v/>
      </c>
      <c r="AL438" s="1048"/>
      <c r="AM438" s="31" t="str">
        <f>CONCATENATE(IF(AND(IFERROR((AJ439*100)/AJ438,0)&gt;10,AJ439&gt;5)," * This facility has a high positivity rate for Index Testing. Kindly confirm if this is the true reflection"&amp;CHAR(10),""),"")</f>
        <v/>
      </c>
      <c r="AN438" s="846"/>
      <c r="AO438" s="13">
        <v>32</v>
      </c>
      <c r="AP438" s="81"/>
      <c r="AQ438" s="82"/>
    </row>
    <row r="439" spans="1:43" s="83" customFormat="1" ht="26.25" x14ac:dyDescent="0.4">
      <c r="A439" s="999"/>
      <c r="B439" s="776" t="s">
        <v>1117</v>
      </c>
      <c r="C439" s="780" t="s">
        <v>1144</v>
      </c>
      <c r="D439" s="764"/>
      <c r="E439" s="792"/>
      <c r="F439" s="568"/>
      <c r="G439" s="494"/>
      <c r="H439" s="494"/>
      <c r="I439" s="494"/>
      <c r="J439" s="494"/>
      <c r="K439" s="494"/>
      <c r="L439" s="494"/>
      <c r="M439" s="494"/>
      <c r="N439" s="494"/>
      <c r="O439" s="494"/>
      <c r="P439" s="494"/>
      <c r="Q439" s="494"/>
      <c r="R439" s="494"/>
      <c r="S439" s="494"/>
      <c r="T439" s="494"/>
      <c r="U439" s="494"/>
      <c r="V439" s="494"/>
      <c r="W439" s="494"/>
      <c r="X439" s="494"/>
      <c r="Y439" s="494"/>
      <c r="Z439" s="502">
        <f t="shared" si="224"/>
        <v>0</v>
      </c>
      <c r="AA439" s="502">
        <f t="shared" si="225"/>
        <v>0</v>
      </c>
      <c r="AB439" s="494"/>
      <c r="AC439" s="494"/>
      <c r="AD439" s="494"/>
      <c r="AE439" s="494"/>
      <c r="AF439" s="494"/>
      <c r="AG439" s="494"/>
      <c r="AH439" s="494"/>
      <c r="AI439" s="494"/>
      <c r="AJ439" s="492">
        <f t="shared" si="221"/>
        <v>0</v>
      </c>
      <c r="AK439" s="1111"/>
      <c r="AL439" s="1048"/>
      <c r="AM439" s="31" t="e">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0"&amp;CHAR(10),""),IF(#REF!&gt;0," * F01-14 for Age "&amp;D425&amp;" "&amp;D426&amp;" has a value greater than 0"&amp;CHAR(10),""),IF(#REF!&gt;0,"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#REF!</v>
      </c>
      <c r="AN439" s="846"/>
      <c r="AO439" s="13">
        <v>33</v>
      </c>
      <c r="AP439" s="81"/>
      <c r="AQ439" s="82"/>
    </row>
    <row r="440" spans="1:43" s="83" customFormat="1" ht="26.25" x14ac:dyDescent="0.4">
      <c r="A440" s="999"/>
      <c r="B440" s="776" t="s">
        <v>1119</v>
      </c>
      <c r="C440" s="780" t="s">
        <v>1145</v>
      </c>
      <c r="D440" s="764"/>
      <c r="E440" s="792"/>
      <c r="F440" s="569"/>
      <c r="G440" s="501"/>
      <c r="H440" s="501"/>
      <c r="I440" s="501"/>
      <c r="J440" s="501"/>
      <c r="K440" s="501"/>
      <c r="L440" s="501"/>
      <c r="M440" s="501"/>
      <c r="N440" s="501"/>
      <c r="O440" s="501"/>
      <c r="P440" s="501"/>
      <c r="Q440" s="501"/>
      <c r="R440" s="501"/>
      <c r="S440" s="501"/>
      <c r="T440" s="501"/>
      <c r="U440" s="501"/>
      <c r="V440" s="501"/>
      <c r="W440" s="501"/>
      <c r="X440" s="501"/>
      <c r="Y440" s="501"/>
      <c r="Z440" s="502">
        <f t="shared" si="224"/>
        <v>0</v>
      </c>
      <c r="AA440" s="502">
        <f t="shared" si="225"/>
        <v>0</v>
      </c>
      <c r="AB440" s="501"/>
      <c r="AC440" s="501"/>
      <c r="AD440" s="501"/>
      <c r="AE440" s="501"/>
      <c r="AF440" s="501"/>
      <c r="AG440" s="501"/>
      <c r="AH440" s="501"/>
      <c r="AI440" s="501"/>
      <c r="AJ440" s="492">
        <f t="shared" si="221"/>
        <v>0</v>
      </c>
      <c r="AK440" s="483"/>
      <c r="AL440" s="1048"/>
      <c r="AM440" s="31" t="str">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0"&amp;CHAR(10),""),IF(D502&gt;0," * F01-14 for Age "&amp;D426&amp;" "&amp;D427&amp;" has a value greater than 0"&amp;CHAR(10),""),IF(E502&gt;0,"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
      </c>
      <c r="AN440" s="846"/>
      <c r="AO440" s="13">
        <v>33</v>
      </c>
      <c r="AP440" s="81"/>
      <c r="AQ440" s="82"/>
    </row>
    <row r="441" spans="1:43" s="83" customFormat="1" ht="27" thickBot="1" x14ac:dyDescent="0.45">
      <c r="A441" s="1000"/>
      <c r="B441" s="777" t="s">
        <v>1121</v>
      </c>
      <c r="C441" s="781" t="s">
        <v>1146</v>
      </c>
      <c r="D441" s="765"/>
      <c r="E441" s="793"/>
      <c r="F441" s="570"/>
      <c r="G441" s="566"/>
      <c r="H441" s="566"/>
      <c r="I441" s="566"/>
      <c r="J441" s="566"/>
      <c r="K441" s="566"/>
      <c r="L441" s="566"/>
      <c r="M441" s="566"/>
      <c r="N441" s="566"/>
      <c r="O441" s="566"/>
      <c r="P441" s="566"/>
      <c r="Q441" s="566"/>
      <c r="R441" s="566"/>
      <c r="S441" s="566"/>
      <c r="T441" s="566"/>
      <c r="U441" s="566"/>
      <c r="V441" s="566"/>
      <c r="W441" s="566"/>
      <c r="X441" s="566"/>
      <c r="Y441" s="566"/>
      <c r="Z441" s="502">
        <f t="shared" si="224"/>
        <v>0</v>
      </c>
      <c r="AA441" s="502">
        <f t="shared" si="225"/>
        <v>0</v>
      </c>
      <c r="AB441" s="566"/>
      <c r="AC441" s="566"/>
      <c r="AD441" s="566"/>
      <c r="AE441" s="566"/>
      <c r="AF441" s="566"/>
      <c r="AG441" s="566"/>
      <c r="AH441" s="566"/>
      <c r="AI441" s="566"/>
      <c r="AJ441" s="493">
        <f t="shared" si="221"/>
        <v>0</v>
      </c>
      <c r="AK441" s="483"/>
      <c r="AL441" s="1048"/>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846"/>
      <c r="AO441" s="13">
        <v>33</v>
      </c>
      <c r="AP441" s="81"/>
      <c r="AQ441" s="82"/>
    </row>
    <row r="442" spans="1:43" s="83" customFormat="1" ht="27" thickBot="1" x14ac:dyDescent="0.45">
      <c r="A442" s="998" t="s">
        <v>16</v>
      </c>
      <c r="B442" s="775" t="s">
        <v>150</v>
      </c>
      <c r="C442" s="779" t="s">
        <v>1147</v>
      </c>
      <c r="D442" s="762"/>
      <c r="E442" s="790"/>
      <c r="F442" s="801">
        <f t="shared" ref="F442:AA442" si="226">F42</f>
        <v>0</v>
      </c>
      <c r="G442" s="500">
        <f t="shared" si="226"/>
        <v>0</v>
      </c>
      <c r="H442" s="500">
        <f t="shared" si="226"/>
        <v>0</v>
      </c>
      <c r="I442" s="500">
        <f t="shared" si="226"/>
        <v>0</v>
      </c>
      <c r="J442" s="500">
        <f t="shared" si="226"/>
        <v>0</v>
      </c>
      <c r="K442" s="500">
        <f t="shared" si="226"/>
        <v>0</v>
      </c>
      <c r="L442" s="500">
        <f t="shared" si="226"/>
        <v>0</v>
      </c>
      <c r="M442" s="500">
        <f t="shared" si="226"/>
        <v>0</v>
      </c>
      <c r="N442" s="500">
        <f t="shared" si="226"/>
        <v>0</v>
      </c>
      <c r="O442" s="500">
        <f t="shared" si="226"/>
        <v>0</v>
      </c>
      <c r="P442" s="500">
        <f t="shared" si="226"/>
        <v>0</v>
      </c>
      <c r="Q442" s="500">
        <f t="shared" si="226"/>
        <v>0</v>
      </c>
      <c r="R442" s="500">
        <f t="shared" si="226"/>
        <v>0</v>
      </c>
      <c r="S442" s="500">
        <f t="shared" si="226"/>
        <v>0</v>
      </c>
      <c r="T442" s="500">
        <f t="shared" si="226"/>
        <v>0</v>
      </c>
      <c r="U442" s="500">
        <f t="shared" si="226"/>
        <v>0</v>
      </c>
      <c r="V442" s="500">
        <f t="shared" si="226"/>
        <v>0</v>
      </c>
      <c r="W442" s="500">
        <f t="shared" si="226"/>
        <v>0</v>
      </c>
      <c r="X442" s="500">
        <f t="shared" si="226"/>
        <v>0</v>
      </c>
      <c r="Y442" s="500">
        <f t="shared" si="226"/>
        <v>0</v>
      </c>
      <c r="Z442" s="500">
        <f t="shared" si="226"/>
        <v>0</v>
      </c>
      <c r="AA442" s="500">
        <f t="shared" si="226"/>
        <v>0</v>
      </c>
      <c r="AB442" s="500">
        <f t="shared" ref="AB442:AI442" si="227">AB42</f>
        <v>0</v>
      </c>
      <c r="AC442" s="500">
        <f t="shared" si="227"/>
        <v>0</v>
      </c>
      <c r="AD442" s="500">
        <f t="shared" si="227"/>
        <v>0</v>
      </c>
      <c r="AE442" s="500">
        <f t="shared" si="227"/>
        <v>0</v>
      </c>
      <c r="AF442" s="500">
        <f t="shared" si="227"/>
        <v>0</v>
      </c>
      <c r="AG442" s="500">
        <f t="shared" si="227"/>
        <v>0</v>
      </c>
      <c r="AH442" s="500">
        <f t="shared" si="227"/>
        <v>0</v>
      </c>
      <c r="AI442" s="500">
        <f t="shared" si="227"/>
        <v>0</v>
      </c>
      <c r="AJ442" s="490">
        <f t="shared" si="221"/>
        <v>0</v>
      </c>
      <c r="AK442" s="562" t="str">
        <f>CONCATENATE(IF((D443+D444+D445+D446)&lt;&gt;D442," * "&amp;$A442&amp;" , "&amp;$B443&amp;" plus "&amp;$B444&amp;" plus "&amp;$B445&amp;" plus "&amp;$B446&amp;" For age "&amp;$D$20&amp;" "&amp;$D$21&amp;" should be equal to "&amp;$B442&amp;""&amp;CHAR(10),""),IF((E443+E444+E445+E446)&lt;&gt;E442," * "&amp;$A442&amp;" , "&amp;$B443&amp;" plus "&amp;$B444&amp;" plus "&amp;$B445&amp;" plus "&amp;$B446&amp;" For age "&amp;$D$20&amp;" "&amp;$E$21&amp;" should be equal to "&amp;$B442&amp;""&amp;CHAR(10),""),IF((F443+F444+F445+F446)&lt;&gt;F442," * "&amp;$A442&amp;" , "&amp;$B443&amp;" plus "&amp;$B444&amp;" plus "&amp;$B445&amp;" plus "&amp;$B446&amp;" For age "&amp;$F$20&amp;" "&amp;$F$21&amp;" should be equal to "&amp;$B442&amp;""&amp;CHAR(10),""),IF((G443+G444+G445+G446)&lt;&gt;G442," * "&amp;$A442&amp;" , "&amp;$B443&amp;" plus "&amp;$B444&amp;" plus "&amp;$B445&amp;" plus "&amp;$B446&amp;" For age "&amp;$F$20&amp;" "&amp;$G$21&amp;" should be equal to "&amp;$B442&amp;""&amp;CHAR(10),""),IF((H443+H444+H445+H446)&lt;&gt;H442," * "&amp;$A442&amp;" , "&amp;$B443&amp;" plus "&amp;$B444&amp;" plus "&amp;$B445&amp;" plus "&amp;$B446&amp;" For age "&amp;$H$20&amp;" "&amp;$H$21&amp;" should be equal to "&amp;$B442&amp;""&amp;CHAR(10),""),IF((I443+I444+I445+I446)&lt;&gt;I442," * "&amp;$A442&amp;" , "&amp;$B443&amp;" plus "&amp;$B444&amp;" plus "&amp;$B445&amp;" plus "&amp;$B446&amp;" For age "&amp;$H$20&amp;" "&amp;$I$21&amp;" should be equal to "&amp;$B442&amp;""&amp;CHAR(10),""),IF((J443+J444+J445+J446)&lt;&gt;J442," * "&amp;$A442&amp;" , "&amp;$B443&amp;" plus "&amp;$B444&amp;" plus "&amp;$B445&amp;" plus "&amp;$B446&amp;" For age "&amp;$J$20&amp;" "&amp;$J$21&amp;" should be equal to "&amp;$B442&amp;""&amp;CHAR(10),""),IF((K443+K444+K445+K446)&lt;&gt;K442," * "&amp;$A442&amp;" , "&amp;$B443&amp;" plus "&amp;$B444&amp;" plus "&amp;$B445&amp;" plus "&amp;$B446&amp;" For age "&amp;$J$20&amp;" "&amp;$K$21&amp;" should be equal to "&amp;$B442&amp;""&amp;CHAR(10),""),IF((L443+L444+L445+L446)&lt;&gt;L442," * "&amp;$A442&amp;" , "&amp;$B443&amp;" plus "&amp;$B444&amp;" plus "&amp;$B445&amp;" plus "&amp;$B446&amp;" For age "&amp;$L$20&amp;" "&amp;$L$21&amp;" should be equal to "&amp;$B442&amp;""&amp;CHAR(10),""),IF((M443+M444+M445+M446)&lt;&gt;M442," * "&amp;$A442&amp;" , "&amp;$B443&amp;" plus "&amp;$B444&amp;" plus "&amp;$B445&amp;" plus "&amp;$B446&amp;" For age "&amp;$L$20&amp;" "&amp;$M$21&amp;" should be equal to "&amp;$B442&amp;""&amp;CHAR(10),""),IF((N443+N444+N445+N446)&lt;&gt;N442," * "&amp;$A442&amp;" , "&amp;$B443&amp;" plus "&amp;$B444&amp;" plus "&amp;$B445&amp;" plus "&amp;$B446&amp;" For age "&amp;$N$20&amp;" "&amp;$N$21&amp;" should be equal to "&amp;$B442&amp;""&amp;CHAR(10),""),IF((O443+O444+O445+O446)&lt;&gt;O442," * "&amp;$A442&amp;" , "&amp;$B443&amp;" plus "&amp;$B444&amp;" plus "&amp;$B445&amp;" plus "&amp;$B446&amp;" For age "&amp;$N$20&amp;" "&amp;$O$21&amp;" should be equal to "&amp;$B442&amp;""&amp;CHAR(10),""),IF((P443+P444+P445+P446)&lt;&gt;P442," * "&amp;$A442&amp;" , "&amp;$B443&amp;" plus "&amp;$B444&amp;" plus "&amp;$B445&amp;" plus "&amp;$B446&amp;" For age "&amp;$P$20&amp;" "&amp;$P$21&amp;" should be equal to "&amp;$B442&amp;""&amp;CHAR(10),""),IF((Q443+Q444+Q445+Q446)&lt;&gt;Q442," * "&amp;$A442&amp;" , "&amp;$B443&amp;" plus "&amp;$B444&amp;" plus "&amp;$B445&amp;" plus "&amp;$B446&amp;" For age "&amp;$P$20&amp;" "&amp;$Q$21&amp;" should be equal to "&amp;$B442&amp;""&amp;CHAR(10),""),IF((R443+R444+R445+R446)&lt;&gt;R442," * "&amp;$A442&amp;" , "&amp;$B443&amp;" plus "&amp;$B444&amp;" plus "&amp;$B445&amp;" plus "&amp;$B446&amp;" For age "&amp;$R$20&amp;" "&amp;$R$21&amp;" should be equal to "&amp;$B442&amp;""&amp;CHAR(10),""),IF((S443+S444+S445+S446)&lt;&gt;S442," * "&amp;$A442&amp;" , "&amp;$B443&amp;" plus "&amp;$B444&amp;" plus "&amp;$B445&amp;" plus "&amp;$B446&amp;" For age "&amp;$R$20&amp;" "&amp;$S$21&amp;" should be equal to "&amp;$B442&amp;""&amp;CHAR(10),""),IF((T443+T444+T445+T446)&lt;&gt;T442," * "&amp;$A442&amp;" , "&amp;$B443&amp;" plus "&amp;$B444&amp;" plus "&amp;$B445&amp;" plus "&amp;$B446&amp;" For age "&amp;$T$20&amp;" "&amp;$T$21&amp;" should be equal to "&amp;$B442&amp;""&amp;CHAR(10),""),IF((U443+U444+U445+U446)&lt;&gt;U442," * "&amp;$A442&amp;" , "&amp;$B443&amp;" plus "&amp;$B444&amp;" plus "&amp;$B445&amp;" plus "&amp;$B446&amp;" For age "&amp;$T$20&amp;" "&amp;$U$21&amp;" should be equal to "&amp;$B442&amp;""&amp;CHAR(10),""),IF((V443+V444+V445+V446)&lt;&gt;V442," * "&amp;$A442&amp;" , "&amp;$B443&amp;" plus "&amp;$B444&amp;" plus "&amp;$B445&amp;" plus "&amp;$B446&amp;" For age "&amp;$V$20&amp;" "&amp;$V$21&amp;" should be equal to "&amp;$B442&amp;""&amp;CHAR(10),""),IF((W443+W444+W445+W446)&lt;&gt;W442," * "&amp;$A442&amp;" , "&amp;$B443&amp;" plus "&amp;$B444&amp;" plus "&amp;$B445&amp;" plus "&amp;$B446&amp;" For age "&amp;$V$20&amp;" "&amp;$W$21&amp;" should be equal to "&amp;$B442&amp;""&amp;CHAR(10),""),IF((X443+X444+X445+X446)&lt;&gt;X442," * "&amp;$A442&amp;" , "&amp;$B443&amp;" plus "&amp;$B444&amp;" plus "&amp;$B445&amp;" plus "&amp;$B446&amp;" For age "&amp;$X$20&amp;" "&amp;$X$21&amp;" should be equal to "&amp;$B442&amp;""&amp;CHAR(10),""),IF((Y443+Y444+Y445+Y446)&lt;&gt;Y442," * "&amp;$A442&amp;" , "&amp;$B443&amp;" plus "&amp;$B444&amp;" plus "&amp;$B445&amp;" plus "&amp;$B446&amp;" For age "&amp;$X$20&amp;" "&amp;$Y$21&amp;" should be equal to "&amp;$B442&amp;""&amp;CHAR(10),""),IF((Z443+Z444+Z445+Z446)&lt;&gt;Z442," * "&amp;$A442&amp;" , "&amp;$B443&amp;" plus "&amp;$B444&amp;" plus "&amp;$B445&amp;" plus "&amp;$B446&amp;" For age "&amp;$Z$20&amp;" "&amp;$Z$21&amp;" should be equal to "&amp;$B442&amp;""&amp;CHAR(10),""),IF((AA443+AA444+AA445+AA446)&lt;&gt;AA442," * "&amp;$A442&amp;" , "&amp;$B443&amp;" plus "&amp;$B444&amp;" plus "&amp;$B445&amp;" plus "&amp;$B446&amp;" For age "&amp;$Z$20&amp;" "&amp;$AA$21&amp;" should be equal to "&amp;$B442&amp;""&amp;CHAR(10),""))</f>
        <v/>
      </c>
      <c r="AL442" s="1048"/>
      <c r="AM442" s="31"/>
      <c r="AN442" s="846"/>
      <c r="AO442" s="13">
        <v>31</v>
      </c>
      <c r="AP442" s="81"/>
      <c r="AQ442" s="82"/>
    </row>
    <row r="443" spans="1:43" s="83" customFormat="1" ht="26.25" x14ac:dyDescent="0.4">
      <c r="A443" s="999"/>
      <c r="B443" s="776" t="s">
        <v>1136</v>
      </c>
      <c r="C443" s="780" t="s">
        <v>1148</v>
      </c>
      <c r="D443" s="644"/>
      <c r="E443" s="791"/>
      <c r="F443" s="567"/>
      <c r="G443" s="564"/>
      <c r="H443" s="564"/>
      <c r="I443" s="564"/>
      <c r="J443" s="564"/>
      <c r="K443" s="564"/>
      <c r="L443" s="564"/>
      <c r="M443" s="564"/>
      <c r="N443" s="564"/>
      <c r="O443" s="564"/>
      <c r="P443" s="564"/>
      <c r="Q443" s="564"/>
      <c r="R443" s="564"/>
      <c r="S443" s="564"/>
      <c r="T443" s="564"/>
      <c r="U443" s="564"/>
      <c r="V443" s="564"/>
      <c r="W443" s="564"/>
      <c r="X443" s="564"/>
      <c r="Y443" s="564"/>
      <c r="Z443" s="502">
        <f t="shared" ref="Z443:Z446" si="228">SUM(AB443,AD443,AF443,AH443)</f>
        <v>0</v>
      </c>
      <c r="AA443" s="502">
        <f t="shared" ref="AA443:AA446" si="229">SUM(AC443,AE443,AG443,AI443)</f>
        <v>0</v>
      </c>
      <c r="AB443" s="564"/>
      <c r="AC443" s="564"/>
      <c r="AD443" s="564"/>
      <c r="AE443" s="564"/>
      <c r="AF443" s="564"/>
      <c r="AG443" s="564"/>
      <c r="AH443" s="564"/>
      <c r="AI443" s="564"/>
      <c r="AJ443" s="491">
        <f t="shared" si="221"/>
        <v>0</v>
      </c>
      <c r="AK443" s="1111" t="str">
        <f>CONCATENATE(IF(D444&gt;D443," * Positive F01-13 for Age "&amp;D430&amp;" "&amp;D431&amp;" is more than Tested F01-12"&amp;CHAR(10),""),IF(E444&gt;E443," * Positive F01-13 for Age "&amp;D430&amp;" "&amp;E431&amp;" is more than Tested F01-12"&amp;CHAR(10),""),IF(F444&gt;F443," * Positive F01-13 for Age "&amp;F430&amp;" "&amp;F431&amp;" is more than Tested F01-12"&amp;CHAR(10),""),IF(G444&gt;G443," * Positive F01-13 for Age "&amp;F430&amp;" "&amp;G431&amp;" is more than Tested F01-12"&amp;CHAR(10),""),IF(H444&gt;H443," * Positive F01-13 for Age "&amp;H430&amp;" "&amp;H431&amp;" is more than Tested F01-12"&amp;CHAR(10),""),IF(I444&gt;I443," * Positive F01-13 for Age "&amp;H430&amp;" "&amp;I431&amp;" is more than Tested F01-12"&amp;CHAR(10),""),IF(J444&gt;J443," * Positive F01-13 for Age "&amp;J430&amp;" "&amp;J431&amp;" is more than Tested F01-12"&amp;CHAR(10),""),IF(K444&gt;K443," * Positive F01-13 for Age "&amp;J430&amp;" "&amp;K431&amp;" is more than Tested F01-12"&amp;CHAR(10),""),IF(L444&gt;L443," * Positive F01-13 for Age "&amp;L430&amp;" "&amp;L431&amp;" is more than Tested F01-12"&amp;CHAR(10),""),IF(M444&gt;M443," * Positive F01-13 for Age "&amp;L430&amp;" "&amp;M431&amp;" is more than Tested F01-12"&amp;CHAR(10),""),IF(N444&gt;N443," * Positive F01-13 for Age "&amp;N430&amp;" "&amp;N431&amp;" is more than Tested F01-12"&amp;CHAR(10),""),IF(O444&gt;O443," * Positive F01-13 for Age "&amp;N430&amp;" "&amp;O431&amp;" is more than Tested F01-12"&amp;CHAR(10),""),IF(P444&gt;P443," * Positive F01-13 for Age "&amp;P430&amp;" "&amp;P431&amp;" is more than Tested F01-12"&amp;CHAR(10),""),IF(Q444&gt;Q443," * Positive F01-13 for Age "&amp;P430&amp;" "&amp;Q431&amp;" is more than Tested F01-12"&amp;CHAR(10),""),IF(R444&gt;R443," * Positive F01-13 for Age "&amp;R430&amp;" "&amp;R431&amp;" is more than Tested F01-12"&amp;CHAR(10),""),IF(S444&gt;S443," * Positive F01-13 for Age "&amp;R430&amp;" "&amp;S431&amp;" is more than Tested F01-12"&amp;CHAR(10),""),IF(T444&gt;T443," * Positive F01-13 for Age "&amp;T430&amp;" "&amp;T431&amp;" is more than Tested F01-12"&amp;CHAR(10),""),IF(U444&gt;U443," * Positive F01-13 for Age "&amp;T430&amp;" "&amp;U431&amp;" is more than Tested F01-12"&amp;CHAR(10),""),IF(V444&gt;V443," * Positive F01-13 for Age "&amp;V430&amp;" "&amp;V431&amp;" is more than Tested F01-12"&amp;CHAR(10),""),IF(W444&gt;W443," * Positive F01-13 for Age "&amp;V430&amp;" "&amp;W431&amp;" is more than Tested F01-12"&amp;CHAR(10),""),IF(X444&gt;X443," * Positive F01-13 for Age "&amp;X430&amp;" "&amp;X431&amp;" is more than Tested F01-12"&amp;CHAR(10),""),IF(Y444&gt;Y443," * Positive F01-13 for Age "&amp;X430&amp;" "&amp;Y431&amp;" is more than Tested F01-12"&amp;CHAR(10),""),IF(Z444&gt;Z443," * Positive F01-13 for Age "&amp;Z430&amp;" "&amp;Z431&amp;" is more than Tested F01-12"&amp;CHAR(10),""),IF(AA444&gt;AA443," * Positive F01-13 for Age "&amp;Z430&amp;" "&amp;AA431&amp;" is more than Tested F01-12"&amp;CHAR(10),""))</f>
        <v/>
      </c>
      <c r="AL443" s="1048"/>
      <c r="AM443" s="31" t="str">
        <f>CONCATENATE(IF(AND(IFERROR((AJ444*100)/AJ443,0)&gt;10,AJ444&gt;5)," * This facility has a high positivity rate for Index Testing. Kindly confirm if this is the true reflection"&amp;CHAR(10),""),"")</f>
        <v/>
      </c>
      <c r="AN443" s="846"/>
      <c r="AO443" s="13">
        <v>32</v>
      </c>
      <c r="AP443" s="81"/>
      <c r="AQ443" s="82"/>
    </row>
    <row r="444" spans="1:43" s="83" customFormat="1" ht="26.25" x14ac:dyDescent="0.4">
      <c r="A444" s="999"/>
      <c r="B444" s="776" t="s">
        <v>1117</v>
      </c>
      <c r="C444" s="780" t="s">
        <v>1149</v>
      </c>
      <c r="D444" s="764"/>
      <c r="E444" s="792"/>
      <c r="F444" s="568"/>
      <c r="G444" s="494"/>
      <c r="H444" s="494"/>
      <c r="I444" s="494"/>
      <c r="J444" s="494"/>
      <c r="K444" s="494"/>
      <c r="L444" s="494"/>
      <c r="M444" s="494"/>
      <c r="N444" s="494"/>
      <c r="O444" s="494"/>
      <c r="P444" s="494"/>
      <c r="Q444" s="494"/>
      <c r="R444" s="494"/>
      <c r="S444" s="494"/>
      <c r="T444" s="494"/>
      <c r="U444" s="494"/>
      <c r="V444" s="494"/>
      <c r="W444" s="494"/>
      <c r="X444" s="494"/>
      <c r="Y444" s="494"/>
      <c r="Z444" s="502">
        <f t="shared" si="228"/>
        <v>0</v>
      </c>
      <c r="AA444" s="502">
        <f t="shared" si="229"/>
        <v>0</v>
      </c>
      <c r="AB444" s="494"/>
      <c r="AC444" s="494"/>
      <c r="AD444" s="494"/>
      <c r="AE444" s="494"/>
      <c r="AF444" s="494"/>
      <c r="AG444" s="494"/>
      <c r="AH444" s="494"/>
      <c r="AI444" s="494"/>
      <c r="AJ444" s="492">
        <f t="shared" si="221"/>
        <v>0</v>
      </c>
      <c r="AK444" s="1111"/>
      <c r="AL444" s="1048"/>
      <c r="AM444" s="31" t="e">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0"&amp;CHAR(10),""),IF(#REF!&gt;0," * F01-14 for Age "&amp;D430&amp;" "&amp;D431&amp;" has a value greater than 0"&amp;CHAR(10),""),IF(#REF!&gt;0,"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#REF!</v>
      </c>
      <c r="AN444" s="846"/>
      <c r="AO444" s="13">
        <v>33</v>
      </c>
      <c r="AP444" s="81"/>
      <c r="AQ444" s="82"/>
    </row>
    <row r="445" spans="1:43" s="83" customFormat="1" ht="26.25" x14ac:dyDescent="0.4">
      <c r="A445" s="999"/>
      <c r="B445" s="776" t="s">
        <v>1119</v>
      </c>
      <c r="C445" s="780" t="s">
        <v>1150</v>
      </c>
      <c r="D445" s="764"/>
      <c r="E445" s="792"/>
      <c r="F445" s="569"/>
      <c r="G445" s="501"/>
      <c r="H445" s="501"/>
      <c r="I445" s="501"/>
      <c r="J445" s="501"/>
      <c r="K445" s="501"/>
      <c r="L445" s="501"/>
      <c r="M445" s="501"/>
      <c r="N445" s="501"/>
      <c r="O445" s="501"/>
      <c r="P445" s="501"/>
      <c r="Q445" s="501"/>
      <c r="R445" s="501"/>
      <c r="S445" s="501"/>
      <c r="T445" s="501"/>
      <c r="U445" s="501"/>
      <c r="V445" s="501"/>
      <c r="W445" s="501"/>
      <c r="X445" s="501"/>
      <c r="Y445" s="501"/>
      <c r="Z445" s="502">
        <f t="shared" si="228"/>
        <v>0</v>
      </c>
      <c r="AA445" s="502">
        <f t="shared" si="229"/>
        <v>0</v>
      </c>
      <c r="AB445" s="501"/>
      <c r="AC445" s="501"/>
      <c r="AD445" s="501"/>
      <c r="AE445" s="501"/>
      <c r="AF445" s="501"/>
      <c r="AG445" s="501"/>
      <c r="AH445" s="501"/>
      <c r="AI445" s="501"/>
      <c r="AJ445" s="492">
        <f t="shared" si="221"/>
        <v>0</v>
      </c>
      <c r="AK445" s="483"/>
      <c r="AL445" s="1048"/>
      <c r="AM445" s="31" t="str">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0"&amp;CHAR(10),""),IF(D507&gt;0," * F01-14 for Age "&amp;D431&amp;" "&amp;D432&amp;" has a value greater than 0"&amp;CHAR(10),""),IF(E507&gt;0,"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
      </c>
      <c r="AN445" s="846"/>
      <c r="AO445" s="13">
        <v>33</v>
      </c>
      <c r="AP445" s="81"/>
      <c r="AQ445" s="82"/>
    </row>
    <row r="446" spans="1:43" s="83" customFormat="1" ht="27" thickBot="1" x14ac:dyDescent="0.45">
      <c r="A446" s="1000"/>
      <c r="B446" s="777" t="s">
        <v>1121</v>
      </c>
      <c r="C446" s="781" t="s">
        <v>1151</v>
      </c>
      <c r="D446" s="765"/>
      <c r="E446" s="793"/>
      <c r="F446" s="570"/>
      <c r="G446" s="566"/>
      <c r="H446" s="566"/>
      <c r="I446" s="566"/>
      <c r="J446" s="566"/>
      <c r="K446" s="566"/>
      <c r="L446" s="566"/>
      <c r="M446" s="566"/>
      <c r="N446" s="566"/>
      <c r="O446" s="566"/>
      <c r="P446" s="566"/>
      <c r="Q446" s="566"/>
      <c r="R446" s="566"/>
      <c r="S446" s="566"/>
      <c r="T446" s="566"/>
      <c r="U446" s="566"/>
      <c r="V446" s="566"/>
      <c r="W446" s="566"/>
      <c r="X446" s="566"/>
      <c r="Y446" s="566"/>
      <c r="Z446" s="502">
        <f t="shared" si="228"/>
        <v>0</v>
      </c>
      <c r="AA446" s="502">
        <f t="shared" si="229"/>
        <v>0</v>
      </c>
      <c r="AB446" s="566"/>
      <c r="AC446" s="566"/>
      <c r="AD446" s="566"/>
      <c r="AE446" s="566"/>
      <c r="AF446" s="566"/>
      <c r="AG446" s="566"/>
      <c r="AH446" s="566"/>
      <c r="AI446" s="566"/>
      <c r="AJ446" s="493">
        <f t="shared" si="221"/>
        <v>0</v>
      </c>
      <c r="AK446" s="483"/>
      <c r="AL446" s="1048"/>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846"/>
      <c r="AO446" s="13">
        <v>33</v>
      </c>
      <c r="AP446" s="81"/>
      <c r="AQ446" s="82"/>
    </row>
    <row r="447" spans="1:43" s="83" customFormat="1" ht="27" thickBot="1" x14ac:dyDescent="0.45">
      <c r="A447" s="998" t="s">
        <v>1138</v>
      </c>
      <c r="B447" s="775" t="s">
        <v>150</v>
      </c>
      <c r="C447" s="779" t="s">
        <v>1152</v>
      </c>
      <c r="D447" s="762"/>
      <c r="E447" s="790"/>
      <c r="F447" s="801">
        <f t="shared" ref="F447:AA447" si="230">F44</f>
        <v>0</v>
      </c>
      <c r="G447" s="500">
        <f t="shared" si="230"/>
        <v>0</v>
      </c>
      <c r="H447" s="500">
        <f t="shared" si="230"/>
        <v>0</v>
      </c>
      <c r="I447" s="500">
        <f t="shared" si="230"/>
        <v>0</v>
      </c>
      <c r="J447" s="500">
        <f t="shared" si="230"/>
        <v>0</v>
      </c>
      <c r="K447" s="500">
        <f t="shared" si="230"/>
        <v>0</v>
      </c>
      <c r="L447" s="500">
        <f t="shared" si="230"/>
        <v>0</v>
      </c>
      <c r="M447" s="500">
        <f t="shared" si="230"/>
        <v>0</v>
      </c>
      <c r="N447" s="500">
        <f t="shared" si="230"/>
        <v>0</v>
      </c>
      <c r="O447" s="500">
        <f t="shared" si="230"/>
        <v>0</v>
      </c>
      <c r="P447" s="500">
        <f t="shared" si="230"/>
        <v>0</v>
      </c>
      <c r="Q447" s="500">
        <f t="shared" si="230"/>
        <v>0</v>
      </c>
      <c r="R447" s="500">
        <f t="shared" si="230"/>
        <v>0</v>
      </c>
      <c r="S447" s="500">
        <f t="shared" si="230"/>
        <v>0</v>
      </c>
      <c r="T447" s="500">
        <f t="shared" si="230"/>
        <v>0</v>
      </c>
      <c r="U447" s="500">
        <f t="shared" si="230"/>
        <v>0</v>
      </c>
      <c r="V447" s="500">
        <f t="shared" si="230"/>
        <v>0</v>
      </c>
      <c r="W447" s="500">
        <f t="shared" si="230"/>
        <v>0</v>
      </c>
      <c r="X447" s="500">
        <f t="shared" si="230"/>
        <v>0</v>
      </c>
      <c r="Y447" s="500">
        <f t="shared" si="230"/>
        <v>0</v>
      </c>
      <c r="Z447" s="500">
        <f t="shared" si="230"/>
        <v>0</v>
      </c>
      <c r="AA447" s="500">
        <f t="shared" si="230"/>
        <v>0</v>
      </c>
      <c r="AB447" s="500">
        <f t="shared" ref="AB447:AI447" si="231">AB44</f>
        <v>0</v>
      </c>
      <c r="AC447" s="500">
        <f t="shared" si="231"/>
        <v>0</v>
      </c>
      <c r="AD447" s="500">
        <f t="shared" si="231"/>
        <v>0</v>
      </c>
      <c r="AE447" s="500">
        <f t="shared" si="231"/>
        <v>0</v>
      </c>
      <c r="AF447" s="500">
        <f t="shared" si="231"/>
        <v>0</v>
      </c>
      <c r="AG447" s="500">
        <f t="shared" si="231"/>
        <v>0</v>
      </c>
      <c r="AH447" s="500">
        <f t="shared" si="231"/>
        <v>0</v>
      </c>
      <c r="AI447" s="500">
        <f t="shared" si="231"/>
        <v>0</v>
      </c>
      <c r="AJ447" s="490">
        <f t="shared" si="221"/>
        <v>0</v>
      </c>
      <c r="AK447" s="562" t="str">
        <f>CONCATENATE(IF((D448+D449+D450+D451)&lt;&gt;D447," * "&amp;$A447&amp;" , "&amp;$B448&amp;" plus "&amp;$B449&amp;" plus "&amp;$B450&amp;" plus "&amp;$B451&amp;" For age "&amp;$D$20&amp;" "&amp;$D$21&amp;" should be equal to "&amp;$B447&amp;""&amp;CHAR(10),""),IF((E448+E449+E450+E451)&lt;&gt;E447," * "&amp;$A447&amp;" , "&amp;$B448&amp;" plus "&amp;$B449&amp;" plus "&amp;$B450&amp;" plus "&amp;$B451&amp;" For age "&amp;$D$20&amp;" "&amp;$E$21&amp;" should be equal to "&amp;$B447&amp;""&amp;CHAR(10),""),IF((F448+F449+F450+F451)&lt;&gt;F447," * "&amp;$A447&amp;" , "&amp;$B448&amp;" plus "&amp;$B449&amp;" plus "&amp;$B450&amp;" plus "&amp;$B451&amp;" For age "&amp;$F$20&amp;" "&amp;$F$21&amp;" should be equal to "&amp;$B447&amp;""&amp;CHAR(10),""),IF((G448+G449+G450+G451)&lt;&gt;G447," * "&amp;$A447&amp;" , "&amp;$B448&amp;" plus "&amp;$B449&amp;" plus "&amp;$B450&amp;" plus "&amp;$B451&amp;" For age "&amp;$F$20&amp;" "&amp;$G$21&amp;" should be equal to "&amp;$B447&amp;""&amp;CHAR(10),""),IF((H448+H449+H450+H451)&lt;&gt;H447," * "&amp;$A447&amp;" , "&amp;$B448&amp;" plus "&amp;$B449&amp;" plus "&amp;$B450&amp;" plus "&amp;$B451&amp;" For age "&amp;$H$20&amp;" "&amp;$H$21&amp;" should be equal to "&amp;$B447&amp;""&amp;CHAR(10),""),IF((I448+I449+I450+I451)&lt;&gt;I447," * "&amp;$A447&amp;" , "&amp;$B448&amp;" plus "&amp;$B449&amp;" plus "&amp;$B450&amp;" plus "&amp;$B451&amp;" For age "&amp;$H$20&amp;" "&amp;$I$21&amp;" should be equal to "&amp;$B447&amp;""&amp;CHAR(10),""),IF((J448+J449+J450+J451)&lt;&gt;J447," * "&amp;$A447&amp;" , "&amp;$B448&amp;" plus "&amp;$B449&amp;" plus "&amp;$B450&amp;" plus "&amp;$B451&amp;" For age "&amp;$J$20&amp;" "&amp;$J$21&amp;" should be equal to "&amp;$B447&amp;""&amp;CHAR(10),""),IF((K448+K449+K450+K451)&lt;&gt;K447," * "&amp;$A447&amp;" , "&amp;$B448&amp;" plus "&amp;$B449&amp;" plus "&amp;$B450&amp;" plus "&amp;$B451&amp;" For age "&amp;$J$20&amp;" "&amp;$K$21&amp;" should be equal to "&amp;$B447&amp;""&amp;CHAR(10),""),IF((L448+L449+L450+L451)&lt;&gt;L447," * "&amp;$A447&amp;" , "&amp;$B448&amp;" plus "&amp;$B449&amp;" plus "&amp;$B450&amp;" plus "&amp;$B451&amp;" For age "&amp;$L$20&amp;" "&amp;$L$21&amp;" should be equal to "&amp;$B447&amp;""&amp;CHAR(10),""),IF((M448+M449+M450+M451)&lt;&gt;M447," * "&amp;$A447&amp;" , "&amp;$B448&amp;" plus "&amp;$B449&amp;" plus "&amp;$B450&amp;" plus "&amp;$B451&amp;" For age "&amp;$L$20&amp;" "&amp;$M$21&amp;" should be equal to "&amp;$B447&amp;""&amp;CHAR(10),""),IF((N448+N449+N450+N451)&lt;&gt;N447," * "&amp;$A447&amp;" , "&amp;$B448&amp;" plus "&amp;$B449&amp;" plus "&amp;$B450&amp;" plus "&amp;$B451&amp;" For age "&amp;$N$20&amp;" "&amp;$N$21&amp;" should be equal to "&amp;$B447&amp;""&amp;CHAR(10),""),IF((O448+O449+O450+O451)&lt;&gt;O447," * "&amp;$A447&amp;" , "&amp;$B448&amp;" plus "&amp;$B449&amp;" plus "&amp;$B450&amp;" plus "&amp;$B451&amp;" For age "&amp;$N$20&amp;" "&amp;$O$21&amp;" should be equal to "&amp;$B447&amp;""&amp;CHAR(10),""),IF((P448+P449+P450+P451)&lt;&gt;P447," * "&amp;$A447&amp;" , "&amp;$B448&amp;" plus "&amp;$B449&amp;" plus "&amp;$B450&amp;" plus "&amp;$B451&amp;" For age "&amp;$P$20&amp;" "&amp;$P$21&amp;" should be equal to "&amp;$B447&amp;""&amp;CHAR(10),""),IF((Q448+Q449+Q450+Q451)&lt;&gt;Q447," * "&amp;$A447&amp;" , "&amp;$B448&amp;" plus "&amp;$B449&amp;" plus "&amp;$B450&amp;" plus "&amp;$B451&amp;" For age "&amp;$P$20&amp;" "&amp;$Q$21&amp;" should be equal to "&amp;$B447&amp;""&amp;CHAR(10),""),IF((R448+R449+R450+R451)&lt;&gt;R447," * "&amp;$A447&amp;" , "&amp;$B448&amp;" plus "&amp;$B449&amp;" plus "&amp;$B450&amp;" plus "&amp;$B451&amp;" For age "&amp;$R$20&amp;" "&amp;$R$21&amp;" should be equal to "&amp;$B447&amp;""&amp;CHAR(10),""),IF((S448+S449+S450+S451)&lt;&gt;S447," * "&amp;$A447&amp;" , "&amp;$B448&amp;" plus "&amp;$B449&amp;" plus "&amp;$B450&amp;" plus "&amp;$B451&amp;" For age "&amp;$R$20&amp;" "&amp;$S$21&amp;" should be equal to "&amp;$B447&amp;""&amp;CHAR(10),""),IF((T448+T449+T450+T451)&lt;&gt;T447," * "&amp;$A447&amp;" , "&amp;$B448&amp;" plus "&amp;$B449&amp;" plus "&amp;$B450&amp;" plus "&amp;$B451&amp;" For age "&amp;$T$20&amp;" "&amp;$T$21&amp;" should be equal to "&amp;$B447&amp;""&amp;CHAR(10),""),IF((U448+U449+U450+U451)&lt;&gt;U447," * "&amp;$A447&amp;" , "&amp;$B448&amp;" plus "&amp;$B449&amp;" plus "&amp;$B450&amp;" plus "&amp;$B451&amp;" For age "&amp;$T$20&amp;" "&amp;$U$21&amp;" should be equal to "&amp;$B447&amp;""&amp;CHAR(10),""),IF((V448+V449+V450+V451)&lt;&gt;V447," * "&amp;$A447&amp;" , "&amp;$B448&amp;" plus "&amp;$B449&amp;" plus "&amp;$B450&amp;" plus "&amp;$B451&amp;" For age "&amp;$V$20&amp;" "&amp;$V$21&amp;" should be equal to "&amp;$B447&amp;""&amp;CHAR(10),""),IF((W448+W449+W450+W451)&lt;&gt;W447," * "&amp;$A447&amp;" , "&amp;$B448&amp;" plus "&amp;$B449&amp;" plus "&amp;$B450&amp;" plus "&amp;$B451&amp;" For age "&amp;$V$20&amp;" "&amp;$W$21&amp;" should be equal to "&amp;$B447&amp;""&amp;CHAR(10),""),IF((X448+X449+X450+X451)&lt;&gt;X447," * "&amp;$A447&amp;" , "&amp;$B448&amp;" plus "&amp;$B449&amp;" plus "&amp;$B450&amp;" plus "&amp;$B451&amp;" For age "&amp;$X$20&amp;" "&amp;$X$21&amp;" should be equal to "&amp;$B447&amp;""&amp;CHAR(10),""),IF((Y448+Y449+Y450+Y451)&lt;&gt;Y447," * "&amp;$A447&amp;" , "&amp;$B448&amp;" plus "&amp;$B449&amp;" plus "&amp;$B450&amp;" plus "&amp;$B451&amp;" For age "&amp;$X$20&amp;" "&amp;$Y$21&amp;" should be equal to "&amp;$B447&amp;""&amp;CHAR(10),""),IF((Z448+Z449+Z450+Z451)&lt;&gt;Z447," * "&amp;$A447&amp;" , "&amp;$B448&amp;" plus "&amp;$B449&amp;" plus "&amp;$B450&amp;" plus "&amp;$B451&amp;" For age "&amp;$Z$20&amp;" "&amp;$Z$21&amp;" should be equal to "&amp;$B447&amp;""&amp;CHAR(10),""),IF((AA448+AA449+AA450+AA451)&lt;&gt;AA447," * "&amp;$A447&amp;" , "&amp;$B448&amp;" plus "&amp;$B449&amp;" plus "&amp;$B450&amp;" plus "&amp;$B451&amp;" For age "&amp;$Z$20&amp;" "&amp;$AA$21&amp;" should be equal to "&amp;$B447&amp;""&amp;CHAR(10),""))</f>
        <v/>
      </c>
      <c r="AL447" s="1048"/>
      <c r="AM447" s="31"/>
      <c r="AN447" s="846"/>
      <c r="AO447" s="13">
        <v>31</v>
      </c>
      <c r="AP447" s="81"/>
      <c r="AQ447" s="82"/>
    </row>
    <row r="448" spans="1:43" s="83" customFormat="1" ht="26.25" x14ac:dyDescent="0.4">
      <c r="A448" s="999"/>
      <c r="B448" s="776" t="s">
        <v>1136</v>
      </c>
      <c r="C448" s="780" t="s">
        <v>1153</v>
      </c>
      <c r="D448" s="644"/>
      <c r="E448" s="791"/>
      <c r="F448" s="567"/>
      <c r="G448" s="564"/>
      <c r="H448" s="564"/>
      <c r="I448" s="564"/>
      <c r="J448" s="564"/>
      <c r="K448" s="564"/>
      <c r="L448" s="564"/>
      <c r="M448" s="564"/>
      <c r="N448" s="564"/>
      <c r="O448" s="564"/>
      <c r="P448" s="564"/>
      <c r="Q448" s="564"/>
      <c r="R448" s="564"/>
      <c r="S448" s="564"/>
      <c r="T448" s="564"/>
      <c r="U448" s="564"/>
      <c r="V448" s="564"/>
      <c r="W448" s="564"/>
      <c r="X448" s="564"/>
      <c r="Y448" s="564"/>
      <c r="Z448" s="502">
        <f t="shared" ref="Z448:Z451" si="232">SUM(AB448,AD448,AF448,AH448)</f>
        <v>0</v>
      </c>
      <c r="AA448" s="502">
        <f t="shared" ref="AA448:AA451" si="233">SUM(AC448,AE448,AG448,AI448)</f>
        <v>0</v>
      </c>
      <c r="AB448" s="564"/>
      <c r="AC448" s="564"/>
      <c r="AD448" s="564"/>
      <c r="AE448" s="564"/>
      <c r="AF448" s="564"/>
      <c r="AG448" s="564"/>
      <c r="AH448" s="564"/>
      <c r="AI448" s="564"/>
      <c r="AJ448" s="491">
        <f t="shared" si="221"/>
        <v>0</v>
      </c>
      <c r="AK448" s="1111" t="str">
        <f>CONCATENATE(IF(D449&gt;D448," * Positive F01-13 for Age "&amp;D435&amp;" "&amp;D436&amp;" is more than Tested F01-12"&amp;CHAR(10),""),IF(E449&gt;E448," * Positive F01-13 for Age "&amp;D435&amp;" "&amp;E436&amp;" is more than Tested F01-12"&amp;CHAR(10),""),IF(F449&gt;F448," * Positive F01-13 for Age "&amp;F435&amp;" "&amp;F436&amp;" is more than Tested F01-12"&amp;CHAR(10),""),IF(G449&gt;G448," * Positive F01-13 for Age "&amp;F435&amp;" "&amp;G436&amp;" is more than Tested F01-12"&amp;CHAR(10),""),IF(H449&gt;H448," * Positive F01-13 for Age "&amp;H435&amp;" "&amp;H436&amp;" is more than Tested F01-12"&amp;CHAR(10),""),IF(I449&gt;I448," * Positive F01-13 for Age "&amp;H435&amp;" "&amp;I436&amp;" is more than Tested F01-12"&amp;CHAR(10),""),IF(J449&gt;J448," * Positive F01-13 for Age "&amp;J435&amp;" "&amp;J436&amp;" is more than Tested F01-12"&amp;CHAR(10),""),IF(K449&gt;K448," * Positive F01-13 for Age "&amp;J435&amp;" "&amp;K436&amp;" is more than Tested F01-12"&amp;CHAR(10),""),IF(L449&gt;L448," * Positive F01-13 for Age "&amp;L435&amp;" "&amp;L436&amp;" is more than Tested F01-12"&amp;CHAR(10),""),IF(M449&gt;M448," * Positive F01-13 for Age "&amp;L435&amp;" "&amp;M436&amp;" is more than Tested F01-12"&amp;CHAR(10),""),IF(N449&gt;N448," * Positive F01-13 for Age "&amp;N435&amp;" "&amp;N436&amp;" is more than Tested F01-12"&amp;CHAR(10),""),IF(O449&gt;O448," * Positive F01-13 for Age "&amp;N435&amp;" "&amp;O436&amp;" is more than Tested F01-12"&amp;CHAR(10),""),IF(P449&gt;P448," * Positive F01-13 for Age "&amp;P435&amp;" "&amp;P436&amp;" is more than Tested F01-12"&amp;CHAR(10),""),IF(Q449&gt;Q448," * Positive F01-13 for Age "&amp;P435&amp;" "&amp;Q436&amp;" is more than Tested F01-12"&amp;CHAR(10),""),IF(R449&gt;R448," * Positive F01-13 for Age "&amp;R435&amp;" "&amp;R436&amp;" is more than Tested F01-12"&amp;CHAR(10),""),IF(S449&gt;S448," * Positive F01-13 for Age "&amp;R435&amp;" "&amp;S436&amp;" is more than Tested F01-12"&amp;CHAR(10),""),IF(T449&gt;T448," * Positive F01-13 for Age "&amp;T435&amp;" "&amp;T436&amp;" is more than Tested F01-12"&amp;CHAR(10),""),IF(U449&gt;U448," * Positive F01-13 for Age "&amp;T435&amp;" "&amp;U436&amp;" is more than Tested F01-12"&amp;CHAR(10),""),IF(V449&gt;V448," * Positive F01-13 for Age "&amp;V435&amp;" "&amp;V436&amp;" is more than Tested F01-12"&amp;CHAR(10),""),IF(W449&gt;W448," * Positive F01-13 for Age "&amp;V435&amp;" "&amp;W436&amp;" is more than Tested F01-12"&amp;CHAR(10),""),IF(X449&gt;X448," * Positive F01-13 for Age "&amp;X435&amp;" "&amp;X436&amp;" is more than Tested F01-12"&amp;CHAR(10),""),IF(Y449&gt;Y448," * Positive F01-13 for Age "&amp;X435&amp;" "&amp;Y436&amp;" is more than Tested F01-12"&amp;CHAR(10),""),IF(Z449&gt;Z448," * Positive F01-13 for Age "&amp;Z435&amp;" "&amp;Z436&amp;" is more than Tested F01-12"&amp;CHAR(10),""),IF(AA449&gt;AA448," * Positive F01-13 for Age "&amp;Z435&amp;" "&amp;AA436&amp;" is more than Tested F01-12"&amp;CHAR(10),""))</f>
        <v/>
      </c>
      <c r="AL448" s="1048"/>
      <c r="AM448" s="31" t="str">
        <f>CONCATENATE(IF(AND(IFERROR((AJ449*100)/AJ448,0)&gt;10,AJ449&gt;5)," * This facility has a high positivity rate for Index Testing. Kindly confirm if this is the true reflection"&amp;CHAR(10),""),"")</f>
        <v/>
      </c>
      <c r="AN448" s="846"/>
      <c r="AO448" s="13">
        <v>32</v>
      </c>
      <c r="AP448" s="81"/>
      <c r="AQ448" s="82"/>
    </row>
    <row r="449" spans="1:43" s="83" customFormat="1" ht="26.25" x14ac:dyDescent="0.4">
      <c r="A449" s="999"/>
      <c r="B449" s="776" t="s">
        <v>1117</v>
      </c>
      <c r="C449" s="780" t="s">
        <v>1154</v>
      </c>
      <c r="D449" s="764"/>
      <c r="E449" s="792"/>
      <c r="F449" s="568"/>
      <c r="G449" s="494"/>
      <c r="H449" s="494"/>
      <c r="I449" s="494"/>
      <c r="J449" s="494"/>
      <c r="K449" s="494"/>
      <c r="L449" s="494"/>
      <c r="M449" s="494"/>
      <c r="N449" s="494"/>
      <c r="O449" s="494"/>
      <c r="P449" s="494"/>
      <c r="Q449" s="494"/>
      <c r="R449" s="494"/>
      <c r="S449" s="494"/>
      <c r="T449" s="494"/>
      <c r="U449" s="494"/>
      <c r="V449" s="494"/>
      <c r="W449" s="494"/>
      <c r="X449" s="494"/>
      <c r="Y449" s="494"/>
      <c r="Z449" s="502">
        <f t="shared" si="232"/>
        <v>0</v>
      </c>
      <c r="AA449" s="502">
        <f t="shared" si="233"/>
        <v>0</v>
      </c>
      <c r="AB449" s="494"/>
      <c r="AC449" s="494"/>
      <c r="AD449" s="494"/>
      <c r="AE449" s="494"/>
      <c r="AF449" s="494"/>
      <c r="AG449" s="494"/>
      <c r="AH449" s="494"/>
      <c r="AI449" s="494"/>
      <c r="AJ449" s="492">
        <f t="shared" si="221"/>
        <v>0</v>
      </c>
      <c r="AK449" s="1111"/>
      <c r="AL449" s="1048"/>
      <c r="AM449" s="31" t="e">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0"&amp;CHAR(10),""),IF(#REF!&gt;0," * F01-14 for Age "&amp;D435&amp;" "&amp;D436&amp;" has a value greater than 0"&amp;CHAR(10),""),IF(#REF!&gt;0,"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#REF!</v>
      </c>
      <c r="AN449" s="846"/>
      <c r="AO449" s="13">
        <v>33</v>
      </c>
      <c r="AP449" s="81"/>
      <c r="AQ449" s="82"/>
    </row>
    <row r="450" spans="1:43" s="83" customFormat="1" ht="26.25" x14ac:dyDescent="0.4">
      <c r="A450" s="999"/>
      <c r="B450" s="776" t="s">
        <v>1119</v>
      </c>
      <c r="C450" s="780" t="s">
        <v>1155</v>
      </c>
      <c r="D450" s="764"/>
      <c r="E450" s="792"/>
      <c r="F450" s="569"/>
      <c r="G450" s="501"/>
      <c r="H450" s="501"/>
      <c r="I450" s="501"/>
      <c r="J450" s="501"/>
      <c r="K450" s="501"/>
      <c r="L450" s="501"/>
      <c r="M450" s="501"/>
      <c r="N450" s="501"/>
      <c r="O450" s="501"/>
      <c r="P450" s="501"/>
      <c r="Q450" s="501"/>
      <c r="R450" s="501"/>
      <c r="S450" s="501"/>
      <c r="T450" s="501"/>
      <c r="U450" s="501"/>
      <c r="V450" s="501"/>
      <c r="W450" s="501"/>
      <c r="X450" s="501"/>
      <c r="Y450" s="501"/>
      <c r="Z450" s="502">
        <f t="shared" si="232"/>
        <v>0</v>
      </c>
      <c r="AA450" s="502">
        <f t="shared" si="233"/>
        <v>0</v>
      </c>
      <c r="AB450" s="501"/>
      <c r="AC450" s="501"/>
      <c r="AD450" s="501"/>
      <c r="AE450" s="501"/>
      <c r="AF450" s="501"/>
      <c r="AG450" s="501"/>
      <c r="AH450" s="501"/>
      <c r="AI450" s="501"/>
      <c r="AJ450" s="492">
        <f t="shared" si="221"/>
        <v>0</v>
      </c>
      <c r="AK450" s="483"/>
      <c r="AL450" s="1048"/>
      <c r="AM450" s="31" t="str">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0"&amp;CHAR(10),""),IF(D512&gt;0," * F01-14 for Age "&amp;D436&amp;" "&amp;D437&amp;" has a value greater than 0"&amp;CHAR(10),""),IF(E512&gt;0,"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
      </c>
      <c r="AN450" s="846"/>
      <c r="AO450" s="13">
        <v>33</v>
      </c>
      <c r="AP450" s="81"/>
      <c r="AQ450" s="82"/>
    </row>
    <row r="451" spans="1:43" s="83" customFormat="1" ht="27" thickBot="1" x14ac:dyDescent="0.45">
      <c r="A451" s="1000"/>
      <c r="B451" s="777" t="s">
        <v>1121</v>
      </c>
      <c r="C451" s="781" t="s">
        <v>1156</v>
      </c>
      <c r="D451" s="765"/>
      <c r="E451" s="793"/>
      <c r="F451" s="570"/>
      <c r="G451" s="566"/>
      <c r="H451" s="566"/>
      <c r="I451" s="566"/>
      <c r="J451" s="566"/>
      <c r="K451" s="566"/>
      <c r="L451" s="566"/>
      <c r="M451" s="566"/>
      <c r="N451" s="566"/>
      <c r="O451" s="566"/>
      <c r="P451" s="566"/>
      <c r="Q451" s="566"/>
      <c r="R451" s="566"/>
      <c r="S451" s="566"/>
      <c r="T451" s="566"/>
      <c r="U451" s="566"/>
      <c r="V451" s="566"/>
      <c r="W451" s="566"/>
      <c r="X451" s="566"/>
      <c r="Y451" s="566"/>
      <c r="Z451" s="502">
        <f t="shared" si="232"/>
        <v>0</v>
      </c>
      <c r="AA451" s="502">
        <f t="shared" si="233"/>
        <v>0</v>
      </c>
      <c r="AB451" s="566"/>
      <c r="AC451" s="566"/>
      <c r="AD451" s="566"/>
      <c r="AE451" s="566"/>
      <c r="AF451" s="566"/>
      <c r="AG451" s="566"/>
      <c r="AH451" s="566"/>
      <c r="AI451" s="566"/>
      <c r="AJ451" s="493">
        <f t="shared" si="221"/>
        <v>0</v>
      </c>
      <c r="AK451" s="483"/>
      <c r="AL451" s="1048"/>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846"/>
      <c r="AO451" s="13">
        <v>33</v>
      </c>
      <c r="AP451" s="81"/>
      <c r="AQ451" s="82"/>
    </row>
    <row r="452" spans="1:43" s="83" customFormat="1" ht="27" thickBot="1" x14ac:dyDescent="0.45">
      <c r="A452" s="998" t="s">
        <v>22</v>
      </c>
      <c r="B452" s="775" t="s">
        <v>150</v>
      </c>
      <c r="C452" s="779" t="s">
        <v>1157</v>
      </c>
      <c r="D452" s="762"/>
      <c r="E452" s="790"/>
      <c r="F452" s="801">
        <f t="shared" ref="F452:AA452" si="234">F46</f>
        <v>0</v>
      </c>
      <c r="G452" s="500">
        <f t="shared" si="234"/>
        <v>0</v>
      </c>
      <c r="H452" s="500">
        <f t="shared" si="234"/>
        <v>0</v>
      </c>
      <c r="I452" s="500">
        <f t="shared" si="234"/>
        <v>0</v>
      </c>
      <c r="J452" s="500">
        <f t="shared" si="234"/>
        <v>0</v>
      </c>
      <c r="K452" s="500">
        <f t="shared" si="234"/>
        <v>0</v>
      </c>
      <c r="L452" s="500">
        <f t="shared" si="234"/>
        <v>0</v>
      </c>
      <c r="M452" s="500">
        <f t="shared" si="234"/>
        <v>0</v>
      </c>
      <c r="N452" s="500">
        <f t="shared" si="234"/>
        <v>0</v>
      </c>
      <c r="O452" s="500">
        <f t="shared" si="234"/>
        <v>0</v>
      </c>
      <c r="P452" s="500">
        <f t="shared" si="234"/>
        <v>0</v>
      </c>
      <c r="Q452" s="500">
        <f t="shared" si="234"/>
        <v>0</v>
      </c>
      <c r="R452" s="500">
        <f t="shared" si="234"/>
        <v>0</v>
      </c>
      <c r="S452" s="500">
        <f t="shared" si="234"/>
        <v>0</v>
      </c>
      <c r="T452" s="500">
        <f t="shared" si="234"/>
        <v>0</v>
      </c>
      <c r="U452" s="500">
        <f t="shared" si="234"/>
        <v>0</v>
      </c>
      <c r="V452" s="500">
        <f t="shared" si="234"/>
        <v>0</v>
      </c>
      <c r="W452" s="500">
        <f t="shared" si="234"/>
        <v>0</v>
      </c>
      <c r="X452" s="500">
        <f t="shared" si="234"/>
        <v>0</v>
      </c>
      <c r="Y452" s="500">
        <f t="shared" si="234"/>
        <v>0</v>
      </c>
      <c r="Z452" s="500">
        <f t="shared" si="234"/>
        <v>0</v>
      </c>
      <c r="AA452" s="500">
        <f t="shared" si="234"/>
        <v>0</v>
      </c>
      <c r="AB452" s="500">
        <f t="shared" ref="AB452:AI452" si="235">AB46</f>
        <v>0</v>
      </c>
      <c r="AC452" s="500">
        <f t="shared" si="235"/>
        <v>0</v>
      </c>
      <c r="AD452" s="500">
        <f t="shared" si="235"/>
        <v>0</v>
      </c>
      <c r="AE452" s="500">
        <f t="shared" si="235"/>
        <v>0</v>
      </c>
      <c r="AF452" s="500">
        <f t="shared" si="235"/>
        <v>0</v>
      </c>
      <c r="AG452" s="500">
        <f t="shared" si="235"/>
        <v>0</v>
      </c>
      <c r="AH452" s="500">
        <f t="shared" si="235"/>
        <v>0</v>
      </c>
      <c r="AI452" s="500">
        <f t="shared" si="235"/>
        <v>0</v>
      </c>
      <c r="AJ452" s="490">
        <f t="shared" si="221"/>
        <v>0</v>
      </c>
      <c r="AK452" s="562"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048"/>
      <c r="AM452" s="31"/>
      <c r="AN452" s="846"/>
      <c r="AO452" s="13">
        <v>31</v>
      </c>
      <c r="AP452" s="81"/>
      <c r="AQ452" s="82"/>
    </row>
    <row r="453" spans="1:43" s="83" customFormat="1" ht="26.25" x14ac:dyDescent="0.4">
      <c r="A453" s="999"/>
      <c r="B453" s="776" t="s">
        <v>1136</v>
      </c>
      <c r="C453" s="780" t="s">
        <v>1158</v>
      </c>
      <c r="D453" s="644"/>
      <c r="E453" s="791"/>
      <c r="F453" s="567"/>
      <c r="G453" s="564"/>
      <c r="H453" s="564"/>
      <c r="I453" s="564"/>
      <c r="J453" s="564"/>
      <c r="K453" s="564"/>
      <c r="L453" s="564"/>
      <c r="M453" s="564"/>
      <c r="N453" s="564"/>
      <c r="O453" s="564"/>
      <c r="P453" s="564"/>
      <c r="Q453" s="564"/>
      <c r="R453" s="564"/>
      <c r="S453" s="564"/>
      <c r="T453" s="564"/>
      <c r="U453" s="564"/>
      <c r="V453" s="564"/>
      <c r="W453" s="564"/>
      <c r="X453" s="564"/>
      <c r="Y453" s="564"/>
      <c r="Z453" s="502">
        <f t="shared" ref="Z453:Z456" si="236">SUM(AB453,AD453,AF453,AH453)</f>
        <v>0</v>
      </c>
      <c r="AA453" s="502">
        <f t="shared" ref="AA453:AA456" si="237">SUM(AC453,AE453,AG453,AI453)</f>
        <v>0</v>
      </c>
      <c r="AB453" s="564"/>
      <c r="AC453" s="564"/>
      <c r="AD453" s="564"/>
      <c r="AE453" s="564"/>
      <c r="AF453" s="564"/>
      <c r="AG453" s="564"/>
      <c r="AH453" s="564"/>
      <c r="AI453" s="564"/>
      <c r="AJ453" s="491">
        <f t="shared" si="221"/>
        <v>0</v>
      </c>
      <c r="AK453" s="1111" t="str">
        <f>CONCATENATE(IF(D454&gt;D453," * Positive F01-13 for Age "&amp;D440&amp;" "&amp;D441&amp;" is more than Tested F01-12"&amp;CHAR(10),""),IF(E454&gt;E453," * Positive F01-13 for Age "&amp;D440&amp;" "&amp;E441&amp;" is more than Tested F01-12"&amp;CHAR(10),""),IF(F454&gt;F453," * Positive F01-13 for Age "&amp;F440&amp;" "&amp;F441&amp;" is more than Tested F01-12"&amp;CHAR(10),""),IF(G454&gt;G453," * Positive F01-13 for Age "&amp;F440&amp;" "&amp;G441&amp;" is more than Tested F01-12"&amp;CHAR(10),""),IF(H454&gt;H453," * Positive F01-13 for Age "&amp;H440&amp;" "&amp;H441&amp;" is more than Tested F01-12"&amp;CHAR(10),""),IF(I454&gt;I453," * Positive F01-13 for Age "&amp;H440&amp;" "&amp;I441&amp;" is more than Tested F01-12"&amp;CHAR(10),""),IF(J454&gt;J453," * Positive F01-13 for Age "&amp;J440&amp;" "&amp;J441&amp;" is more than Tested F01-12"&amp;CHAR(10),""),IF(K454&gt;K453," * Positive F01-13 for Age "&amp;J440&amp;" "&amp;K441&amp;" is more than Tested F01-12"&amp;CHAR(10),""),IF(L454&gt;L453," * Positive F01-13 for Age "&amp;L440&amp;" "&amp;L441&amp;" is more than Tested F01-12"&amp;CHAR(10),""),IF(M454&gt;M453," * Positive F01-13 for Age "&amp;L440&amp;" "&amp;M441&amp;" is more than Tested F01-12"&amp;CHAR(10),""),IF(N454&gt;N453," * Positive F01-13 for Age "&amp;N440&amp;" "&amp;N441&amp;" is more than Tested F01-12"&amp;CHAR(10),""),IF(O454&gt;O453," * Positive F01-13 for Age "&amp;N440&amp;" "&amp;O441&amp;" is more than Tested F01-12"&amp;CHAR(10),""),IF(P454&gt;P453," * Positive F01-13 for Age "&amp;P440&amp;" "&amp;P441&amp;" is more than Tested F01-12"&amp;CHAR(10),""),IF(Q454&gt;Q453," * Positive F01-13 for Age "&amp;P440&amp;" "&amp;Q441&amp;" is more than Tested F01-12"&amp;CHAR(10),""),IF(R454&gt;R453," * Positive F01-13 for Age "&amp;R440&amp;" "&amp;R441&amp;" is more than Tested F01-12"&amp;CHAR(10),""),IF(S454&gt;S453," * Positive F01-13 for Age "&amp;R440&amp;" "&amp;S441&amp;" is more than Tested F01-12"&amp;CHAR(10),""),IF(T454&gt;T453," * Positive F01-13 for Age "&amp;T440&amp;" "&amp;T441&amp;" is more than Tested F01-12"&amp;CHAR(10),""),IF(U454&gt;U453," * Positive F01-13 for Age "&amp;T440&amp;" "&amp;U441&amp;" is more than Tested F01-12"&amp;CHAR(10),""),IF(V454&gt;V453," * Positive F01-13 for Age "&amp;V440&amp;" "&amp;V441&amp;" is more than Tested F01-12"&amp;CHAR(10),""),IF(W454&gt;W453," * Positive F01-13 for Age "&amp;V440&amp;" "&amp;W441&amp;" is more than Tested F01-12"&amp;CHAR(10),""),IF(X454&gt;X453," * Positive F01-13 for Age "&amp;X440&amp;" "&amp;X441&amp;" is more than Tested F01-12"&amp;CHAR(10),""),IF(Y454&gt;Y453," * Positive F01-13 for Age "&amp;X440&amp;" "&amp;Y441&amp;" is more than Tested F01-12"&amp;CHAR(10),""),IF(Z454&gt;Z453," * Positive F01-13 for Age "&amp;Z440&amp;" "&amp;Z441&amp;" is more than Tested F01-12"&amp;CHAR(10),""),IF(AA454&gt;AA453," * Positive F01-13 for Age "&amp;Z440&amp;" "&amp;AA441&amp;" is more than Tested F01-12"&amp;CHAR(10),""))</f>
        <v/>
      </c>
      <c r="AL453" s="1048"/>
      <c r="AM453" s="31" t="str">
        <f>CONCATENATE(IF(AND(IFERROR((AJ454*100)/AJ453,0)&gt;10,AJ454&gt;5)," * This facility has a high positivity rate for Index Testing. Kindly confirm if this is the true reflection"&amp;CHAR(10),""),"")</f>
        <v/>
      </c>
      <c r="AN453" s="846"/>
      <c r="AO453" s="13">
        <v>32</v>
      </c>
      <c r="AP453" s="81"/>
      <c r="AQ453" s="82"/>
    </row>
    <row r="454" spans="1:43" s="83" customFormat="1" ht="26.25" x14ac:dyDescent="0.4">
      <c r="A454" s="999"/>
      <c r="B454" s="776" t="s">
        <v>1117</v>
      </c>
      <c r="C454" s="780" t="s">
        <v>1159</v>
      </c>
      <c r="D454" s="764"/>
      <c r="E454" s="792"/>
      <c r="F454" s="568"/>
      <c r="G454" s="494"/>
      <c r="H454" s="494"/>
      <c r="I454" s="494"/>
      <c r="J454" s="494"/>
      <c r="K454" s="494"/>
      <c r="L454" s="494"/>
      <c r="M454" s="494"/>
      <c r="N454" s="494"/>
      <c r="O454" s="494"/>
      <c r="P454" s="494"/>
      <c r="Q454" s="494"/>
      <c r="R454" s="494"/>
      <c r="S454" s="494"/>
      <c r="T454" s="494"/>
      <c r="U454" s="494"/>
      <c r="V454" s="494"/>
      <c r="W454" s="494"/>
      <c r="X454" s="494"/>
      <c r="Y454" s="494"/>
      <c r="Z454" s="502">
        <f t="shared" si="236"/>
        <v>0</v>
      </c>
      <c r="AA454" s="502">
        <f t="shared" si="237"/>
        <v>0</v>
      </c>
      <c r="AB454" s="494"/>
      <c r="AC454" s="494"/>
      <c r="AD454" s="494"/>
      <c r="AE454" s="494"/>
      <c r="AF454" s="494"/>
      <c r="AG454" s="494"/>
      <c r="AH454" s="494"/>
      <c r="AI454" s="494"/>
      <c r="AJ454" s="492">
        <f t="shared" si="221"/>
        <v>0</v>
      </c>
      <c r="AK454" s="1111"/>
      <c r="AL454" s="1048"/>
      <c r="AM454" s="31" t="e">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0"&amp;CHAR(10),""),IF(#REF!&gt;0," * F01-14 for Age "&amp;D440&amp;" "&amp;D441&amp;" has a value greater than 0"&amp;CHAR(10),""),IF(#REF!&gt;0," * F01-14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#REF!</v>
      </c>
      <c r="AN454" s="846"/>
      <c r="AO454" s="13">
        <v>33</v>
      </c>
      <c r="AP454" s="81"/>
      <c r="AQ454" s="82"/>
    </row>
    <row r="455" spans="1:43" s="83" customFormat="1" ht="26.25" x14ac:dyDescent="0.4">
      <c r="A455" s="999"/>
      <c r="B455" s="776" t="s">
        <v>1119</v>
      </c>
      <c r="C455" s="780" t="s">
        <v>1160</v>
      </c>
      <c r="D455" s="764"/>
      <c r="E455" s="792"/>
      <c r="F455" s="569"/>
      <c r="G455" s="501"/>
      <c r="H455" s="501"/>
      <c r="I455" s="501"/>
      <c r="J455" s="501"/>
      <c r="K455" s="501"/>
      <c r="L455" s="501"/>
      <c r="M455" s="501"/>
      <c r="N455" s="501"/>
      <c r="O455" s="501"/>
      <c r="P455" s="501"/>
      <c r="Q455" s="501"/>
      <c r="R455" s="501"/>
      <c r="S455" s="501"/>
      <c r="T455" s="501"/>
      <c r="U455" s="501"/>
      <c r="V455" s="501"/>
      <c r="W455" s="501"/>
      <c r="X455" s="501"/>
      <c r="Y455" s="501"/>
      <c r="Z455" s="502">
        <f t="shared" si="236"/>
        <v>0</v>
      </c>
      <c r="AA455" s="502">
        <f t="shared" si="237"/>
        <v>0</v>
      </c>
      <c r="AB455" s="501"/>
      <c r="AC455" s="501"/>
      <c r="AD455" s="501"/>
      <c r="AE455" s="501"/>
      <c r="AF455" s="501"/>
      <c r="AG455" s="501"/>
      <c r="AH455" s="501"/>
      <c r="AI455" s="501"/>
      <c r="AJ455" s="492">
        <f t="shared" si="221"/>
        <v>0</v>
      </c>
      <c r="AK455" s="483"/>
      <c r="AL455" s="1048"/>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846"/>
      <c r="AO455" s="13">
        <v>33</v>
      </c>
      <c r="AP455" s="81"/>
      <c r="AQ455" s="82"/>
    </row>
    <row r="456" spans="1:43" s="83" customFormat="1" ht="27" thickBot="1" x14ac:dyDescent="0.45">
      <c r="A456" s="1000"/>
      <c r="B456" s="777" t="s">
        <v>1121</v>
      </c>
      <c r="C456" s="781" t="s">
        <v>1161</v>
      </c>
      <c r="D456" s="765"/>
      <c r="E456" s="793"/>
      <c r="F456" s="797"/>
      <c r="G456" s="755"/>
      <c r="H456" s="755"/>
      <c r="I456" s="755"/>
      <c r="J456" s="755"/>
      <c r="K456" s="755"/>
      <c r="L456" s="755"/>
      <c r="M456" s="755"/>
      <c r="N456" s="755"/>
      <c r="O456" s="755"/>
      <c r="P456" s="755"/>
      <c r="Q456" s="755"/>
      <c r="R456" s="755"/>
      <c r="S456" s="755"/>
      <c r="T456" s="755"/>
      <c r="U456" s="755"/>
      <c r="V456" s="755"/>
      <c r="W456" s="755"/>
      <c r="X456" s="755"/>
      <c r="Y456" s="755"/>
      <c r="Z456" s="502">
        <f t="shared" si="236"/>
        <v>0</v>
      </c>
      <c r="AA456" s="502">
        <f t="shared" si="237"/>
        <v>0</v>
      </c>
      <c r="AB456" s="755"/>
      <c r="AC456" s="755"/>
      <c r="AD456" s="755"/>
      <c r="AE456" s="755"/>
      <c r="AF456" s="755"/>
      <c r="AG456" s="755"/>
      <c r="AH456" s="755"/>
      <c r="AI456" s="755"/>
      <c r="AJ456" s="493">
        <f t="shared" ref="AJ456:AJ475" si="238">SUM(D456:AA456)</f>
        <v>0</v>
      </c>
      <c r="AK456" s="483"/>
      <c r="AL456" s="1048"/>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846"/>
      <c r="AO456" s="13">
        <v>33</v>
      </c>
      <c r="AP456" s="81"/>
      <c r="AQ456" s="82"/>
    </row>
    <row r="457" spans="1:43" s="83" customFormat="1" ht="26.25" x14ac:dyDescent="0.4">
      <c r="A457" s="998" t="s">
        <v>18</v>
      </c>
      <c r="B457" s="775" t="s">
        <v>150</v>
      </c>
      <c r="C457" s="779" t="s">
        <v>1162</v>
      </c>
      <c r="D457" s="762"/>
      <c r="E457" s="790"/>
      <c r="F457" s="774">
        <f t="shared" ref="F457:AA457" si="239">F48</f>
        <v>0</v>
      </c>
      <c r="G457" s="768">
        <f t="shared" si="239"/>
        <v>0</v>
      </c>
      <c r="H457" s="768">
        <f t="shared" si="239"/>
        <v>0</v>
      </c>
      <c r="I457" s="768">
        <f t="shared" si="239"/>
        <v>0</v>
      </c>
      <c r="J457" s="768">
        <f t="shared" si="239"/>
        <v>0</v>
      </c>
      <c r="K457" s="768">
        <f t="shared" si="239"/>
        <v>0</v>
      </c>
      <c r="L457" s="768">
        <f t="shared" si="239"/>
        <v>0</v>
      </c>
      <c r="M457" s="768">
        <f t="shared" si="239"/>
        <v>0</v>
      </c>
      <c r="N457" s="768">
        <f t="shared" si="239"/>
        <v>0</v>
      </c>
      <c r="O457" s="768">
        <f t="shared" si="239"/>
        <v>0</v>
      </c>
      <c r="P457" s="768">
        <f t="shared" si="239"/>
        <v>0</v>
      </c>
      <c r="Q457" s="768">
        <f t="shared" si="239"/>
        <v>0</v>
      </c>
      <c r="R457" s="768">
        <f t="shared" si="239"/>
        <v>0</v>
      </c>
      <c r="S457" s="768">
        <f t="shared" si="239"/>
        <v>0</v>
      </c>
      <c r="T457" s="768">
        <f t="shared" si="239"/>
        <v>0</v>
      </c>
      <c r="U457" s="768">
        <f t="shared" si="239"/>
        <v>0</v>
      </c>
      <c r="V457" s="768">
        <f t="shared" si="239"/>
        <v>0</v>
      </c>
      <c r="W457" s="768">
        <f t="shared" si="239"/>
        <v>0</v>
      </c>
      <c r="X457" s="768">
        <f t="shared" si="239"/>
        <v>0</v>
      </c>
      <c r="Y457" s="768">
        <f t="shared" si="239"/>
        <v>0</v>
      </c>
      <c r="Z457" s="768">
        <f t="shared" si="239"/>
        <v>0</v>
      </c>
      <c r="AA457" s="769">
        <f t="shared" si="239"/>
        <v>0</v>
      </c>
      <c r="AB457" s="768">
        <f t="shared" ref="AB457:AI457" si="240">AB48</f>
        <v>0</v>
      </c>
      <c r="AC457" s="769">
        <f t="shared" si="240"/>
        <v>0</v>
      </c>
      <c r="AD457" s="768">
        <f t="shared" si="240"/>
        <v>0</v>
      </c>
      <c r="AE457" s="769">
        <f t="shared" si="240"/>
        <v>0</v>
      </c>
      <c r="AF457" s="768">
        <f t="shared" si="240"/>
        <v>0</v>
      </c>
      <c r="AG457" s="769">
        <f t="shared" si="240"/>
        <v>0</v>
      </c>
      <c r="AH457" s="768">
        <f t="shared" si="240"/>
        <v>0</v>
      </c>
      <c r="AI457" s="769">
        <f t="shared" si="240"/>
        <v>0</v>
      </c>
      <c r="AJ457" s="490">
        <f t="shared" si="238"/>
        <v>0</v>
      </c>
      <c r="AK457" s="562"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048"/>
      <c r="AM457" s="31"/>
      <c r="AN457" s="846"/>
      <c r="AO457" s="13">
        <v>31</v>
      </c>
      <c r="AP457" s="81"/>
      <c r="AQ457" s="82"/>
    </row>
    <row r="458" spans="1:43" s="83" customFormat="1" ht="26.25" x14ac:dyDescent="0.4">
      <c r="A458" s="999"/>
      <c r="B458" s="776" t="s">
        <v>1136</v>
      </c>
      <c r="C458" s="780" t="s">
        <v>1163</v>
      </c>
      <c r="D458" s="644"/>
      <c r="E458" s="791"/>
      <c r="F458" s="795"/>
      <c r="G458" s="757"/>
      <c r="H458" s="757"/>
      <c r="I458" s="757"/>
      <c r="J458" s="757"/>
      <c r="K458" s="757"/>
      <c r="L458" s="494"/>
      <c r="M458" s="494"/>
      <c r="N458" s="494"/>
      <c r="O458" s="494"/>
      <c r="P458" s="494"/>
      <c r="Q458" s="494"/>
      <c r="R458" s="494"/>
      <c r="S458" s="494"/>
      <c r="T458" s="494"/>
      <c r="U458" s="494"/>
      <c r="V458" s="494"/>
      <c r="W458" s="494"/>
      <c r="X458" s="494"/>
      <c r="Y458" s="494"/>
      <c r="Z458" s="502">
        <f t="shared" ref="Z458:Z461" si="241">SUM(AB458,AD458,AF458,AH458)</f>
        <v>0</v>
      </c>
      <c r="AA458" s="502">
        <f t="shared" ref="AA458:AA461" si="242">SUM(AC458,AE458,AG458,AI458)</f>
        <v>0</v>
      </c>
      <c r="AB458" s="494"/>
      <c r="AC458" s="770"/>
      <c r="AD458" s="494"/>
      <c r="AE458" s="770"/>
      <c r="AF458" s="494"/>
      <c r="AG458" s="770"/>
      <c r="AH458" s="494"/>
      <c r="AI458" s="770"/>
      <c r="AJ458" s="491">
        <f t="shared" si="238"/>
        <v>0</v>
      </c>
      <c r="AK458" s="1111" t="str">
        <f>CONCATENATE(IF(D459&gt;D458," * Positive F01-13 for Age "&amp;D445&amp;" "&amp;D446&amp;" is more than Tested F01-12"&amp;CHAR(10),""),IF(E459&gt;E458," * Positive F01-13 for Age "&amp;D445&amp;" "&amp;E446&amp;" is more than Tested F01-12"&amp;CHAR(10),""),IF(F459&gt;F458," * Positive F01-13 for Age "&amp;F445&amp;" "&amp;F446&amp;" is more than Tested F01-12"&amp;CHAR(10),""),IF(G459&gt;G458," * Positive F01-13 for Age "&amp;F445&amp;" "&amp;G446&amp;" is more than Tested F01-12"&amp;CHAR(10),""),IF(H459&gt;H458," * Positive F01-13 for Age "&amp;H445&amp;" "&amp;H446&amp;" is more than Tested F01-12"&amp;CHAR(10),""),IF(I459&gt;I458," * Positive F01-13 for Age "&amp;H445&amp;" "&amp;I446&amp;" is more than Tested F01-12"&amp;CHAR(10),""),IF(J459&gt;J458," * Positive F01-13 for Age "&amp;J445&amp;" "&amp;J446&amp;" is more than Tested F01-12"&amp;CHAR(10),""),IF(K459&gt;K458," * Positive F01-13 for Age "&amp;J445&amp;" "&amp;K446&amp;" is more than Tested F01-12"&amp;CHAR(10),""),IF(L459&gt;L458," * Positive F01-13 for Age "&amp;L445&amp;" "&amp;L446&amp;" is more than Tested F01-12"&amp;CHAR(10),""),IF(M459&gt;M458," * Positive F01-13 for Age "&amp;L445&amp;" "&amp;M446&amp;" is more than Tested F01-12"&amp;CHAR(10),""),IF(N459&gt;N458," * Positive F01-13 for Age "&amp;N445&amp;" "&amp;N446&amp;" is more than Tested F01-12"&amp;CHAR(10),""),IF(O459&gt;O458," * Positive F01-13 for Age "&amp;N445&amp;" "&amp;O446&amp;" is more than Tested F01-12"&amp;CHAR(10),""),IF(P459&gt;P458," * Positive F01-13 for Age "&amp;P445&amp;" "&amp;P446&amp;" is more than Tested F01-12"&amp;CHAR(10),""),IF(Q459&gt;Q458," * Positive F01-13 for Age "&amp;P445&amp;" "&amp;Q446&amp;" is more than Tested F01-12"&amp;CHAR(10),""),IF(R459&gt;R458," * Positive F01-13 for Age "&amp;R445&amp;" "&amp;R446&amp;" is more than Tested F01-12"&amp;CHAR(10),""),IF(S459&gt;S458," * Positive F01-13 for Age "&amp;R445&amp;" "&amp;S446&amp;" is more than Tested F01-12"&amp;CHAR(10),""),IF(T459&gt;T458," * Positive F01-13 for Age "&amp;T445&amp;" "&amp;T446&amp;" is more than Tested F01-12"&amp;CHAR(10),""),IF(U459&gt;U458," * Positive F01-13 for Age "&amp;T445&amp;" "&amp;U446&amp;" is more than Tested F01-12"&amp;CHAR(10),""),IF(V459&gt;V458," * Positive F01-13 for Age "&amp;V445&amp;" "&amp;V446&amp;" is more than Tested F01-12"&amp;CHAR(10),""),IF(W459&gt;W458," * Positive F01-13 for Age "&amp;V445&amp;" "&amp;W446&amp;" is more than Tested F01-12"&amp;CHAR(10),""),IF(X459&gt;X458," * Positive F01-13 for Age "&amp;X445&amp;" "&amp;X446&amp;" is more than Tested F01-12"&amp;CHAR(10),""),IF(Y459&gt;Y458," * Positive F01-13 for Age "&amp;X445&amp;" "&amp;Y446&amp;" is more than Tested F01-12"&amp;CHAR(10),""),IF(Z459&gt;Z458," * Positive F01-13 for Age "&amp;Z445&amp;" "&amp;Z446&amp;" is more than Tested F01-12"&amp;CHAR(10),""),IF(AA459&gt;AA458," * Positive F01-13 for Age "&amp;Z445&amp;" "&amp;AA446&amp;" is more than Tested F01-12"&amp;CHAR(10),""))</f>
        <v/>
      </c>
      <c r="AL458" s="1048"/>
      <c r="AM458" s="31" t="str">
        <f>CONCATENATE(IF(AND(IFERROR((AJ459*100)/AJ458,0)&gt;10,AJ459&gt;5)," * This facility has a high positivity rate for Index Testing. Kindly confirm if this is the true reflection"&amp;CHAR(10),""),"")</f>
        <v/>
      </c>
      <c r="AN458" s="846"/>
      <c r="AO458" s="13">
        <v>32</v>
      </c>
      <c r="AP458" s="81"/>
      <c r="AQ458" s="82"/>
    </row>
    <row r="459" spans="1:43" s="83" customFormat="1" ht="26.25" x14ac:dyDescent="0.4">
      <c r="A459" s="999"/>
      <c r="B459" s="776" t="s">
        <v>1117</v>
      </c>
      <c r="C459" s="780" t="s">
        <v>1164</v>
      </c>
      <c r="D459" s="764"/>
      <c r="E459" s="792"/>
      <c r="F459" s="795"/>
      <c r="G459" s="757"/>
      <c r="H459" s="757"/>
      <c r="I459" s="757"/>
      <c r="J459" s="757"/>
      <c r="K459" s="757"/>
      <c r="L459" s="494"/>
      <c r="M459" s="494"/>
      <c r="N459" s="494"/>
      <c r="O459" s="494"/>
      <c r="P459" s="494"/>
      <c r="Q459" s="494"/>
      <c r="R459" s="494"/>
      <c r="S459" s="494"/>
      <c r="T459" s="494"/>
      <c r="U459" s="494"/>
      <c r="V459" s="494"/>
      <c r="W459" s="494"/>
      <c r="X459" s="494"/>
      <c r="Y459" s="494"/>
      <c r="Z459" s="502">
        <f t="shared" si="241"/>
        <v>0</v>
      </c>
      <c r="AA459" s="502">
        <f t="shared" si="242"/>
        <v>0</v>
      </c>
      <c r="AB459" s="494"/>
      <c r="AC459" s="770"/>
      <c r="AD459" s="494"/>
      <c r="AE459" s="770"/>
      <c r="AF459" s="494"/>
      <c r="AG459" s="770"/>
      <c r="AH459" s="494"/>
      <c r="AI459" s="770"/>
      <c r="AJ459" s="492">
        <f t="shared" si="238"/>
        <v>0</v>
      </c>
      <c r="AK459" s="1111"/>
      <c r="AL459" s="1048"/>
      <c r="AM459" s="31" t="e">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0"&amp;CHAR(10),""),IF(#REF!&gt;0," * F01-14 for Age "&amp;D445&amp;" "&amp;D446&amp;" has a value greater than 0"&amp;CHAR(10),""),IF(#REF!&gt;0," * F01-14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#REF!</v>
      </c>
      <c r="AN459" s="846"/>
      <c r="AO459" s="13">
        <v>33</v>
      </c>
      <c r="AP459" s="81"/>
      <c r="AQ459" s="82"/>
    </row>
    <row r="460" spans="1:43" s="83" customFormat="1" ht="26.25" x14ac:dyDescent="0.4">
      <c r="A460" s="999"/>
      <c r="B460" s="776" t="s">
        <v>1119</v>
      </c>
      <c r="C460" s="780" t="s">
        <v>1165</v>
      </c>
      <c r="D460" s="764"/>
      <c r="E460" s="792"/>
      <c r="F460" s="795"/>
      <c r="G460" s="757"/>
      <c r="H460" s="757"/>
      <c r="I460" s="757"/>
      <c r="J460" s="757"/>
      <c r="K460" s="757"/>
      <c r="L460" s="494"/>
      <c r="M460" s="494"/>
      <c r="N460" s="494"/>
      <c r="O460" s="494"/>
      <c r="P460" s="494"/>
      <c r="Q460" s="494"/>
      <c r="R460" s="494"/>
      <c r="S460" s="494"/>
      <c r="T460" s="494"/>
      <c r="U460" s="494"/>
      <c r="V460" s="494"/>
      <c r="W460" s="494"/>
      <c r="X460" s="494"/>
      <c r="Y460" s="494"/>
      <c r="Z460" s="502">
        <f t="shared" si="241"/>
        <v>0</v>
      </c>
      <c r="AA460" s="502">
        <f t="shared" si="242"/>
        <v>0</v>
      </c>
      <c r="AB460" s="494"/>
      <c r="AC460" s="770"/>
      <c r="AD460" s="494"/>
      <c r="AE460" s="770"/>
      <c r="AF460" s="494"/>
      <c r="AG460" s="770"/>
      <c r="AH460" s="494"/>
      <c r="AI460" s="770"/>
      <c r="AJ460" s="492">
        <f t="shared" si="238"/>
        <v>0</v>
      </c>
      <c r="AK460" s="483"/>
      <c r="AL460" s="1048"/>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846"/>
      <c r="AO460" s="13">
        <v>33</v>
      </c>
      <c r="AP460" s="81"/>
      <c r="AQ460" s="82"/>
    </row>
    <row r="461" spans="1:43" s="83" customFormat="1" ht="27" thickBot="1" x14ac:dyDescent="0.45">
      <c r="A461" s="1000"/>
      <c r="B461" s="777" t="s">
        <v>1121</v>
      </c>
      <c r="C461" s="781" t="s">
        <v>1166</v>
      </c>
      <c r="D461" s="765"/>
      <c r="E461" s="793"/>
      <c r="F461" s="796">
        <f>F457-SUM(F458:F460)</f>
        <v>0</v>
      </c>
      <c r="G461" s="766">
        <f t="shared" ref="G461" si="243">G457-SUM(G458:G460)</f>
        <v>0</v>
      </c>
      <c r="H461" s="766">
        <f t="shared" ref="H461" si="244">H457-SUM(H458:H460)</f>
        <v>0</v>
      </c>
      <c r="I461" s="766">
        <f t="shared" ref="I461" si="245">I457-SUM(I458:I460)</f>
        <v>0</v>
      </c>
      <c r="J461" s="766">
        <f t="shared" ref="J461" si="246">J457-SUM(J458:J460)</f>
        <v>0</v>
      </c>
      <c r="K461" s="766">
        <f t="shared" ref="K461" si="247">K457-SUM(K458:K460)</f>
        <v>0</v>
      </c>
      <c r="L461" s="566"/>
      <c r="M461" s="566"/>
      <c r="N461" s="566"/>
      <c r="O461" s="566"/>
      <c r="P461" s="566"/>
      <c r="Q461" s="566"/>
      <c r="R461" s="566"/>
      <c r="S461" s="566"/>
      <c r="T461" s="566"/>
      <c r="U461" s="566"/>
      <c r="V461" s="566"/>
      <c r="W461" s="566"/>
      <c r="X461" s="566"/>
      <c r="Y461" s="566"/>
      <c r="Z461" s="502">
        <f t="shared" si="241"/>
        <v>0</v>
      </c>
      <c r="AA461" s="502">
        <f t="shared" si="242"/>
        <v>0</v>
      </c>
      <c r="AB461" s="566"/>
      <c r="AC461" s="772"/>
      <c r="AD461" s="566"/>
      <c r="AE461" s="772"/>
      <c r="AF461" s="566"/>
      <c r="AG461" s="772"/>
      <c r="AH461" s="566"/>
      <c r="AI461" s="772"/>
      <c r="AJ461" s="493">
        <f t="shared" si="238"/>
        <v>0</v>
      </c>
      <c r="AK461" s="483"/>
      <c r="AL461" s="1048"/>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846"/>
      <c r="AO461" s="13">
        <v>33</v>
      </c>
      <c r="AP461" s="81"/>
      <c r="AQ461" s="82"/>
    </row>
    <row r="462" spans="1:43" s="83" customFormat="1" ht="27" thickBot="1" x14ac:dyDescent="0.45">
      <c r="A462" s="998" t="s">
        <v>1052</v>
      </c>
      <c r="B462" s="775" t="s">
        <v>150</v>
      </c>
      <c r="C462" s="779" t="s">
        <v>1167</v>
      </c>
      <c r="D462" s="762"/>
      <c r="E462" s="790"/>
      <c r="F462" s="801">
        <f t="shared" ref="F462:AA462" si="248">F53</f>
        <v>0</v>
      </c>
      <c r="G462" s="500">
        <f t="shared" si="248"/>
        <v>0</v>
      </c>
      <c r="H462" s="500">
        <f t="shared" si="248"/>
        <v>0</v>
      </c>
      <c r="I462" s="500">
        <f t="shared" si="248"/>
        <v>0</v>
      </c>
      <c r="J462" s="500">
        <f t="shared" si="248"/>
        <v>0</v>
      </c>
      <c r="K462" s="500">
        <f t="shared" si="248"/>
        <v>0</v>
      </c>
      <c r="L462" s="500">
        <f t="shared" si="248"/>
        <v>0</v>
      </c>
      <c r="M462" s="500">
        <f t="shared" si="248"/>
        <v>0</v>
      </c>
      <c r="N462" s="500">
        <f t="shared" si="248"/>
        <v>0</v>
      </c>
      <c r="O462" s="500">
        <f t="shared" si="248"/>
        <v>0</v>
      </c>
      <c r="P462" s="500">
        <f t="shared" si="248"/>
        <v>0</v>
      </c>
      <c r="Q462" s="500">
        <f t="shared" si="248"/>
        <v>0</v>
      </c>
      <c r="R462" s="500">
        <f t="shared" si="248"/>
        <v>0</v>
      </c>
      <c r="S462" s="500">
        <f t="shared" si="248"/>
        <v>0</v>
      </c>
      <c r="T462" s="500">
        <f t="shared" si="248"/>
        <v>0</v>
      </c>
      <c r="U462" s="500">
        <f t="shared" si="248"/>
        <v>0</v>
      </c>
      <c r="V462" s="500">
        <f t="shared" si="248"/>
        <v>0</v>
      </c>
      <c r="W462" s="500">
        <f t="shared" si="248"/>
        <v>0</v>
      </c>
      <c r="X462" s="500">
        <f t="shared" si="248"/>
        <v>0</v>
      </c>
      <c r="Y462" s="500">
        <f t="shared" si="248"/>
        <v>0</v>
      </c>
      <c r="Z462" s="500">
        <f t="shared" si="248"/>
        <v>0</v>
      </c>
      <c r="AA462" s="787">
        <f t="shared" si="248"/>
        <v>0</v>
      </c>
      <c r="AB462" s="500">
        <f t="shared" ref="AB462:AI462" si="249">AB53</f>
        <v>0</v>
      </c>
      <c r="AC462" s="787">
        <f t="shared" si="249"/>
        <v>0</v>
      </c>
      <c r="AD462" s="500">
        <f t="shared" si="249"/>
        <v>0</v>
      </c>
      <c r="AE462" s="787">
        <f t="shared" si="249"/>
        <v>0</v>
      </c>
      <c r="AF462" s="500">
        <f t="shared" si="249"/>
        <v>0</v>
      </c>
      <c r="AG462" s="787">
        <f t="shared" si="249"/>
        <v>0</v>
      </c>
      <c r="AH462" s="500">
        <f t="shared" si="249"/>
        <v>0</v>
      </c>
      <c r="AI462" s="787">
        <f t="shared" si="249"/>
        <v>0</v>
      </c>
      <c r="AJ462" s="490">
        <f t="shared" si="238"/>
        <v>0</v>
      </c>
      <c r="AK462" s="562"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048"/>
      <c r="AM462" s="31"/>
      <c r="AN462" s="846"/>
      <c r="AO462" s="13">
        <v>31</v>
      </c>
      <c r="AP462" s="81"/>
      <c r="AQ462" s="82"/>
    </row>
    <row r="463" spans="1:43" s="83" customFormat="1" ht="26.25" x14ac:dyDescent="0.4">
      <c r="A463" s="999"/>
      <c r="B463" s="776" t="s">
        <v>1136</v>
      </c>
      <c r="C463" s="780" t="s">
        <v>1168</v>
      </c>
      <c r="D463" s="644"/>
      <c r="E463" s="791"/>
      <c r="F463" s="567"/>
      <c r="G463" s="564"/>
      <c r="H463" s="564"/>
      <c r="I463" s="564"/>
      <c r="J463" s="564"/>
      <c r="K463" s="564"/>
      <c r="L463" s="564"/>
      <c r="M463" s="564"/>
      <c r="N463" s="564"/>
      <c r="O463" s="564"/>
      <c r="P463" s="564"/>
      <c r="Q463" s="564"/>
      <c r="R463" s="564"/>
      <c r="S463" s="564"/>
      <c r="T463" s="564"/>
      <c r="U463" s="564"/>
      <c r="V463" s="564"/>
      <c r="W463" s="564"/>
      <c r="X463" s="564"/>
      <c r="Y463" s="564"/>
      <c r="Z463" s="502">
        <f t="shared" ref="Z463:Z466" si="250">SUM(AB463,AD463,AF463,AH463)</f>
        <v>0</v>
      </c>
      <c r="AA463" s="502">
        <f t="shared" ref="AA463:AA476" si="251">SUM(AC463,AE463,AG463,AI463)</f>
        <v>0</v>
      </c>
      <c r="AB463" s="564"/>
      <c r="AC463" s="788"/>
      <c r="AD463" s="564"/>
      <c r="AE463" s="788"/>
      <c r="AF463" s="564"/>
      <c r="AG463" s="788"/>
      <c r="AH463" s="564"/>
      <c r="AI463" s="788"/>
      <c r="AJ463" s="491">
        <f t="shared" si="238"/>
        <v>0</v>
      </c>
      <c r="AK463" s="1111" t="str">
        <f>CONCATENATE(IF(D464&gt;D463," * Positive F01-13 for Age "&amp;D450&amp;" "&amp;D451&amp;" is more than Tested F01-12"&amp;CHAR(10),""),IF(E464&gt;E463," * Positive F01-13 for Age "&amp;D450&amp;" "&amp;E451&amp;" is more than Tested F01-12"&amp;CHAR(10),""),IF(F464&gt;F463," * Positive F01-13 for Age "&amp;F450&amp;" "&amp;F451&amp;" is more than Tested F01-12"&amp;CHAR(10),""),IF(G464&gt;G463," * Positive F01-13 for Age "&amp;F450&amp;" "&amp;G451&amp;" is more than Tested F01-12"&amp;CHAR(10),""),IF(H464&gt;H463," * Positive F01-13 for Age "&amp;H450&amp;" "&amp;H451&amp;" is more than Tested F01-12"&amp;CHAR(10),""),IF(I464&gt;I463," * Positive F01-13 for Age "&amp;H450&amp;" "&amp;I451&amp;" is more than Tested F01-12"&amp;CHAR(10),""),IF(J464&gt;J463," * Positive F01-13 for Age "&amp;J450&amp;" "&amp;J451&amp;" is more than Tested F01-12"&amp;CHAR(10),""),IF(K464&gt;K463," * Positive F01-13 for Age "&amp;J450&amp;" "&amp;K451&amp;" is more than Tested F01-12"&amp;CHAR(10),""),IF(L464&gt;L463," * Positive F01-13 for Age "&amp;L450&amp;" "&amp;L451&amp;" is more than Tested F01-12"&amp;CHAR(10),""),IF(M464&gt;M463," * Positive F01-13 for Age "&amp;L450&amp;" "&amp;M451&amp;" is more than Tested F01-12"&amp;CHAR(10),""),IF(N464&gt;N463," * Positive F01-13 for Age "&amp;N450&amp;" "&amp;N451&amp;" is more than Tested F01-12"&amp;CHAR(10),""),IF(O464&gt;O463," * Positive F01-13 for Age "&amp;N450&amp;" "&amp;O451&amp;" is more than Tested F01-12"&amp;CHAR(10),""),IF(P464&gt;P463," * Positive F01-13 for Age "&amp;P450&amp;" "&amp;P451&amp;" is more than Tested F01-12"&amp;CHAR(10),""),IF(Q464&gt;Q463," * Positive F01-13 for Age "&amp;P450&amp;" "&amp;Q451&amp;" is more than Tested F01-12"&amp;CHAR(10),""),IF(R464&gt;R463," * Positive F01-13 for Age "&amp;R450&amp;" "&amp;R451&amp;" is more than Tested F01-12"&amp;CHAR(10),""),IF(S464&gt;S463," * Positive F01-13 for Age "&amp;R450&amp;" "&amp;S451&amp;" is more than Tested F01-12"&amp;CHAR(10),""),IF(T464&gt;T463," * Positive F01-13 for Age "&amp;T450&amp;" "&amp;T451&amp;" is more than Tested F01-12"&amp;CHAR(10),""),IF(U464&gt;U463," * Positive F01-13 for Age "&amp;T450&amp;" "&amp;U451&amp;" is more than Tested F01-12"&amp;CHAR(10),""),IF(V464&gt;V463," * Positive F01-13 for Age "&amp;V450&amp;" "&amp;V451&amp;" is more than Tested F01-12"&amp;CHAR(10),""),IF(W464&gt;W463," * Positive F01-13 for Age "&amp;V450&amp;" "&amp;W451&amp;" is more than Tested F01-12"&amp;CHAR(10),""),IF(X464&gt;X463," * Positive F01-13 for Age "&amp;X450&amp;" "&amp;X451&amp;" is more than Tested F01-12"&amp;CHAR(10),""),IF(Y464&gt;Y463," * Positive F01-13 for Age "&amp;X450&amp;" "&amp;Y451&amp;" is more than Tested F01-12"&amp;CHAR(10),""),IF(Z464&gt;Z463," * Positive F01-13 for Age "&amp;Z450&amp;" "&amp;Z451&amp;" is more than Tested F01-12"&amp;CHAR(10),""),IF(AA464&gt;AA463," * Positive F01-13 for Age "&amp;Z450&amp;" "&amp;AA451&amp;" is more than Tested F01-12"&amp;CHAR(10),""))</f>
        <v/>
      </c>
      <c r="AL463" s="1048"/>
      <c r="AM463" s="31" t="str">
        <f>CONCATENATE(IF(AND(IFERROR((AJ464*100)/AJ463,0)&gt;10,AJ464&gt;5)," * This facility has a high positivity rate for Index Testing. Kindly confirm if this is the true reflection"&amp;CHAR(10),""),"")</f>
        <v/>
      </c>
      <c r="AN463" s="846"/>
      <c r="AO463" s="13">
        <v>32</v>
      </c>
      <c r="AP463" s="81"/>
      <c r="AQ463" s="82"/>
    </row>
    <row r="464" spans="1:43" s="83" customFormat="1" ht="26.25" x14ac:dyDescent="0.4">
      <c r="A464" s="999"/>
      <c r="B464" s="776" t="s">
        <v>1117</v>
      </c>
      <c r="C464" s="780" t="s">
        <v>1169</v>
      </c>
      <c r="D464" s="764"/>
      <c r="E464" s="792"/>
      <c r="F464" s="568"/>
      <c r="G464" s="494"/>
      <c r="H464" s="494"/>
      <c r="I464" s="494"/>
      <c r="J464" s="494"/>
      <c r="K464" s="494"/>
      <c r="L464" s="494"/>
      <c r="M464" s="494"/>
      <c r="N464" s="494"/>
      <c r="O464" s="494"/>
      <c r="P464" s="494"/>
      <c r="Q464" s="494"/>
      <c r="R464" s="494"/>
      <c r="S464" s="494"/>
      <c r="T464" s="494"/>
      <c r="U464" s="494"/>
      <c r="V464" s="494"/>
      <c r="W464" s="494"/>
      <c r="X464" s="494"/>
      <c r="Y464" s="494"/>
      <c r="Z464" s="502">
        <f t="shared" si="250"/>
        <v>0</v>
      </c>
      <c r="AA464" s="502">
        <f t="shared" si="251"/>
        <v>0</v>
      </c>
      <c r="AB464" s="494"/>
      <c r="AC464" s="770"/>
      <c r="AD464" s="494"/>
      <c r="AE464" s="770"/>
      <c r="AF464" s="494"/>
      <c r="AG464" s="770"/>
      <c r="AH464" s="494"/>
      <c r="AI464" s="770"/>
      <c r="AJ464" s="492">
        <f t="shared" si="238"/>
        <v>0</v>
      </c>
      <c r="AK464" s="1111"/>
      <c r="AL464" s="1048"/>
      <c r="AM464" s="31" t="e">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0"&amp;CHAR(10),""),IF(#REF!&gt;0," * F01-14 for Age "&amp;D450&amp;" "&amp;D451&amp;" has a value greater than 0"&amp;CHAR(10),""),IF(#REF!&gt;0," * F01-14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#REF!</v>
      </c>
      <c r="AN464" s="846"/>
      <c r="AO464" s="13">
        <v>33</v>
      </c>
      <c r="AP464" s="81"/>
      <c r="AQ464" s="82"/>
    </row>
    <row r="465" spans="1:43" s="83" customFormat="1" ht="26.25" x14ac:dyDescent="0.4">
      <c r="A465" s="999"/>
      <c r="B465" s="776" t="s">
        <v>1119</v>
      </c>
      <c r="C465" s="780" t="s">
        <v>1170</v>
      </c>
      <c r="D465" s="764"/>
      <c r="E465" s="792"/>
      <c r="F465" s="569"/>
      <c r="G465" s="501"/>
      <c r="H465" s="501"/>
      <c r="I465" s="501"/>
      <c r="J465" s="501"/>
      <c r="K465" s="501"/>
      <c r="L465" s="501"/>
      <c r="M465" s="501"/>
      <c r="N465" s="501"/>
      <c r="O465" s="501"/>
      <c r="P465" s="501"/>
      <c r="Q465" s="501"/>
      <c r="R465" s="501"/>
      <c r="S465" s="501"/>
      <c r="T465" s="501"/>
      <c r="U465" s="501"/>
      <c r="V465" s="501"/>
      <c r="W465" s="501"/>
      <c r="X465" s="501"/>
      <c r="Y465" s="501"/>
      <c r="Z465" s="502">
        <f t="shared" si="250"/>
        <v>0</v>
      </c>
      <c r="AA465" s="502">
        <f t="shared" si="251"/>
        <v>0</v>
      </c>
      <c r="AB465" s="501"/>
      <c r="AC465" s="789"/>
      <c r="AD465" s="501"/>
      <c r="AE465" s="789"/>
      <c r="AF465" s="501"/>
      <c r="AG465" s="789"/>
      <c r="AH465" s="501"/>
      <c r="AI465" s="789"/>
      <c r="AJ465" s="492">
        <f t="shared" si="238"/>
        <v>0</v>
      </c>
      <c r="AK465" s="483"/>
      <c r="AL465" s="1048"/>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846"/>
      <c r="AO465" s="13">
        <v>33</v>
      </c>
      <c r="AP465" s="81"/>
      <c r="AQ465" s="82"/>
    </row>
    <row r="466" spans="1:43" s="83" customFormat="1" ht="27" thickBot="1" x14ac:dyDescent="0.45">
      <c r="A466" s="1000"/>
      <c r="B466" s="777" t="s">
        <v>1121</v>
      </c>
      <c r="C466" s="781" t="s">
        <v>1171</v>
      </c>
      <c r="D466" s="765"/>
      <c r="E466" s="793"/>
      <c r="F466" s="570"/>
      <c r="G466" s="566"/>
      <c r="H466" s="566"/>
      <c r="I466" s="566"/>
      <c r="J466" s="566"/>
      <c r="K466" s="566"/>
      <c r="L466" s="566"/>
      <c r="M466" s="566"/>
      <c r="N466" s="566"/>
      <c r="O466" s="566"/>
      <c r="P466" s="566"/>
      <c r="Q466" s="566"/>
      <c r="R466" s="566"/>
      <c r="S466" s="566"/>
      <c r="T466" s="566"/>
      <c r="U466" s="566"/>
      <c r="V466" s="566"/>
      <c r="W466" s="566"/>
      <c r="X466" s="566"/>
      <c r="Y466" s="566"/>
      <c r="Z466" s="502">
        <f t="shared" si="250"/>
        <v>0</v>
      </c>
      <c r="AA466" s="502">
        <f t="shared" si="251"/>
        <v>0</v>
      </c>
      <c r="AB466" s="566"/>
      <c r="AC466" s="772"/>
      <c r="AD466" s="566"/>
      <c r="AE466" s="772"/>
      <c r="AF466" s="566"/>
      <c r="AG466" s="772"/>
      <c r="AH466" s="566"/>
      <c r="AI466" s="772"/>
      <c r="AJ466" s="493">
        <f t="shared" si="238"/>
        <v>0</v>
      </c>
      <c r="AK466" s="483"/>
      <c r="AL466" s="1048"/>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846"/>
      <c r="AO466" s="13">
        <v>33</v>
      </c>
      <c r="AP466" s="81"/>
      <c r="AQ466" s="82"/>
    </row>
    <row r="467" spans="1:43" s="83" customFormat="1" ht="29.65" customHeight="1" x14ac:dyDescent="0.4">
      <c r="A467" s="998" t="s">
        <v>1139</v>
      </c>
      <c r="B467" s="775" t="s">
        <v>150</v>
      </c>
      <c r="C467" s="779" t="s">
        <v>1172</v>
      </c>
      <c r="D467" s="762"/>
      <c r="E467" s="790"/>
      <c r="F467" s="783">
        <f>F280</f>
        <v>0</v>
      </c>
      <c r="G467" s="784"/>
      <c r="H467" s="773">
        <f t="shared" ref="H467:AA467" si="252">H280</f>
        <v>0</v>
      </c>
      <c r="I467" s="785">
        <f t="shared" si="252"/>
        <v>0</v>
      </c>
      <c r="J467" s="773">
        <f t="shared" si="252"/>
        <v>0</v>
      </c>
      <c r="K467" s="785">
        <f t="shared" si="252"/>
        <v>0</v>
      </c>
      <c r="L467" s="773">
        <f t="shared" si="252"/>
        <v>0</v>
      </c>
      <c r="M467" s="785">
        <f t="shared" si="252"/>
        <v>0</v>
      </c>
      <c r="N467" s="773">
        <f t="shared" si="252"/>
        <v>0</v>
      </c>
      <c r="O467" s="785">
        <f t="shared" si="252"/>
        <v>0</v>
      </c>
      <c r="P467" s="773">
        <f t="shared" si="252"/>
        <v>0</v>
      </c>
      <c r="Q467" s="785">
        <f t="shared" si="252"/>
        <v>0</v>
      </c>
      <c r="R467" s="773">
        <f t="shared" si="252"/>
        <v>0</v>
      </c>
      <c r="S467" s="785">
        <f t="shared" si="252"/>
        <v>0</v>
      </c>
      <c r="T467" s="773">
        <f t="shared" si="252"/>
        <v>0</v>
      </c>
      <c r="U467" s="785">
        <f t="shared" si="252"/>
        <v>0</v>
      </c>
      <c r="V467" s="773">
        <f t="shared" si="252"/>
        <v>0</v>
      </c>
      <c r="W467" s="785">
        <f t="shared" si="252"/>
        <v>0</v>
      </c>
      <c r="X467" s="773">
        <f t="shared" si="252"/>
        <v>0</v>
      </c>
      <c r="Y467" s="785">
        <f t="shared" si="252"/>
        <v>0</v>
      </c>
      <c r="Z467" s="773">
        <f t="shared" si="252"/>
        <v>0</v>
      </c>
      <c r="AA467" s="786">
        <f t="shared" si="252"/>
        <v>0</v>
      </c>
      <c r="AB467" s="773">
        <f t="shared" ref="AB467:AI467" si="253">AB280</f>
        <v>0</v>
      </c>
      <c r="AC467" s="786">
        <f t="shared" si="253"/>
        <v>0</v>
      </c>
      <c r="AD467" s="773">
        <f t="shared" si="253"/>
        <v>0</v>
      </c>
      <c r="AE467" s="786">
        <f t="shared" si="253"/>
        <v>0</v>
      </c>
      <c r="AF467" s="773">
        <f t="shared" si="253"/>
        <v>0</v>
      </c>
      <c r="AG467" s="786">
        <f t="shared" si="253"/>
        <v>0</v>
      </c>
      <c r="AH467" s="773">
        <f t="shared" si="253"/>
        <v>0</v>
      </c>
      <c r="AI467" s="786">
        <f t="shared" si="253"/>
        <v>0</v>
      </c>
      <c r="AJ467" s="490">
        <f t="shared" si="238"/>
        <v>0</v>
      </c>
      <c r="AK467" s="562"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048"/>
      <c r="AM467" s="31"/>
      <c r="AN467" s="846"/>
      <c r="AO467" s="13">
        <v>31</v>
      </c>
      <c r="AP467" s="81"/>
      <c r="AQ467" s="82"/>
    </row>
    <row r="468" spans="1:43" s="83" customFormat="1" ht="26.25" x14ac:dyDescent="0.4">
      <c r="A468" s="999"/>
      <c r="B468" s="776" t="s">
        <v>1136</v>
      </c>
      <c r="C468" s="780" t="s">
        <v>1173</v>
      </c>
      <c r="D468" s="644"/>
      <c r="E468" s="791"/>
      <c r="F468" s="778"/>
      <c r="G468" s="568"/>
      <c r="H468" s="756"/>
      <c r="I468" s="494"/>
      <c r="J468" s="756"/>
      <c r="K468" s="494"/>
      <c r="L468" s="756"/>
      <c r="M468" s="494"/>
      <c r="N468" s="756"/>
      <c r="O468" s="494"/>
      <c r="P468" s="756"/>
      <c r="Q468" s="494"/>
      <c r="R468" s="756"/>
      <c r="S468" s="494"/>
      <c r="T468" s="756"/>
      <c r="U468" s="494"/>
      <c r="V468" s="756"/>
      <c r="W468" s="494"/>
      <c r="X468" s="756"/>
      <c r="Y468" s="494"/>
      <c r="Z468" s="756"/>
      <c r="AA468" s="502">
        <f t="shared" si="251"/>
        <v>0</v>
      </c>
      <c r="AB468" s="756"/>
      <c r="AC468" s="770"/>
      <c r="AD468" s="756"/>
      <c r="AE468" s="770"/>
      <c r="AF468" s="756"/>
      <c r="AG468" s="770"/>
      <c r="AH468" s="756"/>
      <c r="AI468" s="770"/>
      <c r="AJ468" s="491">
        <f t="shared" si="238"/>
        <v>0</v>
      </c>
      <c r="AK468" s="1111" t="str">
        <f>CONCATENATE(IF(D469&gt;D468," * Positive F01-13 for Age "&amp;D455&amp;" "&amp;D456&amp;" is more than Tested F01-12"&amp;CHAR(10),""),IF(E469&gt;E468," * Positive F01-13 for Age "&amp;D455&amp;" "&amp;E456&amp;" is more than Tested F01-12"&amp;CHAR(10),""),IF(F469&gt;F468," * Positive F01-13 for Age "&amp;F455&amp;" "&amp;F456&amp;" is more than Tested F01-12"&amp;CHAR(10),""),IF(G469&gt;G468," * Positive F01-13 for Age "&amp;F455&amp;" "&amp;G456&amp;" is more than Tested F01-12"&amp;CHAR(10),""),IF(H469&gt;H468," * Positive F01-13 for Age "&amp;H455&amp;" "&amp;H456&amp;" is more than Tested F01-12"&amp;CHAR(10),""),IF(I469&gt;I468," * Positive F01-13 for Age "&amp;H455&amp;" "&amp;I456&amp;" is more than Tested F01-12"&amp;CHAR(10),""),IF(J469&gt;J468," * Positive F01-13 for Age "&amp;J455&amp;" "&amp;J456&amp;" is more than Tested F01-12"&amp;CHAR(10),""),IF(K469&gt;K468," * Positive F01-13 for Age "&amp;J455&amp;" "&amp;K456&amp;" is more than Tested F01-12"&amp;CHAR(10),""),IF(L469&gt;L468," * Positive F01-13 for Age "&amp;L455&amp;" "&amp;L456&amp;" is more than Tested F01-12"&amp;CHAR(10),""),IF(M469&gt;M468," * Positive F01-13 for Age "&amp;L455&amp;" "&amp;M456&amp;" is more than Tested F01-12"&amp;CHAR(10),""),IF(N469&gt;N468," * Positive F01-13 for Age "&amp;N455&amp;" "&amp;N456&amp;" is more than Tested F01-12"&amp;CHAR(10),""),IF(O469&gt;O468," * Positive F01-13 for Age "&amp;N455&amp;" "&amp;O456&amp;" is more than Tested F01-12"&amp;CHAR(10),""),IF(P469&gt;P468," * Positive F01-13 for Age "&amp;P455&amp;" "&amp;P456&amp;" is more than Tested F01-12"&amp;CHAR(10),""),IF(Q469&gt;Q468," * Positive F01-13 for Age "&amp;P455&amp;" "&amp;Q456&amp;" is more than Tested F01-12"&amp;CHAR(10),""),IF(R469&gt;R468," * Positive F01-13 for Age "&amp;R455&amp;" "&amp;R456&amp;" is more than Tested F01-12"&amp;CHAR(10),""),IF(S469&gt;S468," * Positive F01-13 for Age "&amp;R455&amp;" "&amp;S456&amp;" is more than Tested F01-12"&amp;CHAR(10),""),IF(T469&gt;T468," * Positive F01-13 for Age "&amp;T455&amp;" "&amp;T456&amp;" is more than Tested F01-12"&amp;CHAR(10),""),IF(U469&gt;U468," * Positive F01-13 for Age "&amp;T455&amp;" "&amp;U456&amp;" is more than Tested F01-12"&amp;CHAR(10),""),IF(V469&gt;V468," * Positive F01-13 for Age "&amp;V455&amp;" "&amp;V456&amp;" is more than Tested F01-12"&amp;CHAR(10),""),IF(W469&gt;W468," * Positive F01-13 for Age "&amp;V455&amp;" "&amp;W456&amp;" is more than Tested F01-12"&amp;CHAR(10),""),IF(X469&gt;X468," * Positive F01-13 for Age "&amp;X455&amp;" "&amp;X456&amp;" is more than Tested F01-12"&amp;CHAR(10),""),IF(Y469&gt;Y468," * Positive F01-13 for Age "&amp;X455&amp;" "&amp;Y456&amp;" is more than Tested F01-12"&amp;CHAR(10),""),IF(Z469&gt;Z468," * Positive F01-13 for Age "&amp;Z455&amp;" "&amp;Z456&amp;" is more than Tested F01-12"&amp;CHAR(10),""),IF(AA469&gt;AA468," * Positive F01-13 for Age "&amp;Z455&amp;" "&amp;AA456&amp;" is more than Tested F01-12"&amp;CHAR(10),""))</f>
        <v/>
      </c>
      <c r="AL468" s="1048"/>
      <c r="AM468" s="31" t="str">
        <f>CONCATENATE(IF(AND(IFERROR((AJ469*100)/AJ468,0)&gt;10,AJ469&gt;5)," * This facility has a high positivity rate for Index Testing. Kindly confirm if this is the true reflection"&amp;CHAR(10),""),"")</f>
        <v/>
      </c>
      <c r="AN468" s="846"/>
      <c r="AO468" s="13">
        <v>32</v>
      </c>
      <c r="AP468" s="81"/>
      <c r="AQ468" s="82"/>
    </row>
    <row r="469" spans="1:43" s="83" customFormat="1" ht="26.25" x14ac:dyDescent="0.4">
      <c r="A469" s="999"/>
      <c r="B469" s="776" t="s">
        <v>1117</v>
      </c>
      <c r="C469" s="780" t="s">
        <v>1174</v>
      </c>
      <c r="D469" s="764"/>
      <c r="E469" s="792"/>
      <c r="F469" s="778"/>
      <c r="G469" s="568"/>
      <c r="H469" s="756"/>
      <c r="I469" s="494"/>
      <c r="J469" s="756"/>
      <c r="K469" s="494"/>
      <c r="L469" s="756"/>
      <c r="M469" s="494"/>
      <c r="N469" s="756"/>
      <c r="O469" s="494"/>
      <c r="P469" s="756"/>
      <c r="Q469" s="494"/>
      <c r="R469" s="756"/>
      <c r="S469" s="494"/>
      <c r="T469" s="756"/>
      <c r="U469" s="494"/>
      <c r="V469" s="756"/>
      <c r="W469" s="494"/>
      <c r="X469" s="756"/>
      <c r="Y469" s="494"/>
      <c r="Z469" s="756"/>
      <c r="AA469" s="502">
        <f t="shared" si="251"/>
        <v>0</v>
      </c>
      <c r="AB469" s="756"/>
      <c r="AC469" s="770"/>
      <c r="AD469" s="756"/>
      <c r="AE469" s="770"/>
      <c r="AF469" s="756"/>
      <c r="AG469" s="770"/>
      <c r="AH469" s="756"/>
      <c r="AI469" s="770"/>
      <c r="AJ469" s="492">
        <f t="shared" si="238"/>
        <v>0</v>
      </c>
      <c r="AK469" s="1111"/>
      <c r="AL469" s="1048"/>
      <c r="AM469" s="31" t="e">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0"&amp;CHAR(10),""),IF(#REF!&gt;0," * F01-14 for Age "&amp;D455&amp;" "&amp;D456&amp;" has a value greater than 0"&amp;CHAR(10),""),IF(#REF!&gt;0," * F01-14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#REF!</v>
      </c>
      <c r="AN469" s="846"/>
      <c r="AO469" s="13">
        <v>33</v>
      </c>
      <c r="AP469" s="81"/>
      <c r="AQ469" s="82"/>
    </row>
    <row r="470" spans="1:43" s="83" customFormat="1" ht="26.25" x14ac:dyDescent="0.4">
      <c r="A470" s="999"/>
      <c r="B470" s="776" t="s">
        <v>1119</v>
      </c>
      <c r="C470" s="780" t="s">
        <v>1175</v>
      </c>
      <c r="D470" s="764"/>
      <c r="E470" s="792"/>
      <c r="F470" s="778"/>
      <c r="G470" s="568"/>
      <c r="H470" s="756"/>
      <c r="I470" s="494"/>
      <c r="J470" s="756"/>
      <c r="K470" s="494"/>
      <c r="L470" s="756"/>
      <c r="M470" s="494"/>
      <c r="N470" s="756"/>
      <c r="O470" s="494"/>
      <c r="P470" s="756"/>
      <c r="Q470" s="494"/>
      <c r="R470" s="756"/>
      <c r="S470" s="494"/>
      <c r="T470" s="756"/>
      <c r="U470" s="494"/>
      <c r="V470" s="756"/>
      <c r="W470" s="494"/>
      <c r="X470" s="756"/>
      <c r="Y470" s="494"/>
      <c r="Z470" s="756"/>
      <c r="AA470" s="502">
        <f t="shared" si="251"/>
        <v>0</v>
      </c>
      <c r="AB470" s="756"/>
      <c r="AC470" s="770"/>
      <c r="AD470" s="756"/>
      <c r="AE470" s="770"/>
      <c r="AF470" s="756"/>
      <c r="AG470" s="770"/>
      <c r="AH470" s="756"/>
      <c r="AI470" s="770"/>
      <c r="AJ470" s="492">
        <f t="shared" si="238"/>
        <v>0</v>
      </c>
      <c r="AK470" s="483"/>
      <c r="AL470" s="1048"/>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846"/>
      <c r="AO470" s="13">
        <v>33</v>
      </c>
      <c r="AP470" s="81"/>
      <c r="AQ470" s="82"/>
    </row>
    <row r="471" spans="1:43" s="83" customFormat="1" ht="27" thickBot="1" x14ac:dyDescent="0.45">
      <c r="A471" s="1000"/>
      <c r="B471" s="777" t="s">
        <v>1121</v>
      </c>
      <c r="C471" s="781" t="s">
        <v>1176</v>
      </c>
      <c r="D471" s="765"/>
      <c r="E471" s="793"/>
      <c r="F471" s="782"/>
      <c r="G471" s="797"/>
      <c r="H471" s="761"/>
      <c r="I471" s="755"/>
      <c r="J471" s="761"/>
      <c r="K471" s="755"/>
      <c r="L471" s="761"/>
      <c r="M471" s="755"/>
      <c r="N471" s="761"/>
      <c r="O471" s="755"/>
      <c r="P471" s="761"/>
      <c r="Q471" s="755"/>
      <c r="R471" s="761"/>
      <c r="S471" s="755"/>
      <c r="T471" s="761"/>
      <c r="U471" s="755"/>
      <c r="V471" s="761"/>
      <c r="W471" s="755"/>
      <c r="X471" s="761"/>
      <c r="Y471" s="755"/>
      <c r="Z471" s="761"/>
      <c r="AA471" s="502">
        <f t="shared" si="251"/>
        <v>0</v>
      </c>
      <c r="AB471" s="761"/>
      <c r="AC471" s="798"/>
      <c r="AD471" s="761"/>
      <c r="AE471" s="798"/>
      <c r="AF471" s="761"/>
      <c r="AG471" s="798"/>
      <c r="AH471" s="761"/>
      <c r="AI471" s="798"/>
      <c r="AJ471" s="493">
        <f t="shared" si="238"/>
        <v>0</v>
      </c>
      <c r="AK471" s="483"/>
      <c r="AL471" s="1048"/>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846"/>
      <c r="AO471" s="13">
        <v>33</v>
      </c>
      <c r="AP471" s="81"/>
      <c r="AQ471" s="82"/>
    </row>
    <row r="472" spans="1:43" s="83" customFormat="1" ht="26.25" x14ac:dyDescent="0.4">
      <c r="A472" s="998" t="s">
        <v>1140</v>
      </c>
      <c r="B472" s="775" t="s">
        <v>150</v>
      </c>
      <c r="C472" s="779" t="s">
        <v>1177</v>
      </c>
      <c r="D472" s="762"/>
      <c r="E472" s="790"/>
      <c r="F472" s="762">
        <f>F284+F286+F288+F290+F292+F294+F296</f>
        <v>0</v>
      </c>
      <c r="G472" s="774">
        <f>G284+G286+G288+G290+G292+G294+G296+G298</f>
        <v>0</v>
      </c>
      <c r="H472" s="774">
        <f t="shared" ref="H472:AA472" si="254">H284+H286+H288+H290+H292+H294+H296+H298</f>
        <v>0</v>
      </c>
      <c r="I472" s="774">
        <f t="shared" si="254"/>
        <v>0</v>
      </c>
      <c r="J472" s="774">
        <f t="shared" si="254"/>
        <v>0</v>
      </c>
      <c r="K472" s="774">
        <f t="shared" si="254"/>
        <v>0</v>
      </c>
      <c r="L472" s="774">
        <f t="shared" si="254"/>
        <v>0</v>
      </c>
      <c r="M472" s="774">
        <f t="shared" si="254"/>
        <v>0</v>
      </c>
      <c r="N472" s="774">
        <f t="shared" si="254"/>
        <v>0</v>
      </c>
      <c r="O472" s="774">
        <f t="shared" si="254"/>
        <v>0</v>
      </c>
      <c r="P472" s="774">
        <f t="shared" si="254"/>
        <v>0</v>
      </c>
      <c r="Q472" s="774">
        <f t="shared" si="254"/>
        <v>0</v>
      </c>
      <c r="R472" s="774">
        <f t="shared" si="254"/>
        <v>0</v>
      </c>
      <c r="S472" s="774">
        <f t="shared" si="254"/>
        <v>0</v>
      </c>
      <c r="T472" s="774">
        <f t="shared" si="254"/>
        <v>0</v>
      </c>
      <c r="U472" s="774">
        <f t="shared" si="254"/>
        <v>0</v>
      </c>
      <c r="V472" s="774">
        <f t="shared" si="254"/>
        <v>0</v>
      </c>
      <c r="W472" s="774">
        <f t="shared" si="254"/>
        <v>0</v>
      </c>
      <c r="X472" s="774">
        <f t="shared" si="254"/>
        <v>0</v>
      </c>
      <c r="Y472" s="774">
        <f t="shared" si="254"/>
        <v>0</v>
      </c>
      <c r="Z472" s="774">
        <f t="shared" si="254"/>
        <v>0</v>
      </c>
      <c r="AA472" s="774">
        <f t="shared" si="254"/>
        <v>0</v>
      </c>
      <c r="AB472" s="774">
        <f t="shared" ref="AB472:AI472" si="255">AB284+AB286+AB288+AB290+AB292+AB294+AB296+AB298</f>
        <v>0</v>
      </c>
      <c r="AC472" s="774">
        <f t="shared" si="255"/>
        <v>0</v>
      </c>
      <c r="AD472" s="774">
        <f t="shared" si="255"/>
        <v>0</v>
      </c>
      <c r="AE472" s="774">
        <f t="shared" si="255"/>
        <v>0</v>
      </c>
      <c r="AF472" s="774">
        <f t="shared" si="255"/>
        <v>0</v>
      </c>
      <c r="AG472" s="774">
        <f t="shared" si="255"/>
        <v>0</v>
      </c>
      <c r="AH472" s="774">
        <f t="shared" si="255"/>
        <v>0</v>
      </c>
      <c r="AI472" s="774">
        <f t="shared" si="255"/>
        <v>0</v>
      </c>
      <c r="AJ472" s="490">
        <f t="shared" si="238"/>
        <v>0</v>
      </c>
      <c r="AK472" s="562"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048"/>
      <c r="AM472" s="31"/>
      <c r="AN472" s="846"/>
      <c r="AO472" s="13">
        <v>31</v>
      </c>
      <c r="AP472" s="81"/>
      <c r="AQ472" s="82"/>
    </row>
    <row r="473" spans="1:43" s="83" customFormat="1" ht="26.25" x14ac:dyDescent="0.4">
      <c r="A473" s="999"/>
      <c r="B473" s="776" t="s">
        <v>1136</v>
      </c>
      <c r="C473" s="780" t="s">
        <v>1178</v>
      </c>
      <c r="D473" s="644"/>
      <c r="E473" s="791"/>
      <c r="F473" s="764"/>
      <c r="G473" s="568"/>
      <c r="H473" s="756"/>
      <c r="I473" s="494"/>
      <c r="J473" s="756"/>
      <c r="K473" s="494"/>
      <c r="L473" s="756"/>
      <c r="M473" s="494"/>
      <c r="N473" s="756"/>
      <c r="O473" s="494"/>
      <c r="P473" s="756"/>
      <c r="Q473" s="494"/>
      <c r="R473" s="756"/>
      <c r="S473" s="494"/>
      <c r="T473" s="756"/>
      <c r="U473" s="494"/>
      <c r="V473" s="756"/>
      <c r="W473" s="494"/>
      <c r="X473" s="756"/>
      <c r="Y473" s="494"/>
      <c r="Z473" s="756"/>
      <c r="AA473" s="502">
        <f t="shared" si="251"/>
        <v>0</v>
      </c>
      <c r="AB473" s="756"/>
      <c r="AC473" s="770"/>
      <c r="AD473" s="756"/>
      <c r="AE473" s="770"/>
      <c r="AF473" s="756"/>
      <c r="AG473" s="770"/>
      <c r="AH473" s="756"/>
      <c r="AI473" s="770"/>
      <c r="AJ473" s="491">
        <f t="shared" si="238"/>
        <v>0</v>
      </c>
      <c r="AK473" s="1111" t="str">
        <f>CONCATENATE(IF(D474&gt;D473," * Positive F01-13 for Age "&amp;D460&amp;" "&amp;D461&amp;" is more than Tested F01-12"&amp;CHAR(10),""),IF(E474&gt;E473," * Positive F01-13 for Age "&amp;D460&amp;" "&amp;E461&amp;" is more than Tested F01-12"&amp;CHAR(10),""),IF(F474&gt;F473," * Positive F01-13 for Age "&amp;F460&amp;" "&amp;F461&amp;" is more than Tested F01-12"&amp;CHAR(10),""),IF(G474&gt;G473," * Positive F01-13 for Age "&amp;F460&amp;" "&amp;G461&amp;" is more than Tested F01-12"&amp;CHAR(10),""),IF(H474&gt;H473," * Positive F01-13 for Age "&amp;H460&amp;" "&amp;H461&amp;" is more than Tested F01-12"&amp;CHAR(10),""),IF(I474&gt;I473," * Positive F01-13 for Age "&amp;H460&amp;" "&amp;I461&amp;" is more than Tested F01-12"&amp;CHAR(10),""),IF(J474&gt;J473," * Positive F01-13 for Age "&amp;J460&amp;" "&amp;J461&amp;" is more than Tested F01-12"&amp;CHAR(10),""),IF(K474&gt;K473," * Positive F01-13 for Age "&amp;J460&amp;" "&amp;K461&amp;" is more than Tested F01-12"&amp;CHAR(10),""),IF(L474&gt;L473," * Positive F01-13 for Age "&amp;L460&amp;" "&amp;L461&amp;" is more than Tested F01-12"&amp;CHAR(10),""),IF(M474&gt;M473," * Positive F01-13 for Age "&amp;L460&amp;" "&amp;M461&amp;" is more than Tested F01-12"&amp;CHAR(10),""),IF(N474&gt;N473," * Positive F01-13 for Age "&amp;N460&amp;" "&amp;N461&amp;" is more than Tested F01-12"&amp;CHAR(10),""),IF(O474&gt;O473," * Positive F01-13 for Age "&amp;N460&amp;" "&amp;O461&amp;" is more than Tested F01-12"&amp;CHAR(10),""),IF(P474&gt;P473," * Positive F01-13 for Age "&amp;P460&amp;" "&amp;P461&amp;" is more than Tested F01-12"&amp;CHAR(10),""),IF(Q474&gt;Q473," * Positive F01-13 for Age "&amp;P460&amp;" "&amp;Q461&amp;" is more than Tested F01-12"&amp;CHAR(10),""),IF(R474&gt;R473," * Positive F01-13 for Age "&amp;R460&amp;" "&amp;R461&amp;" is more than Tested F01-12"&amp;CHAR(10),""),IF(S474&gt;S473," * Positive F01-13 for Age "&amp;R460&amp;" "&amp;S461&amp;" is more than Tested F01-12"&amp;CHAR(10),""),IF(T474&gt;T473," * Positive F01-13 for Age "&amp;T460&amp;" "&amp;T461&amp;" is more than Tested F01-12"&amp;CHAR(10),""),IF(U474&gt;U473," * Positive F01-13 for Age "&amp;T460&amp;" "&amp;U461&amp;" is more than Tested F01-12"&amp;CHAR(10),""),IF(V474&gt;V473," * Positive F01-13 for Age "&amp;V460&amp;" "&amp;V461&amp;" is more than Tested F01-12"&amp;CHAR(10),""),IF(W474&gt;W473," * Positive F01-13 for Age "&amp;V460&amp;" "&amp;W461&amp;" is more than Tested F01-12"&amp;CHAR(10),""),IF(X474&gt;X473," * Positive F01-13 for Age "&amp;X460&amp;" "&amp;X461&amp;" is more than Tested F01-12"&amp;CHAR(10),""),IF(Y474&gt;Y473," * Positive F01-13 for Age "&amp;X460&amp;" "&amp;Y461&amp;" is more than Tested F01-12"&amp;CHAR(10),""),IF(Z474&gt;Z473," * Positive F01-13 for Age "&amp;Z460&amp;" "&amp;Z461&amp;" is more than Tested F01-12"&amp;CHAR(10),""),IF(AA474&gt;AA473," * Positive F01-13 for Age "&amp;Z460&amp;" "&amp;AA461&amp;" is more than Tested F01-12"&amp;CHAR(10),""))</f>
        <v/>
      </c>
      <c r="AL473" s="1048"/>
      <c r="AM473" s="31" t="str">
        <f>CONCATENATE(IF(AND(IFERROR((AJ474*100)/AJ473,0)&gt;10,AJ474&gt;5)," * This facility has a high positivity rate for Index Testing. Kindly confirm if this is the true reflection"&amp;CHAR(10),""),"")</f>
        <v/>
      </c>
      <c r="AN473" s="846"/>
      <c r="AO473" s="13">
        <v>32</v>
      </c>
      <c r="AP473" s="81"/>
      <c r="AQ473" s="82"/>
    </row>
    <row r="474" spans="1:43" s="83" customFormat="1" ht="26.25" x14ac:dyDescent="0.4">
      <c r="A474" s="999"/>
      <c r="B474" s="776" t="s">
        <v>1117</v>
      </c>
      <c r="C474" s="780" t="s">
        <v>1179</v>
      </c>
      <c r="D474" s="764"/>
      <c r="E474" s="792"/>
      <c r="F474" s="764"/>
      <c r="G474" s="568"/>
      <c r="H474" s="756"/>
      <c r="I474" s="494"/>
      <c r="J474" s="756"/>
      <c r="K474" s="494"/>
      <c r="L474" s="756"/>
      <c r="M474" s="494"/>
      <c r="N474" s="756"/>
      <c r="O474" s="494"/>
      <c r="P474" s="756"/>
      <c r="Q474" s="494"/>
      <c r="R474" s="756"/>
      <c r="S474" s="494"/>
      <c r="T474" s="756"/>
      <c r="U474" s="494"/>
      <c r="V474" s="756"/>
      <c r="W474" s="494"/>
      <c r="X474" s="756"/>
      <c r="Y474" s="494"/>
      <c r="Z474" s="756"/>
      <c r="AA474" s="502">
        <f t="shared" si="251"/>
        <v>0</v>
      </c>
      <c r="AB474" s="756"/>
      <c r="AC474" s="770"/>
      <c r="AD474" s="756"/>
      <c r="AE474" s="770"/>
      <c r="AF474" s="756"/>
      <c r="AG474" s="770"/>
      <c r="AH474" s="756"/>
      <c r="AI474" s="770"/>
      <c r="AJ474" s="492">
        <f t="shared" si="238"/>
        <v>0</v>
      </c>
      <c r="AK474" s="1111"/>
      <c r="AL474" s="1048"/>
      <c r="AM474" s="31" t="e">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0"&amp;CHAR(10),""),IF(#REF!&gt;0," * F01-14 for Age "&amp;D460&amp;" "&amp;D461&amp;" has a value greater than 0"&amp;CHAR(10),""),IF(#REF!&gt;0," * F01-14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#REF!</v>
      </c>
      <c r="AN474" s="846"/>
      <c r="AO474" s="13">
        <v>33</v>
      </c>
      <c r="AP474" s="81"/>
      <c r="AQ474" s="82"/>
    </row>
    <row r="475" spans="1:43" s="83" customFormat="1" ht="26.25" x14ac:dyDescent="0.4">
      <c r="A475" s="999"/>
      <c r="B475" s="776" t="s">
        <v>1119</v>
      </c>
      <c r="C475" s="780" t="s">
        <v>1180</v>
      </c>
      <c r="D475" s="764"/>
      <c r="E475" s="792"/>
      <c r="F475" s="764"/>
      <c r="G475" s="568"/>
      <c r="H475" s="756"/>
      <c r="I475" s="494"/>
      <c r="J475" s="756"/>
      <c r="K475" s="494"/>
      <c r="L475" s="756"/>
      <c r="M475" s="494"/>
      <c r="N475" s="756"/>
      <c r="O475" s="494"/>
      <c r="P475" s="756"/>
      <c r="Q475" s="494"/>
      <c r="R475" s="756"/>
      <c r="S475" s="494"/>
      <c r="T475" s="756"/>
      <c r="U475" s="494"/>
      <c r="V475" s="756"/>
      <c r="W475" s="494"/>
      <c r="X475" s="756"/>
      <c r="Y475" s="494"/>
      <c r="Z475" s="756"/>
      <c r="AA475" s="502">
        <f t="shared" si="251"/>
        <v>0</v>
      </c>
      <c r="AB475" s="756"/>
      <c r="AC475" s="770"/>
      <c r="AD475" s="756"/>
      <c r="AE475" s="770"/>
      <c r="AF475" s="756"/>
      <c r="AG475" s="770"/>
      <c r="AH475" s="756"/>
      <c r="AI475" s="770"/>
      <c r="AJ475" s="492">
        <f t="shared" si="238"/>
        <v>0</v>
      </c>
      <c r="AK475" s="483"/>
      <c r="AL475" s="1048"/>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846"/>
      <c r="AO475" s="13">
        <v>33</v>
      </c>
      <c r="AP475" s="81"/>
      <c r="AQ475" s="82"/>
    </row>
    <row r="476" spans="1:43" s="83" customFormat="1" ht="27" thickBot="1" x14ac:dyDescent="0.45">
      <c r="A476" s="1000"/>
      <c r="B476" s="777" t="s">
        <v>1121</v>
      </c>
      <c r="C476" s="781" t="s">
        <v>1181</v>
      </c>
      <c r="D476" s="765"/>
      <c r="E476" s="793"/>
      <c r="F476" s="800"/>
      <c r="G476" s="570"/>
      <c r="H476" s="771"/>
      <c r="I476" s="566"/>
      <c r="J476" s="771"/>
      <c r="K476" s="566"/>
      <c r="L476" s="771"/>
      <c r="M476" s="566"/>
      <c r="N476" s="771"/>
      <c r="O476" s="566"/>
      <c r="P476" s="771"/>
      <c r="Q476" s="566"/>
      <c r="R476" s="771"/>
      <c r="S476" s="566"/>
      <c r="T476" s="771"/>
      <c r="U476" s="566"/>
      <c r="V476" s="771"/>
      <c r="W476" s="566"/>
      <c r="X476" s="771"/>
      <c r="Y476" s="566"/>
      <c r="Z476" s="771"/>
      <c r="AA476" s="502">
        <f t="shared" si="251"/>
        <v>0</v>
      </c>
      <c r="AB476" s="771"/>
      <c r="AC476" s="772"/>
      <c r="AD476" s="771"/>
      <c r="AE476" s="772"/>
      <c r="AF476" s="771"/>
      <c r="AG476" s="772"/>
      <c r="AH476" s="771"/>
      <c r="AI476" s="772"/>
      <c r="AJ476" s="493">
        <f t="shared" ref="AJ476:AJ480" si="256">SUM(D476:AA476)</f>
        <v>0</v>
      </c>
      <c r="AK476" s="483"/>
      <c r="AL476" s="1048"/>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846"/>
      <c r="AO476" s="13">
        <v>33</v>
      </c>
      <c r="AP476" s="81"/>
      <c r="AQ476" s="82"/>
    </row>
    <row r="477" spans="1:43" s="83" customFormat="1" ht="26.25" x14ac:dyDescent="0.4">
      <c r="A477" s="998" t="s">
        <v>1187</v>
      </c>
      <c r="B477" s="488" t="s">
        <v>150</v>
      </c>
      <c r="C477" s="758" t="s">
        <v>1182</v>
      </c>
      <c r="D477" s="762"/>
      <c r="E477" s="790"/>
      <c r="F477" s="794">
        <f>F417+F422+F427+F432+F437+F442+F447+F452+F457+F462+F467+F472</f>
        <v>0</v>
      </c>
      <c r="G477" s="773">
        <f t="shared" ref="G477:AA480" si="257">G417+G422+G427+G432+G437+G442+G447+G452+G457+G462+G467+G472</f>
        <v>0</v>
      </c>
      <c r="H477" s="773">
        <f t="shared" si="257"/>
        <v>0</v>
      </c>
      <c r="I477" s="773">
        <f t="shared" si="257"/>
        <v>0</v>
      </c>
      <c r="J477" s="773">
        <f t="shared" si="257"/>
        <v>0</v>
      </c>
      <c r="K477" s="773">
        <f t="shared" si="257"/>
        <v>0</v>
      </c>
      <c r="L477" s="773">
        <f t="shared" si="257"/>
        <v>0</v>
      </c>
      <c r="M477" s="773">
        <f t="shared" si="257"/>
        <v>0</v>
      </c>
      <c r="N477" s="773">
        <f t="shared" si="257"/>
        <v>0</v>
      </c>
      <c r="O477" s="773">
        <f t="shared" si="257"/>
        <v>0</v>
      </c>
      <c r="P477" s="773">
        <f t="shared" si="257"/>
        <v>0</v>
      </c>
      <c r="Q477" s="773">
        <f t="shared" si="257"/>
        <v>0</v>
      </c>
      <c r="R477" s="773">
        <f t="shared" si="257"/>
        <v>0</v>
      </c>
      <c r="S477" s="773">
        <f t="shared" si="257"/>
        <v>0</v>
      </c>
      <c r="T477" s="773">
        <f t="shared" si="257"/>
        <v>0</v>
      </c>
      <c r="U477" s="773">
        <f t="shared" si="257"/>
        <v>0</v>
      </c>
      <c r="V477" s="773">
        <f t="shared" si="257"/>
        <v>0</v>
      </c>
      <c r="W477" s="773">
        <f t="shared" si="257"/>
        <v>0</v>
      </c>
      <c r="X477" s="773">
        <f t="shared" si="257"/>
        <v>0</v>
      </c>
      <c r="Y477" s="773">
        <f t="shared" si="257"/>
        <v>0</v>
      </c>
      <c r="Z477" s="773">
        <f t="shared" si="257"/>
        <v>0</v>
      </c>
      <c r="AA477" s="799">
        <f t="shared" si="257"/>
        <v>0</v>
      </c>
      <c r="AB477" s="773">
        <f t="shared" ref="AB477:AI477" si="258">AB417+AB422+AB427+AB432+AB437+AB442+AB447+AB452+AB457+AB462+AB467+AB472</f>
        <v>0</v>
      </c>
      <c r="AC477" s="799">
        <f t="shared" si="258"/>
        <v>0</v>
      </c>
      <c r="AD477" s="773">
        <f t="shared" si="258"/>
        <v>0</v>
      </c>
      <c r="AE477" s="799">
        <f t="shared" si="258"/>
        <v>0</v>
      </c>
      <c r="AF477" s="773">
        <f t="shared" si="258"/>
        <v>0</v>
      </c>
      <c r="AG477" s="799">
        <f t="shared" si="258"/>
        <v>0</v>
      </c>
      <c r="AH477" s="773">
        <f t="shared" si="258"/>
        <v>0</v>
      </c>
      <c r="AI477" s="799">
        <f t="shared" si="258"/>
        <v>0</v>
      </c>
      <c r="AJ477" s="490">
        <f t="shared" si="256"/>
        <v>0</v>
      </c>
      <c r="AK477" s="481"/>
      <c r="AL477" s="1048"/>
      <c r="AM477" s="31"/>
      <c r="AN477" s="846"/>
      <c r="AO477" s="13">
        <v>31</v>
      </c>
      <c r="AP477" s="81"/>
      <c r="AQ477" s="82"/>
    </row>
    <row r="478" spans="1:43" s="83" customFormat="1" ht="26.25" x14ac:dyDescent="0.4">
      <c r="A478" s="999"/>
      <c r="B478" s="485" t="s">
        <v>1136</v>
      </c>
      <c r="C478" s="759" t="s">
        <v>1183</v>
      </c>
      <c r="D478" s="644"/>
      <c r="E478" s="791"/>
      <c r="F478" s="795">
        <f t="shared" ref="F478:U480" si="259">F418+F423+F428+F433+F438+F443+F448+F453+F458+F463+F468+F473</f>
        <v>0</v>
      </c>
      <c r="G478" s="757">
        <f t="shared" si="259"/>
        <v>0</v>
      </c>
      <c r="H478" s="757">
        <f t="shared" si="259"/>
        <v>0</v>
      </c>
      <c r="I478" s="757">
        <f t="shared" si="259"/>
        <v>0</v>
      </c>
      <c r="J478" s="757">
        <f t="shared" si="259"/>
        <v>0</v>
      </c>
      <c r="K478" s="757">
        <f t="shared" si="259"/>
        <v>0</v>
      </c>
      <c r="L478" s="757">
        <f t="shared" si="259"/>
        <v>0</v>
      </c>
      <c r="M478" s="757">
        <f t="shared" si="259"/>
        <v>0</v>
      </c>
      <c r="N478" s="757">
        <f t="shared" si="259"/>
        <v>0</v>
      </c>
      <c r="O478" s="757">
        <f t="shared" si="259"/>
        <v>0</v>
      </c>
      <c r="P478" s="757">
        <f t="shared" si="259"/>
        <v>0</v>
      </c>
      <c r="Q478" s="757">
        <f t="shared" si="259"/>
        <v>0</v>
      </c>
      <c r="R478" s="757">
        <f t="shared" si="259"/>
        <v>0</v>
      </c>
      <c r="S478" s="757">
        <f t="shared" si="259"/>
        <v>0</v>
      </c>
      <c r="T478" s="757">
        <f t="shared" si="259"/>
        <v>0</v>
      </c>
      <c r="U478" s="757">
        <f t="shared" si="259"/>
        <v>0</v>
      </c>
      <c r="V478" s="757">
        <f t="shared" si="257"/>
        <v>0</v>
      </c>
      <c r="W478" s="757">
        <f t="shared" si="257"/>
        <v>0</v>
      </c>
      <c r="X478" s="757">
        <f t="shared" si="257"/>
        <v>0</v>
      </c>
      <c r="Y478" s="757">
        <f t="shared" si="257"/>
        <v>0</v>
      </c>
      <c r="Z478" s="757">
        <f t="shared" si="257"/>
        <v>0</v>
      </c>
      <c r="AA478" s="763">
        <f t="shared" si="257"/>
        <v>0</v>
      </c>
      <c r="AB478" s="757">
        <f t="shared" ref="AB478:AI478" si="260">AB418+AB423+AB428+AB433+AB438+AB443+AB448+AB453+AB458+AB463+AB468+AB473</f>
        <v>0</v>
      </c>
      <c r="AC478" s="763">
        <f t="shared" si="260"/>
        <v>0</v>
      </c>
      <c r="AD478" s="757">
        <f t="shared" si="260"/>
        <v>0</v>
      </c>
      <c r="AE478" s="763">
        <f t="shared" si="260"/>
        <v>0</v>
      </c>
      <c r="AF478" s="757">
        <f t="shared" si="260"/>
        <v>0</v>
      </c>
      <c r="AG478" s="763">
        <f t="shared" si="260"/>
        <v>0</v>
      </c>
      <c r="AH478" s="757">
        <f t="shared" si="260"/>
        <v>0</v>
      </c>
      <c r="AI478" s="763">
        <f t="shared" si="260"/>
        <v>0</v>
      </c>
      <c r="AJ478" s="491">
        <f t="shared" si="256"/>
        <v>0</v>
      </c>
      <c r="AK478" s="1111" t="str">
        <f>CONCATENATE(IF(D479&gt;D478," * Positive F01-13 for Age "&amp;D465&amp;" "&amp;D466&amp;" is more than Tested F01-12"&amp;CHAR(10),""),IF(E479&gt;E478," * Positive F01-13 for Age "&amp;D465&amp;" "&amp;E466&amp;" is more than Tested F01-12"&amp;CHAR(10),""),IF(F479&gt;F478," * Positive F01-13 for Age "&amp;F465&amp;" "&amp;F466&amp;" is more than Tested F01-12"&amp;CHAR(10),""),IF(G479&gt;G478," * Positive F01-13 for Age "&amp;F465&amp;" "&amp;G466&amp;" is more than Tested F01-12"&amp;CHAR(10),""),IF(H479&gt;H478," * Positive F01-13 for Age "&amp;H465&amp;" "&amp;H466&amp;" is more than Tested F01-12"&amp;CHAR(10),""),IF(I479&gt;I478," * Positive F01-13 for Age "&amp;H465&amp;" "&amp;I466&amp;" is more than Tested F01-12"&amp;CHAR(10),""),IF(J479&gt;J478," * Positive F01-13 for Age "&amp;J465&amp;" "&amp;J466&amp;" is more than Tested F01-12"&amp;CHAR(10),""),IF(K479&gt;K478," * Positive F01-13 for Age "&amp;J465&amp;" "&amp;K466&amp;" is more than Tested F01-12"&amp;CHAR(10),""),IF(L479&gt;L478," * Positive F01-13 for Age "&amp;L465&amp;" "&amp;L466&amp;" is more than Tested F01-12"&amp;CHAR(10),""),IF(M479&gt;M478," * Positive F01-13 for Age "&amp;L465&amp;" "&amp;M466&amp;" is more than Tested F01-12"&amp;CHAR(10),""),IF(N479&gt;N478," * Positive F01-13 for Age "&amp;N465&amp;" "&amp;N466&amp;" is more than Tested F01-12"&amp;CHAR(10),""),IF(O479&gt;O478," * Positive F01-13 for Age "&amp;N465&amp;" "&amp;O466&amp;" is more than Tested F01-12"&amp;CHAR(10),""),IF(P479&gt;P478," * Positive F01-13 for Age "&amp;P465&amp;" "&amp;P466&amp;" is more than Tested F01-12"&amp;CHAR(10),""),IF(Q479&gt;Q478," * Positive F01-13 for Age "&amp;P465&amp;" "&amp;Q466&amp;" is more than Tested F01-12"&amp;CHAR(10),""),IF(R479&gt;R478," * Positive F01-13 for Age "&amp;R465&amp;" "&amp;R466&amp;" is more than Tested F01-12"&amp;CHAR(10),""),IF(S479&gt;S478," * Positive F01-13 for Age "&amp;R465&amp;" "&amp;S466&amp;" is more than Tested F01-12"&amp;CHAR(10),""),IF(T479&gt;T478," * Positive F01-13 for Age "&amp;T465&amp;" "&amp;T466&amp;" is more than Tested F01-12"&amp;CHAR(10),""),IF(U479&gt;U478," * Positive F01-13 for Age "&amp;T465&amp;" "&amp;U466&amp;" is more than Tested F01-12"&amp;CHAR(10),""),IF(V479&gt;V478," * Positive F01-13 for Age "&amp;V465&amp;" "&amp;V466&amp;" is more than Tested F01-12"&amp;CHAR(10),""),IF(W479&gt;W478," * Positive F01-13 for Age "&amp;V465&amp;" "&amp;W466&amp;" is more than Tested F01-12"&amp;CHAR(10),""),IF(X479&gt;X478," * Positive F01-13 for Age "&amp;X465&amp;" "&amp;X466&amp;" is more than Tested F01-12"&amp;CHAR(10),""),IF(Y479&gt;Y478," * Positive F01-13 for Age "&amp;X465&amp;" "&amp;Y466&amp;" is more than Tested F01-12"&amp;CHAR(10),""),IF(Z479&gt;Z478," * Positive F01-13 for Age "&amp;Z465&amp;" "&amp;Z466&amp;" is more than Tested F01-12"&amp;CHAR(10),""),IF(AA479&gt;AA478," * Positive F01-13 for Age "&amp;Z465&amp;" "&amp;AA466&amp;" is more than Tested F01-12"&amp;CHAR(10),""))</f>
        <v/>
      </c>
      <c r="AL478" s="1048"/>
      <c r="AM478" s="31" t="str">
        <f>CONCATENATE(IF(AND(IFERROR((AJ479*100)/AJ478,0)&gt;10,AJ479&gt;5)," * This facility has a high positivity rate for Index Testing. Kindly confirm if this is the true reflection"&amp;CHAR(10),""),"")</f>
        <v/>
      </c>
      <c r="AN478" s="846"/>
      <c r="AO478" s="13">
        <v>32</v>
      </c>
      <c r="AP478" s="81"/>
      <c r="AQ478" s="82"/>
    </row>
    <row r="479" spans="1:43" s="83" customFormat="1" ht="26.25" x14ac:dyDescent="0.4">
      <c r="A479" s="999"/>
      <c r="B479" s="485" t="s">
        <v>1117</v>
      </c>
      <c r="C479" s="759" t="s">
        <v>1184</v>
      </c>
      <c r="D479" s="764"/>
      <c r="E479" s="792"/>
      <c r="F479" s="795">
        <f t="shared" si="259"/>
        <v>0</v>
      </c>
      <c r="G479" s="757">
        <f t="shared" si="257"/>
        <v>0</v>
      </c>
      <c r="H479" s="757">
        <f t="shared" si="257"/>
        <v>0</v>
      </c>
      <c r="I479" s="757">
        <f t="shared" si="257"/>
        <v>0</v>
      </c>
      <c r="J479" s="757">
        <f t="shared" si="257"/>
        <v>0</v>
      </c>
      <c r="K479" s="757">
        <f t="shared" si="257"/>
        <v>0</v>
      </c>
      <c r="L479" s="757">
        <f t="shared" si="257"/>
        <v>0</v>
      </c>
      <c r="M479" s="757">
        <f t="shared" si="257"/>
        <v>0</v>
      </c>
      <c r="N479" s="757">
        <f t="shared" si="257"/>
        <v>0</v>
      </c>
      <c r="O479" s="757">
        <f t="shared" si="257"/>
        <v>0</v>
      </c>
      <c r="P479" s="757">
        <f t="shared" si="257"/>
        <v>0</v>
      </c>
      <c r="Q479" s="757">
        <f t="shared" si="257"/>
        <v>0</v>
      </c>
      <c r="R479" s="757">
        <f t="shared" si="257"/>
        <v>0</v>
      </c>
      <c r="S479" s="757">
        <f t="shared" si="257"/>
        <v>0</v>
      </c>
      <c r="T479" s="757">
        <f t="shared" si="257"/>
        <v>0</v>
      </c>
      <c r="U479" s="757">
        <f t="shared" si="257"/>
        <v>0</v>
      </c>
      <c r="V479" s="757">
        <f t="shared" si="257"/>
        <v>0</v>
      </c>
      <c r="W479" s="757">
        <f t="shared" si="257"/>
        <v>0</v>
      </c>
      <c r="X479" s="757">
        <f t="shared" si="257"/>
        <v>0</v>
      </c>
      <c r="Y479" s="757">
        <f t="shared" si="257"/>
        <v>0</v>
      </c>
      <c r="Z479" s="757">
        <f t="shared" si="257"/>
        <v>0</v>
      </c>
      <c r="AA479" s="763">
        <f t="shared" si="257"/>
        <v>0</v>
      </c>
      <c r="AB479" s="757">
        <f t="shared" ref="AB479:AI479" si="261">AB419+AB424+AB429+AB434+AB439+AB444+AB449+AB454+AB459+AB464+AB469+AB474</f>
        <v>0</v>
      </c>
      <c r="AC479" s="763">
        <f t="shared" si="261"/>
        <v>0</v>
      </c>
      <c r="AD479" s="757">
        <f t="shared" si="261"/>
        <v>0</v>
      </c>
      <c r="AE479" s="763">
        <f t="shared" si="261"/>
        <v>0</v>
      </c>
      <c r="AF479" s="757">
        <f t="shared" si="261"/>
        <v>0</v>
      </c>
      <c r="AG479" s="763">
        <f t="shared" si="261"/>
        <v>0</v>
      </c>
      <c r="AH479" s="757">
        <f t="shared" si="261"/>
        <v>0</v>
      </c>
      <c r="AI479" s="763">
        <f t="shared" si="261"/>
        <v>0</v>
      </c>
      <c r="AJ479" s="492">
        <f t="shared" si="256"/>
        <v>0</v>
      </c>
      <c r="AK479" s="1111"/>
      <c r="AL479" s="1048"/>
      <c r="AM479" s="31" t="e">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0"&amp;CHAR(10),""),IF(#REF!&gt;0," * F01-14 for Age "&amp;D465&amp;" "&amp;D466&amp;" has a value greater than 0"&amp;CHAR(10),""),IF(#REF!&gt;0," * F01-14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#REF!</v>
      </c>
      <c r="AN479" s="846"/>
      <c r="AO479" s="13">
        <v>33</v>
      </c>
      <c r="AP479" s="81"/>
      <c r="AQ479" s="82"/>
    </row>
    <row r="480" spans="1:43" s="83" customFormat="1" ht="26.25" x14ac:dyDescent="0.4">
      <c r="A480" s="999"/>
      <c r="B480" s="485" t="s">
        <v>1119</v>
      </c>
      <c r="C480" s="759" t="s">
        <v>1185</v>
      </c>
      <c r="D480" s="764"/>
      <c r="E480" s="792"/>
      <c r="F480" s="795">
        <f t="shared" si="259"/>
        <v>0</v>
      </c>
      <c r="G480" s="757">
        <f t="shared" si="257"/>
        <v>0</v>
      </c>
      <c r="H480" s="757">
        <f t="shared" si="257"/>
        <v>0</v>
      </c>
      <c r="I480" s="757">
        <f t="shared" si="257"/>
        <v>0</v>
      </c>
      <c r="J480" s="757">
        <f t="shared" si="257"/>
        <v>0</v>
      </c>
      <c r="K480" s="757">
        <f t="shared" si="257"/>
        <v>0</v>
      </c>
      <c r="L480" s="757">
        <f t="shared" si="257"/>
        <v>0</v>
      </c>
      <c r="M480" s="757">
        <f t="shared" si="257"/>
        <v>0</v>
      </c>
      <c r="N480" s="757">
        <f t="shared" si="257"/>
        <v>0</v>
      </c>
      <c r="O480" s="757">
        <f t="shared" si="257"/>
        <v>0</v>
      </c>
      <c r="P480" s="757">
        <f t="shared" si="257"/>
        <v>0</v>
      </c>
      <c r="Q480" s="757">
        <f t="shared" si="257"/>
        <v>0</v>
      </c>
      <c r="R480" s="757">
        <f t="shared" si="257"/>
        <v>0</v>
      </c>
      <c r="S480" s="757">
        <f t="shared" si="257"/>
        <v>0</v>
      </c>
      <c r="T480" s="757">
        <f t="shared" si="257"/>
        <v>0</v>
      </c>
      <c r="U480" s="757">
        <f t="shared" si="257"/>
        <v>0</v>
      </c>
      <c r="V480" s="757">
        <f t="shared" si="257"/>
        <v>0</v>
      </c>
      <c r="W480" s="757">
        <f t="shared" si="257"/>
        <v>0</v>
      </c>
      <c r="X480" s="757">
        <f t="shared" si="257"/>
        <v>0</v>
      </c>
      <c r="Y480" s="757">
        <f t="shared" si="257"/>
        <v>0</v>
      </c>
      <c r="Z480" s="757">
        <f t="shared" si="257"/>
        <v>0</v>
      </c>
      <c r="AA480" s="763">
        <f t="shared" si="257"/>
        <v>0</v>
      </c>
      <c r="AB480" s="757">
        <f t="shared" ref="AB480:AI480" si="262">AB420+AB425+AB430+AB435+AB440+AB445+AB450+AB455+AB460+AB465+AB470+AB475</f>
        <v>0</v>
      </c>
      <c r="AC480" s="763">
        <f t="shared" si="262"/>
        <v>0</v>
      </c>
      <c r="AD480" s="757">
        <f t="shared" si="262"/>
        <v>0</v>
      </c>
      <c r="AE480" s="763">
        <f t="shared" si="262"/>
        <v>0</v>
      </c>
      <c r="AF480" s="757">
        <f t="shared" si="262"/>
        <v>0</v>
      </c>
      <c r="AG480" s="763">
        <f t="shared" si="262"/>
        <v>0</v>
      </c>
      <c r="AH480" s="757">
        <f t="shared" si="262"/>
        <v>0</v>
      </c>
      <c r="AI480" s="763">
        <f t="shared" si="262"/>
        <v>0</v>
      </c>
      <c r="AJ480" s="492">
        <f t="shared" si="256"/>
        <v>0</v>
      </c>
      <c r="AK480" s="483"/>
      <c r="AL480" s="1048"/>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846"/>
      <c r="AO480" s="13">
        <v>33</v>
      </c>
      <c r="AP480" s="81"/>
      <c r="AQ480" s="82"/>
    </row>
    <row r="481" spans="1:43" s="83" customFormat="1" ht="27" thickBot="1" x14ac:dyDescent="0.45">
      <c r="A481" s="1000"/>
      <c r="B481" s="563" t="s">
        <v>1121</v>
      </c>
      <c r="C481" s="760" t="s">
        <v>1186</v>
      </c>
      <c r="D481" s="765"/>
      <c r="E481" s="793"/>
      <c r="F481" s="796">
        <f>SUM(F476,F471,F466,F461,F456,F451,F446,F441,F436,F431,F426,F421)</f>
        <v>0</v>
      </c>
      <c r="G481" s="766">
        <f t="shared" ref="G481:AA481" si="263">SUM(G476,G471,G466,G461,G456,G451,G446,G441,G436,G431,G426,G421)</f>
        <v>0</v>
      </c>
      <c r="H481" s="766">
        <f t="shared" si="263"/>
        <v>0</v>
      </c>
      <c r="I481" s="766">
        <f t="shared" si="263"/>
        <v>0</v>
      </c>
      <c r="J481" s="766">
        <f t="shared" si="263"/>
        <v>0</v>
      </c>
      <c r="K481" s="766">
        <f t="shared" si="263"/>
        <v>0</v>
      </c>
      <c r="L481" s="766">
        <f t="shared" si="263"/>
        <v>0</v>
      </c>
      <c r="M481" s="766">
        <f t="shared" si="263"/>
        <v>0</v>
      </c>
      <c r="N481" s="766">
        <f t="shared" si="263"/>
        <v>0</v>
      </c>
      <c r="O481" s="766">
        <f t="shared" si="263"/>
        <v>0</v>
      </c>
      <c r="P481" s="766">
        <f t="shared" si="263"/>
        <v>0</v>
      </c>
      <c r="Q481" s="766">
        <f t="shared" si="263"/>
        <v>0</v>
      </c>
      <c r="R481" s="766">
        <f t="shared" si="263"/>
        <v>0</v>
      </c>
      <c r="S481" s="766">
        <f t="shared" si="263"/>
        <v>0</v>
      </c>
      <c r="T481" s="766">
        <f t="shared" si="263"/>
        <v>0</v>
      </c>
      <c r="U481" s="766">
        <f t="shared" si="263"/>
        <v>0</v>
      </c>
      <c r="V481" s="766">
        <f t="shared" si="263"/>
        <v>0</v>
      </c>
      <c r="W481" s="766">
        <f t="shared" si="263"/>
        <v>0</v>
      </c>
      <c r="X481" s="766">
        <f t="shared" si="263"/>
        <v>0</v>
      </c>
      <c r="Y481" s="766">
        <f t="shared" si="263"/>
        <v>0</v>
      </c>
      <c r="Z481" s="766">
        <f t="shared" si="263"/>
        <v>0</v>
      </c>
      <c r="AA481" s="767">
        <f t="shared" si="263"/>
        <v>0</v>
      </c>
      <c r="AB481" s="766">
        <f t="shared" ref="AB481:AI481" si="264">SUM(AB476,AB471,AB466,AB461,AB456,AB451,AB446,AB441,AB436,AB431,AB426,AB421)</f>
        <v>0</v>
      </c>
      <c r="AC481" s="767">
        <f t="shared" si="264"/>
        <v>0</v>
      </c>
      <c r="AD481" s="766">
        <f t="shared" si="264"/>
        <v>0</v>
      </c>
      <c r="AE481" s="767">
        <f t="shared" si="264"/>
        <v>0</v>
      </c>
      <c r="AF481" s="766">
        <f t="shared" si="264"/>
        <v>0</v>
      </c>
      <c r="AG481" s="767">
        <f t="shared" si="264"/>
        <v>0</v>
      </c>
      <c r="AH481" s="766">
        <f t="shared" si="264"/>
        <v>0</v>
      </c>
      <c r="AI481" s="767">
        <f t="shared" si="264"/>
        <v>0</v>
      </c>
      <c r="AJ481" s="493">
        <f t="shared" ref="AJ481" si="265">SUM(D481:AA481)</f>
        <v>0</v>
      </c>
      <c r="AK481" s="483"/>
      <c r="AL481" s="1049"/>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847"/>
      <c r="AO481" s="13">
        <v>33</v>
      </c>
      <c r="AP481" s="81"/>
      <c r="AQ481" s="82"/>
    </row>
    <row r="482" spans="1:43" ht="63" customHeight="1" thickBot="1" x14ac:dyDescent="0.45">
      <c r="A482" s="659" t="s">
        <v>467</v>
      </c>
      <c r="B482" s="487"/>
      <c r="C482" s="9"/>
      <c r="D482" s="279"/>
      <c r="E482" s="279"/>
      <c r="F482" s="7"/>
      <c r="G482" s="7"/>
      <c r="H482" s="279"/>
      <c r="I482" s="7"/>
      <c r="J482" s="7"/>
      <c r="K482" s="279"/>
      <c r="L482" s="279"/>
      <c r="M482" s="7"/>
      <c r="N482" s="7"/>
      <c r="O482" s="7"/>
      <c r="P482" s="279"/>
      <c r="Q482" s="7"/>
      <c r="R482" s="279"/>
      <c r="S482" s="279"/>
      <c r="T482" s="279"/>
      <c r="U482" s="279"/>
      <c r="V482" s="279"/>
      <c r="W482" s="279"/>
      <c r="X482" s="7"/>
      <c r="Y482" s="279"/>
      <c r="Z482" s="279"/>
      <c r="AA482" s="279"/>
      <c r="AB482" s="279"/>
      <c r="AC482" s="279"/>
      <c r="AD482" s="279"/>
      <c r="AE482" s="279"/>
      <c r="AF482" s="279"/>
      <c r="AG482" s="279"/>
      <c r="AH482" s="279"/>
      <c r="AI482" s="279"/>
      <c r="AJ482" s="279"/>
      <c r="AK482" s="9"/>
      <c r="AM482" s="279"/>
      <c r="AN482" s="279"/>
      <c r="AO482" s="280"/>
      <c r="AP482" s="74"/>
      <c r="AQ482" s="75"/>
    </row>
    <row r="484" spans="1:43" ht="29.25" thickBot="1" x14ac:dyDescent="0.4">
      <c r="A484" s="660"/>
      <c r="B484" s="281"/>
      <c r="E484" s="8"/>
      <c r="F484" s="8"/>
      <c r="G484" s="8"/>
      <c r="H484" s="8"/>
      <c r="I484" s="8"/>
      <c r="J484" s="8"/>
      <c r="K484" s="8"/>
      <c r="L484" s="8"/>
      <c r="M484" s="8"/>
    </row>
    <row r="485" spans="1:43" s="288" customFormat="1" ht="41.25" customHeight="1" thickBot="1" x14ac:dyDescent="0.3">
      <c r="A485" s="1207" t="s">
        <v>946</v>
      </c>
      <c r="B485" s="1208"/>
      <c r="C485" s="1208"/>
      <c r="D485" s="1208"/>
      <c r="E485" s="1208"/>
      <c r="F485" s="1208"/>
      <c r="G485" s="1208"/>
      <c r="H485" s="1208"/>
      <c r="I485" s="1208"/>
      <c r="J485" s="1208"/>
      <c r="K485" s="1208"/>
      <c r="L485" s="1208"/>
      <c r="M485" s="1209" t="s">
        <v>943</v>
      </c>
      <c r="N485" s="1208"/>
      <c r="O485" s="1208"/>
      <c r="P485" s="1208"/>
      <c r="Q485" s="1208"/>
      <c r="R485" s="1208"/>
      <c r="S485" s="1208"/>
      <c r="T485" s="1208"/>
      <c r="U485" s="1208"/>
      <c r="V485" s="1208"/>
      <c r="W485" s="1208"/>
      <c r="X485" s="1208"/>
      <c r="Y485" s="1208"/>
      <c r="Z485" s="1208"/>
      <c r="AA485" s="1208"/>
      <c r="AB485" s="1208"/>
      <c r="AC485" s="1208"/>
      <c r="AD485" s="1208"/>
      <c r="AE485" s="1208"/>
      <c r="AF485" s="1208"/>
      <c r="AG485" s="1208"/>
      <c r="AH485" s="1208"/>
      <c r="AI485" s="1208"/>
      <c r="AJ485" s="1208"/>
      <c r="AK485" s="1208"/>
      <c r="AL485" s="1208"/>
      <c r="AM485" s="1208"/>
      <c r="AN485" s="1210"/>
      <c r="AO485" s="285"/>
      <c r="AP485" s="286"/>
      <c r="AQ485" s="287"/>
    </row>
    <row r="486" spans="1:43" ht="30.75" customHeight="1" x14ac:dyDescent="0.35">
      <c r="A486" s="1198" t="str">
        <f>CONCATENATE(AL401,AL381,AL370,AL356,AL331,AL313,AL301,AL277,AL259,AL250,AL241,AL232,AL223,AL196,AL166,AL123,AL111,AL22,AL8,AL66,AL417,AL180)</f>
        <v/>
      </c>
      <c r="B486" s="1199"/>
      <c r="C486" s="1199"/>
      <c r="D486" s="1199"/>
      <c r="E486" s="1199"/>
      <c r="F486" s="1199"/>
      <c r="G486" s="1199"/>
      <c r="H486" s="1199"/>
      <c r="I486" s="1199"/>
      <c r="J486" s="1199"/>
      <c r="K486" s="1199"/>
      <c r="L486" s="1200"/>
      <c r="M486" s="1211" t="str">
        <f>IF(LEN(A486)&lt;=0,"","Please ensure you solve the errors appearing on the left . However, In the cases where the errors are valid and can be explained ( We expect this to be very rare cases), Please delete this message and type the  justification for the error here)")</f>
        <v/>
      </c>
      <c r="N486" s="1212"/>
      <c r="O486" s="1212"/>
      <c r="P486" s="1212"/>
      <c r="Q486" s="1212"/>
      <c r="R486" s="1212"/>
      <c r="S486" s="1212"/>
      <c r="T486" s="1212"/>
      <c r="U486" s="1212"/>
      <c r="V486" s="1212"/>
      <c r="W486" s="1212"/>
      <c r="X486" s="1212"/>
      <c r="Y486" s="1212"/>
      <c r="Z486" s="1212"/>
      <c r="AA486" s="1212"/>
      <c r="AB486" s="1212"/>
      <c r="AC486" s="1212"/>
      <c r="AD486" s="1212"/>
      <c r="AE486" s="1212"/>
      <c r="AF486" s="1212"/>
      <c r="AG486" s="1212"/>
      <c r="AH486" s="1212"/>
      <c r="AI486" s="1212"/>
      <c r="AJ486" s="1212"/>
      <c r="AK486" s="1212"/>
      <c r="AL486" s="1212"/>
      <c r="AM486" s="1212"/>
      <c r="AN486" s="1213"/>
    </row>
    <row r="487" spans="1:43" ht="25.5" customHeight="1" x14ac:dyDescent="0.35">
      <c r="A487" s="1201"/>
      <c r="B487" s="1202"/>
      <c r="C487" s="1202"/>
      <c r="D487" s="1202"/>
      <c r="E487" s="1202"/>
      <c r="F487" s="1202"/>
      <c r="G487" s="1202"/>
      <c r="H487" s="1202"/>
      <c r="I487" s="1202"/>
      <c r="J487" s="1202"/>
      <c r="K487" s="1202"/>
      <c r="L487" s="1203"/>
      <c r="M487" s="1214"/>
      <c r="N487" s="1215"/>
      <c r="O487" s="1215"/>
      <c r="P487" s="1215"/>
      <c r="Q487" s="1215"/>
      <c r="R487" s="1215"/>
      <c r="S487" s="1215"/>
      <c r="T487" s="1215"/>
      <c r="U487" s="1215"/>
      <c r="V487" s="1215"/>
      <c r="W487" s="1215"/>
      <c r="X487" s="1215"/>
      <c r="Y487" s="1215"/>
      <c r="Z487" s="1215"/>
      <c r="AA487" s="1215"/>
      <c r="AB487" s="1215"/>
      <c r="AC487" s="1215"/>
      <c r="AD487" s="1215"/>
      <c r="AE487" s="1215"/>
      <c r="AF487" s="1215"/>
      <c r="AG487" s="1215"/>
      <c r="AH487" s="1215"/>
      <c r="AI487" s="1215"/>
      <c r="AJ487" s="1215"/>
      <c r="AK487" s="1215"/>
      <c r="AL487" s="1215"/>
      <c r="AM487" s="1215"/>
      <c r="AN487" s="1216"/>
    </row>
    <row r="488" spans="1:43" ht="30.75" customHeight="1" x14ac:dyDescent="0.35">
      <c r="A488" s="1201"/>
      <c r="B488" s="1202"/>
      <c r="C488" s="1202"/>
      <c r="D488" s="1202"/>
      <c r="E488" s="1202"/>
      <c r="F488" s="1202"/>
      <c r="G488" s="1202"/>
      <c r="H488" s="1202"/>
      <c r="I488" s="1202"/>
      <c r="J488" s="1202"/>
      <c r="K488" s="1202"/>
      <c r="L488" s="1203"/>
      <c r="M488" s="1214"/>
      <c r="N488" s="1215"/>
      <c r="O488" s="1215"/>
      <c r="P488" s="1215"/>
      <c r="Q488" s="1215"/>
      <c r="R488" s="1215"/>
      <c r="S488" s="1215"/>
      <c r="T488" s="1215"/>
      <c r="U488" s="1215"/>
      <c r="V488" s="1215"/>
      <c r="W488" s="1215"/>
      <c r="X488" s="1215"/>
      <c r="Y488" s="1215"/>
      <c r="Z488" s="1215"/>
      <c r="AA488" s="1215"/>
      <c r="AB488" s="1215"/>
      <c r="AC488" s="1215"/>
      <c r="AD488" s="1215"/>
      <c r="AE488" s="1215"/>
      <c r="AF488" s="1215"/>
      <c r="AG488" s="1215"/>
      <c r="AH488" s="1215"/>
      <c r="AI488" s="1215"/>
      <c r="AJ488" s="1215"/>
      <c r="AK488" s="1215"/>
      <c r="AL488" s="1215"/>
      <c r="AM488" s="1215"/>
      <c r="AN488" s="1216"/>
    </row>
    <row r="489" spans="1:43" ht="25.5" customHeight="1" x14ac:dyDescent="0.35">
      <c r="A489" s="1201"/>
      <c r="B489" s="1202"/>
      <c r="C489" s="1202"/>
      <c r="D489" s="1202"/>
      <c r="E489" s="1202"/>
      <c r="F489" s="1202"/>
      <c r="G489" s="1202"/>
      <c r="H489" s="1202"/>
      <c r="I489" s="1202"/>
      <c r="J489" s="1202"/>
      <c r="K489" s="1202"/>
      <c r="L489" s="1203"/>
      <c r="M489" s="1214"/>
      <c r="N489" s="1215"/>
      <c r="O489" s="1215"/>
      <c r="P489" s="1215"/>
      <c r="Q489" s="1215"/>
      <c r="R489" s="1215"/>
      <c r="S489" s="1215"/>
      <c r="T489" s="1215"/>
      <c r="U489" s="1215"/>
      <c r="V489" s="1215"/>
      <c r="W489" s="1215"/>
      <c r="X489" s="1215"/>
      <c r="Y489" s="1215"/>
      <c r="Z489" s="1215"/>
      <c r="AA489" s="1215"/>
      <c r="AB489" s="1215"/>
      <c r="AC489" s="1215"/>
      <c r="AD489" s="1215"/>
      <c r="AE489" s="1215"/>
      <c r="AF489" s="1215"/>
      <c r="AG489" s="1215"/>
      <c r="AH489" s="1215"/>
      <c r="AI489" s="1215"/>
      <c r="AJ489" s="1215"/>
      <c r="AK489" s="1215"/>
      <c r="AL489" s="1215"/>
      <c r="AM489" s="1215"/>
      <c r="AN489" s="1216"/>
    </row>
    <row r="490" spans="1:43" ht="25.5" customHeight="1" x14ac:dyDescent="0.35">
      <c r="A490" s="1201"/>
      <c r="B490" s="1202"/>
      <c r="C490" s="1202"/>
      <c r="D490" s="1202"/>
      <c r="E490" s="1202"/>
      <c r="F490" s="1202"/>
      <c r="G490" s="1202"/>
      <c r="H490" s="1202"/>
      <c r="I490" s="1202"/>
      <c r="J490" s="1202"/>
      <c r="K490" s="1202"/>
      <c r="L490" s="1203"/>
      <c r="M490" s="1214"/>
      <c r="N490" s="1215"/>
      <c r="O490" s="1215"/>
      <c r="P490" s="1215"/>
      <c r="Q490" s="1215"/>
      <c r="R490" s="1215"/>
      <c r="S490" s="1215"/>
      <c r="T490" s="1215"/>
      <c r="U490" s="1215"/>
      <c r="V490" s="1215"/>
      <c r="W490" s="1215"/>
      <c r="X490" s="1215"/>
      <c r="Y490" s="1215"/>
      <c r="Z490" s="1215"/>
      <c r="AA490" s="1215"/>
      <c r="AB490" s="1215"/>
      <c r="AC490" s="1215"/>
      <c r="AD490" s="1215"/>
      <c r="AE490" s="1215"/>
      <c r="AF490" s="1215"/>
      <c r="AG490" s="1215"/>
      <c r="AH490" s="1215"/>
      <c r="AI490" s="1215"/>
      <c r="AJ490" s="1215"/>
      <c r="AK490" s="1215"/>
      <c r="AL490" s="1215"/>
      <c r="AM490" s="1215"/>
      <c r="AN490" s="1216"/>
    </row>
    <row r="491" spans="1:43" ht="25.5" customHeight="1" x14ac:dyDescent="0.35">
      <c r="A491" s="1201"/>
      <c r="B491" s="1202"/>
      <c r="C491" s="1202"/>
      <c r="D491" s="1202"/>
      <c r="E491" s="1202"/>
      <c r="F491" s="1202"/>
      <c r="G491" s="1202"/>
      <c r="H491" s="1202"/>
      <c r="I491" s="1202"/>
      <c r="J491" s="1202"/>
      <c r="K491" s="1202"/>
      <c r="L491" s="1203"/>
      <c r="M491" s="1214"/>
      <c r="N491" s="1215"/>
      <c r="O491" s="1215"/>
      <c r="P491" s="1215"/>
      <c r="Q491" s="1215"/>
      <c r="R491" s="1215"/>
      <c r="S491" s="1215"/>
      <c r="T491" s="1215"/>
      <c r="U491" s="1215"/>
      <c r="V491" s="1215"/>
      <c r="W491" s="1215"/>
      <c r="X491" s="1215"/>
      <c r="Y491" s="1215"/>
      <c r="Z491" s="1215"/>
      <c r="AA491" s="1215"/>
      <c r="AB491" s="1215"/>
      <c r="AC491" s="1215"/>
      <c r="AD491" s="1215"/>
      <c r="AE491" s="1215"/>
      <c r="AF491" s="1215"/>
      <c r="AG491" s="1215"/>
      <c r="AH491" s="1215"/>
      <c r="AI491" s="1215"/>
      <c r="AJ491" s="1215"/>
      <c r="AK491" s="1215"/>
      <c r="AL491" s="1215"/>
      <c r="AM491" s="1215"/>
      <c r="AN491" s="1216"/>
    </row>
    <row r="492" spans="1:43" ht="25.5" customHeight="1" x14ac:dyDescent="0.35">
      <c r="A492" s="1201"/>
      <c r="B492" s="1202"/>
      <c r="C492" s="1202"/>
      <c r="D492" s="1202"/>
      <c r="E492" s="1202"/>
      <c r="F492" s="1202"/>
      <c r="G492" s="1202"/>
      <c r="H492" s="1202"/>
      <c r="I492" s="1202"/>
      <c r="J492" s="1202"/>
      <c r="K492" s="1202"/>
      <c r="L492" s="1203"/>
      <c r="M492" s="1214"/>
      <c r="N492" s="1215"/>
      <c r="O492" s="1215"/>
      <c r="P492" s="1215"/>
      <c r="Q492" s="1215"/>
      <c r="R492" s="1215"/>
      <c r="S492" s="1215"/>
      <c r="T492" s="1215"/>
      <c r="U492" s="1215"/>
      <c r="V492" s="1215"/>
      <c r="W492" s="1215"/>
      <c r="X492" s="1215"/>
      <c r="Y492" s="1215"/>
      <c r="Z492" s="1215"/>
      <c r="AA492" s="1215"/>
      <c r="AB492" s="1215"/>
      <c r="AC492" s="1215"/>
      <c r="AD492" s="1215"/>
      <c r="AE492" s="1215"/>
      <c r="AF492" s="1215"/>
      <c r="AG492" s="1215"/>
      <c r="AH492" s="1215"/>
      <c r="AI492" s="1215"/>
      <c r="AJ492" s="1215"/>
      <c r="AK492" s="1215"/>
      <c r="AL492" s="1215"/>
      <c r="AM492" s="1215"/>
      <c r="AN492" s="1216"/>
    </row>
    <row r="493" spans="1:43" ht="25.5" customHeight="1" x14ac:dyDescent="0.35">
      <c r="A493" s="1201"/>
      <c r="B493" s="1202"/>
      <c r="C493" s="1202"/>
      <c r="D493" s="1202"/>
      <c r="E493" s="1202"/>
      <c r="F493" s="1202"/>
      <c r="G493" s="1202"/>
      <c r="H493" s="1202"/>
      <c r="I493" s="1202"/>
      <c r="J493" s="1202"/>
      <c r="K493" s="1202"/>
      <c r="L493" s="1203"/>
      <c r="M493" s="1214"/>
      <c r="N493" s="1215"/>
      <c r="O493" s="1215"/>
      <c r="P493" s="1215"/>
      <c r="Q493" s="1215"/>
      <c r="R493" s="1215"/>
      <c r="S493" s="1215"/>
      <c r="T493" s="1215"/>
      <c r="U493" s="1215"/>
      <c r="V493" s="1215"/>
      <c r="W493" s="1215"/>
      <c r="X493" s="1215"/>
      <c r="Y493" s="1215"/>
      <c r="Z493" s="1215"/>
      <c r="AA493" s="1215"/>
      <c r="AB493" s="1215"/>
      <c r="AC493" s="1215"/>
      <c r="AD493" s="1215"/>
      <c r="AE493" s="1215"/>
      <c r="AF493" s="1215"/>
      <c r="AG493" s="1215"/>
      <c r="AH493" s="1215"/>
      <c r="AI493" s="1215"/>
      <c r="AJ493" s="1215"/>
      <c r="AK493" s="1215"/>
      <c r="AL493" s="1215"/>
      <c r="AM493" s="1215"/>
      <c r="AN493" s="1216"/>
    </row>
    <row r="494" spans="1:43" ht="25.5" customHeight="1" x14ac:dyDescent="0.35">
      <c r="A494" s="1201"/>
      <c r="B494" s="1202"/>
      <c r="C494" s="1202"/>
      <c r="D494" s="1202"/>
      <c r="E494" s="1202"/>
      <c r="F494" s="1202"/>
      <c r="G494" s="1202"/>
      <c r="H494" s="1202"/>
      <c r="I494" s="1202"/>
      <c r="J494" s="1202"/>
      <c r="K494" s="1202"/>
      <c r="L494" s="1203"/>
      <c r="M494" s="1214"/>
      <c r="N494" s="1215"/>
      <c r="O494" s="1215"/>
      <c r="P494" s="1215"/>
      <c r="Q494" s="1215"/>
      <c r="R494" s="1215"/>
      <c r="S494" s="1215"/>
      <c r="T494" s="1215"/>
      <c r="U494" s="1215"/>
      <c r="V494" s="1215"/>
      <c r="W494" s="1215"/>
      <c r="X494" s="1215"/>
      <c r="Y494" s="1215"/>
      <c r="Z494" s="1215"/>
      <c r="AA494" s="1215"/>
      <c r="AB494" s="1215"/>
      <c r="AC494" s="1215"/>
      <c r="AD494" s="1215"/>
      <c r="AE494" s="1215"/>
      <c r="AF494" s="1215"/>
      <c r="AG494" s="1215"/>
      <c r="AH494" s="1215"/>
      <c r="AI494" s="1215"/>
      <c r="AJ494" s="1215"/>
      <c r="AK494" s="1215"/>
      <c r="AL494" s="1215"/>
      <c r="AM494" s="1215"/>
      <c r="AN494" s="1216"/>
    </row>
    <row r="495" spans="1:43" ht="25.5" customHeight="1" x14ac:dyDescent="0.35">
      <c r="A495" s="1201"/>
      <c r="B495" s="1202"/>
      <c r="C495" s="1202"/>
      <c r="D495" s="1202"/>
      <c r="E495" s="1202"/>
      <c r="F495" s="1202"/>
      <c r="G495" s="1202"/>
      <c r="H495" s="1202"/>
      <c r="I495" s="1202"/>
      <c r="J495" s="1202"/>
      <c r="K495" s="1202"/>
      <c r="L495" s="1203"/>
      <c r="M495" s="1214"/>
      <c r="N495" s="1215"/>
      <c r="O495" s="1215"/>
      <c r="P495" s="1215"/>
      <c r="Q495" s="1215"/>
      <c r="R495" s="1215"/>
      <c r="S495" s="1215"/>
      <c r="T495" s="1215"/>
      <c r="U495" s="1215"/>
      <c r="V495" s="1215"/>
      <c r="W495" s="1215"/>
      <c r="X495" s="1215"/>
      <c r="Y495" s="1215"/>
      <c r="Z495" s="1215"/>
      <c r="AA495" s="1215"/>
      <c r="AB495" s="1215"/>
      <c r="AC495" s="1215"/>
      <c r="AD495" s="1215"/>
      <c r="AE495" s="1215"/>
      <c r="AF495" s="1215"/>
      <c r="AG495" s="1215"/>
      <c r="AH495" s="1215"/>
      <c r="AI495" s="1215"/>
      <c r="AJ495" s="1215"/>
      <c r="AK495" s="1215"/>
      <c r="AL495" s="1215"/>
      <c r="AM495" s="1215"/>
      <c r="AN495" s="1216"/>
    </row>
    <row r="496" spans="1:43" ht="25.5" customHeight="1" x14ac:dyDescent="0.35">
      <c r="A496" s="1201"/>
      <c r="B496" s="1202"/>
      <c r="C496" s="1202"/>
      <c r="D496" s="1202"/>
      <c r="E496" s="1202"/>
      <c r="F496" s="1202"/>
      <c r="G496" s="1202"/>
      <c r="H496" s="1202"/>
      <c r="I496" s="1202"/>
      <c r="J496" s="1202"/>
      <c r="K496" s="1202"/>
      <c r="L496" s="1203"/>
      <c r="M496" s="1214"/>
      <c r="N496" s="1215"/>
      <c r="O496" s="1215"/>
      <c r="P496" s="1215"/>
      <c r="Q496" s="1215"/>
      <c r="R496" s="1215"/>
      <c r="S496" s="1215"/>
      <c r="T496" s="1215"/>
      <c r="U496" s="1215"/>
      <c r="V496" s="1215"/>
      <c r="W496" s="1215"/>
      <c r="X496" s="1215"/>
      <c r="Y496" s="1215"/>
      <c r="Z496" s="1215"/>
      <c r="AA496" s="1215"/>
      <c r="AB496" s="1215"/>
      <c r="AC496" s="1215"/>
      <c r="AD496" s="1215"/>
      <c r="AE496" s="1215"/>
      <c r="AF496" s="1215"/>
      <c r="AG496" s="1215"/>
      <c r="AH496" s="1215"/>
      <c r="AI496" s="1215"/>
      <c r="AJ496" s="1215"/>
      <c r="AK496" s="1215"/>
      <c r="AL496" s="1215"/>
      <c r="AM496" s="1215"/>
      <c r="AN496" s="1216"/>
    </row>
    <row r="497" spans="1:43" ht="25.5" customHeight="1" x14ac:dyDescent="0.35">
      <c r="A497" s="1201"/>
      <c r="B497" s="1202"/>
      <c r="C497" s="1202"/>
      <c r="D497" s="1202"/>
      <c r="E497" s="1202"/>
      <c r="F497" s="1202"/>
      <c r="G497" s="1202"/>
      <c r="H497" s="1202"/>
      <c r="I497" s="1202"/>
      <c r="J497" s="1202"/>
      <c r="K497" s="1202"/>
      <c r="L497" s="1203"/>
      <c r="M497" s="1214"/>
      <c r="N497" s="1215"/>
      <c r="O497" s="1215"/>
      <c r="P497" s="1215"/>
      <c r="Q497" s="1215"/>
      <c r="R497" s="1215"/>
      <c r="S497" s="1215"/>
      <c r="T497" s="1215"/>
      <c r="U497" s="1215"/>
      <c r="V497" s="1215"/>
      <c r="W497" s="1215"/>
      <c r="X497" s="1215"/>
      <c r="Y497" s="1215"/>
      <c r="Z497" s="1215"/>
      <c r="AA497" s="1215"/>
      <c r="AB497" s="1215"/>
      <c r="AC497" s="1215"/>
      <c r="AD497" s="1215"/>
      <c r="AE497" s="1215"/>
      <c r="AF497" s="1215"/>
      <c r="AG497" s="1215"/>
      <c r="AH497" s="1215"/>
      <c r="AI497" s="1215"/>
      <c r="AJ497" s="1215"/>
      <c r="AK497" s="1215"/>
      <c r="AL497" s="1215"/>
      <c r="AM497" s="1215"/>
      <c r="AN497" s="1216"/>
    </row>
    <row r="498" spans="1:43" ht="25.5" customHeight="1" x14ac:dyDescent="0.35">
      <c r="A498" s="1201"/>
      <c r="B498" s="1202"/>
      <c r="C498" s="1202"/>
      <c r="D498" s="1202"/>
      <c r="E498" s="1202"/>
      <c r="F498" s="1202"/>
      <c r="G498" s="1202"/>
      <c r="H498" s="1202"/>
      <c r="I498" s="1202"/>
      <c r="J498" s="1202"/>
      <c r="K498" s="1202"/>
      <c r="L498" s="1203"/>
      <c r="M498" s="1214"/>
      <c r="N498" s="1215"/>
      <c r="O498" s="1215"/>
      <c r="P498" s="1215"/>
      <c r="Q498" s="1215"/>
      <c r="R498" s="1215"/>
      <c r="S498" s="1215"/>
      <c r="T498" s="1215"/>
      <c r="U498" s="1215"/>
      <c r="V498" s="1215"/>
      <c r="W498" s="1215"/>
      <c r="X498" s="1215"/>
      <c r="Y498" s="1215"/>
      <c r="Z498" s="1215"/>
      <c r="AA498" s="1215"/>
      <c r="AB498" s="1215"/>
      <c r="AC498" s="1215"/>
      <c r="AD498" s="1215"/>
      <c r="AE498" s="1215"/>
      <c r="AF498" s="1215"/>
      <c r="AG498" s="1215"/>
      <c r="AH498" s="1215"/>
      <c r="AI498" s="1215"/>
      <c r="AJ498" s="1215"/>
      <c r="AK498" s="1215"/>
      <c r="AL498" s="1215"/>
      <c r="AM498" s="1215"/>
      <c r="AN498" s="1216"/>
    </row>
    <row r="499" spans="1:43" ht="25.5" customHeight="1" x14ac:dyDescent="0.35">
      <c r="A499" s="1201"/>
      <c r="B499" s="1202"/>
      <c r="C499" s="1202"/>
      <c r="D499" s="1202"/>
      <c r="E499" s="1202"/>
      <c r="F499" s="1202"/>
      <c r="G499" s="1202"/>
      <c r="H499" s="1202"/>
      <c r="I499" s="1202"/>
      <c r="J499" s="1202"/>
      <c r="K499" s="1202"/>
      <c r="L499" s="1203"/>
      <c r="M499" s="1214"/>
      <c r="N499" s="1215"/>
      <c r="O499" s="1215"/>
      <c r="P499" s="1215"/>
      <c r="Q499" s="1215"/>
      <c r="R499" s="1215"/>
      <c r="S499" s="1215"/>
      <c r="T499" s="1215"/>
      <c r="U499" s="1215"/>
      <c r="V499" s="1215"/>
      <c r="W499" s="1215"/>
      <c r="X499" s="1215"/>
      <c r="Y499" s="1215"/>
      <c r="Z499" s="1215"/>
      <c r="AA499" s="1215"/>
      <c r="AB499" s="1215"/>
      <c r="AC499" s="1215"/>
      <c r="AD499" s="1215"/>
      <c r="AE499" s="1215"/>
      <c r="AF499" s="1215"/>
      <c r="AG499" s="1215"/>
      <c r="AH499" s="1215"/>
      <c r="AI499" s="1215"/>
      <c r="AJ499" s="1215"/>
      <c r="AK499" s="1215"/>
      <c r="AL499" s="1215"/>
      <c r="AM499" s="1215"/>
      <c r="AN499" s="1216"/>
    </row>
    <row r="500" spans="1:43" ht="25.5" customHeight="1" x14ac:dyDescent="0.35">
      <c r="A500" s="1201"/>
      <c r="B500" s="1202"/>
      <c r="C500" s="1202"/>
      <c r="D500" s="1202"/>
      <c r="E500" s="1202"/>
      <c r="F500" s="1202"/>
      <c r="G500" s="1202"/>
      <c r="H500" s="1202"/>
      <c r="I500" s="1202"/>
      <c r="J500" s="1202"/>
      <c r="K500" s="1202"/>
      <c r="L500" s="1203"/>
      <c r="M500" s="1214"/>
      <c r="N500" s="1215"/>
      <c r="O500" s="1215"/>
      <c r="P500" s="1215"/>
      <c r="Q500" s="1215"/>
      <c r="R500" s="1215"/>
      <c r="S500" s="1215"/>
      <c r="T500" s="1215"/>
      <c r="U500" s="1215"/>
      <c r="V500" s="1215"/>
      <c r="W500" s="1215"/>
      <c r="X500" s="1215"/>
      <c r="Y500" s="1215"/>
      <c r="Z500" s="1215"/>
      <c r="AA500" s="1215"/>
      <c r="AB500" s="1215"/>
      <c r="AC500" s="1215"/>
      <c r="AD500" s="1215"/>
      <c r="AE500" s="1215"/>
      <c r="AF500" s="1215"/>
      <c r="AG500" s="1215"/>
      <c r="AH500" s="1215"/>
      <c r="AI500" s="1215"/>
      <c r="AJ500" s="1215"/>
      <c r="AK500" s="1215"/>
      <c r="AL500" s="1215"/>
      <c r="AM500" s="1215"/>
      <c r="AN500" s="1216"/>
    </row>
    <row r="501" spans="1:43" ht="25.5" customHeight="1" x14ac:dyDescent="0.35">
      <c r="A501" s="1201"/>
      <c r="B501" s="1202"/>
      <c r="C501" s="1202"/>
      <c r="D501" s="1202"/>
      <c r="E501" s="1202"/>
      <c r="F501" s="1202"/>
      <c r="G501" s="1202"/>
      <c r="H501" s="1202"/>
      <c r="I501" s="1202"/>
      <c r="J501" s="1202"/>
      <c r="K501" s="1202"/>
      <c r="L501" s="1203"/>
      <c r="M501" s="1214"/>
      <c r="N501" s="1215"/>
      <c r="O501" s="1215"/>
      <c r="P501" s="1215"/>
      <c r="Q501" s="1215"/>
      <c r="R501" s="1215"/>
      <c r="S501" s="1215"/>
      <c r="T501" s="1215"/>
      <c r="U501" s="1215"/>
      <c r="V501" s="1215"/>
      <c r="W501" s="1215"/>
      <c r="X501" s="1215"/>
      <c r="Y501" s="1215"/>
      <c r="Z501" s="1215"/>
      <c r="AA501" s="1215"/>
      <c r="AB501" s="1215"/>
      <c r="AC501" s="1215"/>
      <c r="AD501" s="1215"/>
      <c r="AE501" s="1215"/>
      <c r="AF501" s="1215"/>
      <c r="AG501" s="1215"/>
      <c r="AH501" s="1215"/>
      <c r="AI501" s="1215"/>
      <c r="AJ501" s="1215"/>
      <c r="AK501" s="1215"/>
      <c r="AL501" s="1215"/>
      <c r="AM501" s="1215"/>
      <c r="AN501" s="1216"/>
    </row>
    <row r="502" spans="1:43" ht="25.5" customHeight="1" x14ac:dyDescent="0.35">
      <c r="A502" s="1201"/>
      <c r="B502" s="1202"/>
      <c r="C502" s="1202"/>
      <c r="D502" s="1202"/>
      <c r="E502" s="1202"/>
      <c r="F502" s="1202"/>
      <c r="G502" s="1202"/>
      <c r="H502" s="1202"/>
      <c r="I502" s="1202"/>
      <c r="J502" s="1202"/>
      <c r="K502" s="1202"/>
      <c r="L502" s="1203"/>
      <c r="M502" s="1214"/>
      <c r="N502" s="1215"/>
      <c r="O502" s="1215"/>
      <c r="P502" s="1215"/>
      <c r="Q502" s="1215"/>
      <c r="R502" s="1215"/>
      <c r="S502" s="1215"/>
      <c r="T502" s="1215"/>
      <c r="U502" s="1215"/>
      <c r="V502" s="1215"/>
      <c r="W502" s="1215"/>
      <c r="X502" s="1215"/>
      <c r="Y502" s="1215"/>
      <c r="Z502" s="1215"/>
      <c r="AA502" s="1215"/>
      <c r="AB502" s="1215"/>
      <c r="AC502" s="1215"/>
      <c r="AD502" s="1215"/>
      <c r="AE502" s="1215"/>
      <c r="AF502" s="1215"/>
      <c r="AG502" s="1215"/>
      <c r="AH502" s="1215"/>
      <c r="AI502" s="1215"/>
      <c r="AJ502" s="1215"/>
      <c r="AK502" s="1215"/>
      <c r="AL502" s="1215"/>
      <c r="AM502" s="1215"/>
      <c r="AN502" s="1216"/>
    </row>
    <row r="503" spans="1:43" ht="25.5" customHeight="1" x14ac:dyDescent="0.35">
      <c r="A503" s="1201"/>
      <c r="B503" s="1202"/>
      <c r="C503" s="1202"/>
      <c r="D503" s="1202"/>
      <c r="E503" s="1202"/>
      <c r="F503" s="1202"/>
      <c r="G503" s="1202"/>
      <c r="H503" s="1202"/>
      <c r="I503" s="1202"/>
      <c r="J503" s="1202"/>
      <c r="K503" s="1202"/>
      <c r="L503" s="1203"/>
      <c r="M503" s="1214"/>
      <c r="N503" s="1215"/>
      <c r="O503" s="1215"/>
      <c r="P503" s="1215"/>
      <c r="Q503" s="1215"/>
      <c r="R503" s="1215"/>
      <c r="S503" s="1215"/>
      <c r="T503" s="1215"/>
      <c r="U503" s="1215"/>
      <c r="V503" s="1215"/>
      <c r="W503" s="1215"/>
      <c r="X503" s="1215"/>
      <c r="Y503" s="1215"/>
      <c r="Z503" s="1215"/>
      <c r="AA503" s="1215"/>
      <c r="AB503" s="1215"/>
      <c r="AC503" s="1215"/>
      <c r="AD503" s="1215"/>
      <c r="AE503" s="1215"/>
      <c r="AF503" s="1215"/>
      <c r="AG503" s="1215"/>
      <c r="AH503" s="1215"/>
      <c r="AI503" s="1215"/>
      <c r="AJ503" s="1215"/>
      <c r="AK503" s="1215"/>
      <c r="AL503" s="1215"/>
      <c r="AM503" s="1215"/>
      <c r="AN503" s="1216"/>
    </row>
    <row r="504" spans="1:43" ht="25.5" customHeight="1" x14ac:dyDescent="0.35">
      <c r="A504" s="1201"/>
      <c r="B504" s="1202"/>
      <c r="C504" s="1202"/>
      <c r="D504" s="1202"/>
      <c r="E504" s="1202"/>
      <c r="F504" s="1202"/>
      <c r="G504" s="1202"/>
      <c r="H504" s="1202"/>
      <c r="I504" s="1202"/>
      <c r="J504" s="1202"/>
      <c r="K504" s="1202"/>
      <c r="L504" s="1203"/>
      <c r="M504" s="1214"/>
      <c r="N504" s="1215"/>
      <c r="O504" s="1215"/>
      <c r="P504" s="1215"/>
      <c r="Q504" s="1215"/>
      <c r="R504" s="1215"/>
      <c r="S504" s="1215"/>
      <c r="T504" s="1215"/>
      <c r="U504" s="1215"/>
      <c r="V504" s="1215"/>
      <c r="W504" s="1215"/>
      <c r="X504" s="1215"/>
      <c r="Y504" s="1215"/>
      <c r="Z504" s="1215"/>
      <c r="AA504" s="1215"/>
      <c r="AB504" s="1215"/>
      <c r="AC504" s="1215"/>
      <c r="AD504" s="1215"/>
      <c r="AE504" s="1215"/>
      <c r="AF504" s="1215"/>
      <c r="AG504" s="1215"/>
      <c r="AH504" s="1215"/>
      <c r="AI504" s="1215"/>
      <c r="AJ504" s="1215"/>
      <c r="AK504" s="1215"/>
      <c r="AL504" s="1215"/>
      <c r="AM504" s="1215"/>
      <c r="AN504" s="1216"/>
    </row>
    <row r="505" spans="1:43" ht="25.5" customHeight="1" x14ac:dyDescent="0.35">
      <c r="A505" s="1201"/>
      <c r="B505" s="1202"/>
      <c r="C505" s="1202"/>
      <c r="D505" s="1202"/>
      <c r="E505" s="1202"/>
      <c r="F505" s="1202"/>
      <c r="G505" s="1202"/>
      <c r="H505" s="1202"/>
      <c r="I505" s="1202"/>
      <c r="J505" s="1202"/>
      <c r="K505" s="1202"/>
      <c r="L505" s="1203"/>
      <c r="M505" s="1214"/>
      <c r="N505" s="1215"/>
      <c r="O505" s="1215"/>
      <c r="P505" s="1215"/>
      <c r="Q505" s="1215"/>
      <c r="R505" s="1215"/>
      <c r="S505" s="1215"/>
      <c r="T505" s="1215"/>
      <c r="U505" s="1215"/>
      <c r="V505" s="1215"/>
      <c r="W505" s="1215"/>
      <c r="X505" s="1215"/>
      <c r="Y505" s="1215"/>
      <c r="Z505" s="1215"/>
      <c r="AA505" s="1215"/>
      <c r="AB505" s="1215"/>
      <c r="AC505" s="1215"/>
      <c r="AD505" s="1215"/>
      <c r="AE505" s="1215"/>
      <c r="AF505" s="1215"/>
      <c r="AG505" s="1215"/>
      <c r="AH505" s="1215"/>
      <c r="AI505" s="1215"/>
      <c r="AJ505" s="1215"/>
      <c r="AK505" s="1215"/>
      <c r="AL505" s="1215"/>
      <c r="AM505" s="1215"/>
      <c r="AN505" s="1216"/>
    </row>
    <row r="506" spans="1:43" ht="26.25" customHeight="1" thickBot="1" x14ac:dyDescent="0.4">
      <c r="A506" s="1204"/>
      <c r="B506" s="1205"/>
      <c r="C506" s="1205"/>
      <c r="D506" s="1205"/>
      <c r="E506" s="1205"/>
      <c r="F506" s="1205"/>
      <c r="G506" s="1205"/>
      <c r="H506" s="1205"/>
      <c r="I506" s="1205"/>
      <c r="J506" s="1205"/>
      <c r="K506" s="1205"/>
      <c r="L506" s="1206"/>
      <c r="M506" s="1217"/>
      <c r="N506" s="1218"/>
      <c r="O506" s="1218"/>
      <c r="P506" s="1218"/>
      <c r="Q506" s="1218"/>
      <c r="R506" s="1218"/>
      <c r="S506" s="1218"/>
      <c r="T506" s="1218"/>
      <c r="U506" s="1218"/>
      <c r="V506" s="1218"/>
      <c r="W506" s="1218"/>
      <c r="X506" s="1218"/>
      <c r="Y506" s="1218"/>
      <c r="Z506" s="1218"/>
      <c r="AA506" s="1218"/>
      <c r="AB506" s="1218"/>
      <c r="AC506" s="1218"/>
      <c r="AD506" s="1218"/>
      <c r="AE506" s="1218"/>
      <c r="AF506" s="1218"/>
      <c r="AG506" s="1218"/>
      <c r="AH506" s="1218"/>
      <c r="AI506" s="1218"/>
      <c r="AJ506" s="1218"/>
      <c r="AK506" s="1218"/>
      <c r="AL506" s="1218"/>
      <c r="AM506" s="1218"/>
      <c r="AN506" s="1219"/>
    </row>
    <row r="507" spans="1:43" s="292" customFormat="1" ht="41.25" customHeight="1" thickBot="1" x14ac:dyDescent="0.6">
      <c r="A507" s="1193" t="s">
        <v>942</v>
      </c>
      <c r="B507" s="1194"/>
      <c r="C507" s="1194"/>
      <c r="D507" s="1194"/>
      <c r="E507" s="1194"/>
      <c r="F507" s="1194"/>
      <c r="G507" s="1194"/>
      <c r="H507" s="1194"/>
      <c r="I507" s="1194"/>
      <c r="J507" s="1194"/>
      <c r="K507" s="1194"/>
      <c r="L507" s="1195"/>
      <c r="M507" s="1196" t="s">
        <v>944</v>
      </c>
      <c r="N507" s="1196"/>
      <c r="O507" s="1196"/>
      <c r="P507" s="1196"/>
      <c r="Q507" s="1196"/>
      <c r="R507" s="1196"/>
      <c r="S507" s="1196"/>
      <c r="T507" s="1196"/>
      <c r="U507" s="1196"/>
      <c r="V507" s="1196"/>
      <c r="W507" s="1196"/>
      <c r="X507" s="1196"/>
      <c r="Y507" s="1196"/>
      <c r="Z507" s="1196"/>
      <c r="AA507" s="1196"/>
      <c r="AB507" s="1196"/>
      <c r="AC507" s="1196"/>
      <c r="AD507" s="1196"/>
      <c r="AE507" s="1196"/>
      <c r="AF507" s="1196"/>
      <c r="AG507" s="1196"/>
      <c r="AH507" s="1196"/>
      <c r="AI507" s="1196"/>
      <c r="AJ507" s="1196"/>
      <c r="AK507" s="1196"/>
      <c r="AL507" s="1196"/>
      <c r="AM507" s="1196"/>
      <c r="AN507" s="1197"/>
      <c r="AO507" s="289"/>
      <c r="AP507" s="290"/>
      <c r="AQ507" s="291"/>
    </row>
    <row r="508" spans="1:43" ht="30.75" customHeight="1" x14ac:dyDescent="0.35">
      <c r="A508" s="1175" t="str">
        <f>CONCATENATE(AN401,AN381,AN370,AN356,AN331,AN313,AN301,AN277,AN223,AN196,AN167,AN123,AN111,AN22,AN8)</f>
        <v/>
      </c>
      <c r="B508" s="1176"/>
      <c r="C508" s="1176"/>
      <c r="D508" s="1176"/>
      <c r="E508" s="1176"/>
      <c r="F508" s="1176"/>
      <c r="G508" s="1176"/>
      <c r="H508" s="1176"/>
      <c r="I508" s="1176"/>
      <c r="J508" s="1176"/>
      <c r="K508" s="1176"/>
      <c r="L508" s="1177"/>
      <c r="M508" s="1184"/>
      <c r="N508" s="1185"/>
      <c r="O508" s="1185"/>
      <c r="P508" s="1185"/>
      <c r="Q508" s="1185"/>
      <c r="R508" s="1185"/>
      <c r="S508" s="1185"/>
      <c r="T508" s="1185"/>
      <c r="U508" s="1185"/>
      <c r="V508" s="1185"/>
      <c r="W508" s="1185"/>
      <c r="X508" s="1185"/>
      <c r="Y508" s="1185"/>
      <c r="Z508" s="1185"/>
      <c r="AA508" s="1185"/>
      <c r="AB508" s="1185"/>
      <c r="AC508" s="1185"/>
      <c r="AD508" s="1185"/>
      <c r="AE508" s="1185"/>
      <c r="AF508" s="1185"/>
      <c r="AG508" s="1185"/>
      <c r="AH508" s="1185"/>
      <c r="AI508" s="1185"/>
      <c r="AJ508" s="1185"/>
      <c r="AK508" s="1185"/>
      <c r="AL508" s="1185"/>
      <c r="AM508" s="1185"/>
      <c r="AN508" s="1186"/>
    </row>
    <row r="509" spans="1:43" ht="30.75" customHeight="1" x14ac:dyDescent="0.35">
      <c r="A509" s="1178"/>
      <c r="B509" s="1179"/>
      <c r="C509" s="1179"/>
      <c r="D509" s="1179"/>
      <c r="E509" s="1179"/>
      <c r="F509" s="1179"/>
      <c r="G509" s="1179"/>
      <c r="H509" s="1179"/>
      <c r="I509" s="1179"/>
      <c r="J509" s="1179"/>
      <c r="K509" s="1179"/>
      <c r="L509" s="1180"/>
      <c r="M509" s="1187"/>
      <c r="N509" s="1188"/>
      <c r="O509" s="1188"/>
      <c r="P509" s="1188"/>
      <c r="Q509" s="1188"/>
      <c r="R509" s="1188"/>
      <c r="S509" s="1188"/>
      <c r="T509" s="1188"/>
      <c r="U509" s="1188"/>
      <c r="V509" s="1188"/>
      <c r="W509" s="1188"/>
      <c r="X509" s="1188"/>
      <c r="Y509" s="1188"/>
      <c r="Z509" s="1188"/>
      <c r="AA509" s="1188"/>
      <c r="AB509" s="1188"/>
      <c r="AC509" s="1188"/>
      <c r="AD509" s="1188"/>
      <c r="AE509" s="1188"/>
      <c r="AF509" s="1188"/>
      <c r="AG509" s="1188"/>
      <c r="AH509" s="1188"/>
      <c r="AI509" s="1188"/>
      <c r="AJ509" s="1188"/>
      <c r="AK509" s="1188"/>
      <c r="AL509" s="1188"/>
      <c r="AM509" s="1188"/>
      <c r="AN509" s="1189"/>
    </row>
    <row r="510" spans="1:43" ht="30.75" customHeight="1" x14ac:dyDescent="0.35">
      <c r="A510" s="1178"/>
      <c r="B510" s="1179"/>
      <c r="C510" s="1179"/>
      <c r="D510" s="1179"/>
      <c r="E510" s="1179"/>
      <c r="F510" s="1179"/>
      <c r="G510" s="1179"/>
      <c r="H510" s="1179"/>
      <c r="I510" s="1179"/>
      <c r="J510" s="1179"/>
      <c r="K510" s="1179"/>
      <c r="L510" s="1180"/>
      <c r="M510" s="1187"/>
      <c r="N510" s="1188"/>
      <c r="O510" s="1188"/>
      <c r="P510" s="1188"/>
      <c r="Q510" s="1188"/>
      <c r="R510" s="1188"/>
      <c r="S510" s="1188"/>
      <c r="T510" s="1188"/>
      <c r="U510" s="1188"/>
      <c r="V510" s="1188"/>
      <c r="W510" s="1188"/>
      <c r="X510" s="1188"/>
      <c r="Y510" s="1188"/>
      <c r="Z510" s="1188"/>
      <c r="AA510" s="1188"/>
      <c r="AB510" s="1188"/>
      <c r="AC510" s="1188"/>
      <c r="AD510" s="1188"/>
      <c r="AE510" s="1188"/>
      <c r="AF510" s="1188"/>
      <c r="AG510" s="1188"/>
      <c r="AH510" s="1188"/>
      <c r="AI510" s="1188"/>
      <c r="AJ510" s="1188"/>
      <c r="AK510" s="1188"/>
      <c r="AL510" s="1188"/>
      <c r="AM510" s="1188"/>
      <c r="AN510" s="1189"/>
    </row>
    <row r="511" spans="1:43" ht="30.75" customHeight="1" x14ac:dyDescent="0.35">
      <c r="A511" s="1178"/>
      <c r="B511" s="1179"/>
      <c r="C511" s="1179"/>
      <c r="D511" s="1179"/>
      <c r="E511" s="1179"/>
      <c r="F511" s="1179"/>
      <c r="G511" s="1179"/>
      <c r="H511" s="1179"/>
      <c r="I511" s="1179"/>
      <c r="J511" s="1179"/>
      <c r="K511" s="1179"/>
      <c r="L511" s="1180"/>
      <c r="M511" s="1187"/>
      <c r="N511" s="1188"/>
      <c r="O511" s="1188"/>
      <c r="P511" s="1188"/>
      <c r="Q511" s="1188"/>
      <c r="R511" s="1188"/>
      <c r="S511" s="1188"/>
      <c r="T511" s="1188"/>
      <c r="U511" s="1188"/>
      <c r="V511" s="1188"/>
      <c r="W511" s="1188"/>
      <c r="X511" s="1188"/>
      <c r="Y511" s="1188"/>
      <c r="Z511" s="1188"/>
      <c r="AA511" s="1188"/>
      <c r="AB511" s="1188"/>
      <c r="AC511" s="1188"/>
      <c r="AD511" s="1188"/>
      <c r="AE511" s="1188"/>
      <c r="AF511" s="1188"/>
      <c r="AG511" s="1188"/>
      <c r="AH511" s="1188"/>
      <c r="AI511" s="1188"/>
      <c r="AJ511" s="1188"/>
      <c r="AK511" s="1188"/>
      <c r="AL511" s="1188"/>
      <c r="AM511" s="1188"/>
      <c r="AN511" s="1189"/>
    </row>
    <row r="512" spans="1:43" ht="30.75" customHeight="1" x14ac:dyDescent="0.35">
      <c r="A512" s="1178"/>
      <c r="B512" s="1179"/>
      <c r="C512" s="1179"/>
      <c r="D512" s="1179"/>
      <c r="E512" s="1179"/>
      <c r="F512" s="1179"/>
      <c r="G512" s="1179"/>
      <c r="H512" s="1179"/>
      <c r="I512" s="1179"/>
      <c r="J512" s="1179"/>
      <c r="K512" s="1179"/>
      <c r="L512" s="1180"/>
      <c r="M512" s="1187"/>
      <c r="N512" s="1188"/>
      <c r="O512" s="1188"/>
      <c r="P512" s="1188"/>
      <c r="Q512" s="1188"/>
      <c r="R512" s="1188"/>
      <c r="S512" s="1188"/>
      <c r="T512" s="1188"/>
      <c r="U512" s="1188"/>
      <c r="V512" s="1188"/>
      <c r="W512" s="1188"/>
      <c r="X512" s="1188"/>
      <c r="Y512" s="1188"/>
      <c r="Z512" s="1188"/>
      <c r="AA512" s="1188"/>
      <c r="AB512" s="1188"/>
      <c r="AC512" s="1188"/>
      <c r="AD512" s="1188"/>
      <c r="AE512" s="1188"/>
      <c r="AF512" s="1188"/>
      <c r="AG512" s="1188"/>
      <c r="AH512" s="1188"/>
      <c r="AI512" s="1188"/>
      <c r="AJ512" s="1188"/>
      <c r="AK512" s="1188"/>
      <c r="AL512" s="1188"/>
      <c r="AM512" s="1188"/>
      <c r="AN512" s="1189"/>
    </row>
    <row r="513" spans="1:40" ht="30.75" customHeight="1" x14ac:dyDescent="0.35">
      <c r="A513" s="1178"/>
      <c r="B513" s="1179"/>
      <c r="C513" s="1179"/>
      <c r="D513" s="1179"/>
      <c r="E513" s="1179"/>
      <c r="F513" s="1179"/>
      <c r="G513" s="1179"/>
      <c r="H513" s="1179"/>
      <c r="I513" s="1179"/>
      <c r="J513" s="1179"/>
      <c r="K513" s="1179"/>
      <c r="L513" s="1180"/>
      <c r="M513" s="1187"/>
      <c r="N513" s="1188"/>
      <c r="O513" s="1188"/>
      <c r="P513" s="1188"/>
      <c r="Q513" s="1188"/>
      <c r="R513" s="1188"/>
      <c r="S513" s="1188"/>
      <c r="T513" s="1188"/>
      <c r="U513" s="1188"/>
      <c r="V513" s="1188"/>
      <c r="W513" s="1188"/>
      <c r="X513" s="1188"/>
      <c r="Y513" s="1188"/>
      <c r="Z513" s="1188"/>
      <c r="AA513" s="1188"/>
      <c r="AB513" s="1188"/>
      <c r="AC513" s="1188"/>
      <c r="AD513" s="1188"/>
      <c r="AE513" s="1188"/>
      <c r="AF513" s="1188"/>
      <c r="AG513" s="1188"/>
      <c r="AH513" s="1188"/>
      <c r="AI513" s="1188"/>
      <c r="AJ513" s="1188"/>
      <c r="AK513" s="1188"/>
      <c r="AL513" s="1188"/>
      <c r="AM513" s="1188"/>
      <c r="AN513" s="1189"/>
    </row>
    <row r="514" spans="1:40" ht="30.75" customHeight="1" x14ac:dyDescent="0.35">
      <c r="A514" s="1178"/>
      <c r="B514" s="1179"/>
      <c r="C514" s="1179"/>
      <c r="D514" s="1179"/>
      <c r="E514" s="1179"/>
      <c r="F514" s="1179"/>
      <c r="G514" s="1179"/>
      <c r="H514" s="1179"/>
      <c r="I514" s="1179"/>
      <c r="J514" s="1179"/>
      <c r="K514" s="1179"/>
      <c r="L514" s="1180"/>
      <c r="M514" s="1187"/>
      <c r="N514" s="1188"/>
      <c r="O514" s="1188"/>
      <c r="P514" s="1188"/>
      <c r="Q514" s="1188"/>
      <c r="R514" s="1188"/>
      <c r="S514" s="1188"/>
      <c r="T514" s="1188"/>
      <c r="U514" s="1188"/>
      <c r="V514" s="1188"/>
      <c r="W514" s="1188"/>
      <c r="X514" s="1188"/>
      <c r="Y514" s="1188"/>
      <c r="Z514" s="1188"/>
      <c r="AA514" s="1188"/>
      <c r="AB514" s="1188"/>
      <c r="AC514" s="1188"/>
      <c r="AD514" s="1188"/>
      <c r="AE514" s="1188"/>
      <c r="AF514" s="1188"/>
      <c r="AG514" s="1188"/>
      <c r="AH514" s="1188"/>
      <c r="AI514" s="1188"/>
      <c r="AJ514" s="1188"/>
      <c r="AK514" s="1188"/>
      <c r="AL514" s="1188"/>
      <c r="AM514" s="1188"/>
      <c r="AN514" s="1189"/>
    </row>
    <row r="515" spans="1:40" ht="30.75" customHeight="1" x14ac:dyDescent="0.35">
      <c r="A515" s="1178"/>
      <c r="B515" s="1179"/>
      <c r="C515" s="1179"/>
      <c r="D515" s="1179"/>
      <c r="E515" s="1179"/>
      <c r="F515" s="1179"/>
      <c r="G515" s="1179"/>
      <c r="H515" s="1179"/>
      <c r="I515" s="1179"/>
      <c r="J515" s="1179"/>
      <c r="K515" s="1179"/>
      <c r="L515" s="1180"/>
      <c r="M515" s="1187"/>
      <c r="N515" s="1188"/>
      <c r="O515" s="1188"/>
      <c r="P515" s="1188"/>
      <c r="Q515" s="1188"/>
      <c r="R515" s="1188"/>
      <c r="S515" s="1188"/>
      <c r="T515" s="1188"/>
      <c r="U515" s="1188"/>
      <c r="V515" s="1188"/>
      <c r="W515" s="1188"/>
      <c r="X515" s="1188"/>
      <c r="Y515" s="1188"/>
      <c r="Z515" s="1188"/>
      <c r="AA515" s="1188"/>
      <c r="AB515" s="1188"/>
      <c r="AC515" s="1188"/>
      <c r="AD515" s="1188"/>
      <c r="AE515" s="1188"/>
      <c r="AF515" s="1188"/>
      <c r="AG515" s="1188"/>
      <c r="AH515" s="1188"/>
      <c r="AI515" s="1188"/>
      <c r="AJ515" s="1188"/>
      <c r="AK515" s="1188"/>
      <c r="AL515" s="1188"/>
      <c r="AM515" s="1188"/>
      <c r="AN515" s="1189"/>
    </row>
    <row r="516" spans="1:40" ht="30.75" customHeight="1" x14ac:dyDescent="0.35">
      <c r="A516" s="1178"/>
      <c r="B516" s="1179"/>
      <c r="C516" s="1179"/>
      <c r="D516" s="1179"/>
      <c r="E516" s="1179"/>
      <c r="F516" s="1179"/>
      <c r="G516" s="1179"/>
      <c r="H516" s="1179"/>
      <c r="I516" s="1179"/>
      <c r="J516" s="1179"/>
      <c r="K516" s="1179"/>
      <c r="L516" s="1180"/>
      <c r="M516" s="1187"/>
      <c r="N516" s="1188"/>
      <c r="O516" s="1188"/>
      <c r="P516" s="1188"/>
      <c r="Q516" s="1188"/>
      <c r="R516" s="1188"/>
      <c r="S516" s="1188"/>
      <c r="T516" s="1188"/>
      <c r="U516" s="1188"/>
      <c r="V516" s="1188"/>
      <c r="W516" s="1188"/>
      <c r="X516" s="1188"/>
      <c r="Y516" s="1188"/>
      <c r="Z516" s="1188"/>
      <c r="AA516" s="1188"/>
      <c r="AB516" s="1188"/>
      <c r="AC516" s="1188"/>
      <c r="AD516" s="1188"/>
      <c r="AE516" s="1188"/>
      <c r="AF516" s="1188"/>
      <c r="AG516" s="1188"/>
      <c r="AH516" s="1188"/>
      <c r="AI516" s="1188"/>
      <c r="AJ516" s="1188"/>
      <c r="AK516" s="1188"/>
      <c r="AL516" s="1188"/>
      <c r="AM516" s="1188"/>
      <c r="AN516" s="1189"/>
    </row>
    <row r="517" spans="1:40" ht="30.75" customHeight="1" x14ac:dyDescent="0.35">
      <c r="A517" s="1178"/>
      <c r="B517" s="1179"/>
      <c r="C517" s="1179"/>
      <c r="D517" s="1179"/>
      <c r="E517" s="1179"/>
      <c r="F517" s="1179"/>
      <c r="G517" s="1179"/>
      <c r="H517" s="1179"/>
      <c r="I517" s="1179"/>
      <c r="J517" s="1179"/>
      <c r="K517" s="1179"/>
      <c r="L517" s="1180"/>
      <c r="M517" s="1187"/>
      <c r="N517" s="1188"/>
      <c r="O517" s="1188"/>
      <c r="P517" s="1188"/>
      <c r="Q517" s="1188"/>
      <c r="R517" s="1188"/>
      <c r="S517" s="1188"/>
      <c r="T517" s="1188"/>
      <c r="U517" s="1188"/>
      <c r="V517" s="1188"/>
      <c r="W517" s="1188"/>
      <c r="X517" s="1188"/>
      <c r="Y517" s="1188"/>
      <c r="Z517" s="1188"/>
      <c r="AA517" s="1188"/>
      <c r="AB517" s="1188"/>
      <c r="AC517" s="1188"/>
      <c r="AD517" s="1188"/>
      <c r="AE517" s="1188"/>
      <c r="AF517" s="1188"/>
      <c r="AG517" s="1188"/>
      <c r="AH517" s="1188"/>
      <c r="AI517" s="1188"/>
      <c r="AJ517" s="1188"/>
      <c r="AK517" s="1188"/>
      <c r="AL517" s="1188"/>
      <c r="AM517" s="1188"/>
      <c r="AN517" s="1189"/>
    </row>
    <row r="518" spans="1:40" ht="30.75" customHeight="1" x14ac:dyDescent="0.35">
      <c r="A518" s="1178"/>
      <c r="B518" s="1179"/>
      <c r="C518" s="1179"/>
      <c r="D518" s="1179"/>
      <c r="E518" s="1179"/>
      <c r="F518" s="1179"/>
      <c r="G518" s="1179"/>
      <c r="H518" s="1179"/>
      <c r="I518" s="1179"/>
      <c r="J518" s="1179"/>
      <c r="K518" s="1179"/>
      <c r="L518" s="1180"/>
      <c r="M518" s="1187"/>
      <c r="N518" s="1188"/>
      <c r="O518" s="1188"/>
      <c r="P518" s="1188"/>
      <c r="Q518" s="1188"/>
      <c r="R518" s="1188"/>
      <c r="S518" s="1188"/>
      <c r="T518" s="1188"/>
      <c r="U518" s="1188"/>
      <c r="V518" s="1188"/>
      <c r="W518" s="1188"/>
      <c r="X518" s="1188"/>
      <c r="Y518" s="1188"/>
      <c r="Z518" s="1188"/>
      <c r="AA518" s="1188"/>
      <c r="AB518" s="1188"/>
      <c r="AC518" s="1188"/>
      <c r="AD518" s="1188"/>
      <c r="AE518" s="1188"/>
      <c r="AF518" s="1188"/>
      <c r="AG518" s="1188"/>
      <c r="AH518" s="1188"/>
      <c r="AI518" s="1188"/>
      <c r="AJ518" s="1188"/>
      <c r="AK518" s="1188"/>
      <c r="AL518" s="1188"/>
      <c r="AM518" s="1188"/>
      <c r="AN518" s="1189"/>
    </row>
    <row r="519" spans="1:40" ht="30.75" customHeight="1" x14ac:dyDescent="0.35">
      <c r="A519" s="1178"/>
      <c r="B519" s="1179"/>
      <c r="C519" s="1179"/>
      <c r="D519" s="1179"/>
      <c r="E519" s="1179"/>
      <c r="F519" s="1179"/>
      <c r="G519" s="1179"/>
      <c r="H519" s="1179"/>
      <c r="I519" s="1179"/>
      <c r="J519" s="1179"/>
      <c r="K519" s="1179"/>
      <c r="L519" s="1180"/>
      <c r="M519" s="1187"/>
      <c r="N519" s="1188"/>
      <c r="O519" s="1188"/>
      <c r="P519" s="1188"/>
      <c r="Q519" s="1188"/>
      <c r="R519" s="1188"/>
      <c r="S519" s="1188"/>
      <c r="T519" s="1188"/>
      <c r="U519" s="1188"/>
      <c r="V519" s="1188"/>
      <c r="W519" s="1188"/>
      <c r="X519" s="1188"/>
      <c r="Y519" s="1188"/>
      <c r="Z519" s="1188"/>
      <c r="AA519" s="1188"/>
      <c r="AB519" s="1188"/>
      <c r="AC519" s="1188"/>
      <c r="AD519" s="1188"/>
      <c r="AE519" s="1188"/>
      <c r="AF519" s="1188"/>
      <c r="AG519" s="1188"/>
      <c r="AH519" s="1188"/>
      <c r="AI519" s="1188"/>
      <c r="AJ519" s="1188"/>
      <c r="AK519" s="1188"/>
      <c r="AL519" s="1188"/>
      <c r="AM519" s="1188"/>
      <c r="AN519" s="1189"/>
    </row>
    <row r="520" spans="1:40" ht="30.75" customHeight="1" x14ac:dyDescent="0.35">
      <c r="A520" s="1178"/>
      <c r="B520" s="1179"/>
      <c r="C520" s="1179"/>
      <c r="D520" s="1179"/>
      <c r="E520" s="1179"/>
      <c r="F520" s="1179"/>
      <c r="G520" s="1179"/>
      <c r="H520" s="1179"/>
      <c r="I520" s="1179"/>
      <c r="J520" s="1179"/>
      <c r="K520" s="1179"/>
      <c r="L520" s="1180"/>
      <c r="M520" s="1187"/>
      <c r="N520" s="1188"/>
      <c r="O520" s="1188"/>
      <c r="P520" s="1188"/>
      <c r="Q520" s="1188"/>
      <c r="R520" s="1188"/>
      <c r="S520" s="1188"/>
      <c r="T520" s="1188"/>
      <c r="U520" s="1188"/>
      <c r="V520" s="1188"/>
      <c r="W520" s="1188"/>
      <c r="X520" s="1188"/>
      <c r="Y520" s="1188"/>
      <c r="Z520" s="1188"/>
      <c r="AA520" s="1188"/>
      <c r="AB520" s="1188"/>
      <c r="AC520" s="1188"/>
      <c r="AD520" s="1188"/>
      <c r="AE520" s="1188"/>
      <c r="AF520" s="1188"/>
      <c r="AG520" s="1188"/>
      <c r="AH520" s="1188"/>
      <c r="AI520" s="1188"/>
      <c r="AJ520" s="1188"/>
      <c r="AK520" s="1188"/>
      <c r="AL520" s="1188"/>
      <c r="AM520" s="1188"/>
      <c r="AN520" s="1189"/>
    </row>
    <row r="521" spans="1:40" ht="30.75" customHeight="1" x14ac:dyDescent="0.35">
      <c r="A521" s="1178"/>
      <c r="B521" s="1179"/>
      <c r="C521" s="1179"/>
      <c r="D521" s="1179"/>
      <c r="E521" s="1179"/>
      <c r="F521" s="1179"/>
      <c r="G521" s="1179"/>
      <c r="H521" s="1179"/>
      <c r="I521" s="1179"/>
      <c r="J521" s="1179"/>
      <c r="K521" s="1179"/>
      <c r="L521" s="1180"/>
      <c r="M521" s="1187"/>
      <c r="N521" s="1188"/>
      <c r="O521" s="1188"/>
      <c r="P521" s="1188"/>
      <c r="Q521" s="1188"/>
      <c r="R521" s="1188"/>
      <c r="S521" s="1188"/>
      <c r="T521" s="1188"/>
      <c r="U521" s="1188"/>
      <c r="V521" s="1188"/>
      <c r="W521" s="1188"/>
      <c r="X521" s="1188"/>
      <c r="Y521" s="1188"/>
      <c r="Z521" s="1188"/>
      <c r="AA521" s="1188"/>
      <c r="AB521" s="1188"/>
      <c r="AC521" s="1188"/>
      <c r="AD521" s="1188"/>
      <c r="AE521" s="1188"/>
      <c r="AF521" s="1188"/>
      <c r="AG521" s="1188"/>
      <c r="AH521" s="1188"/>
      <c r="AI521" s="1188"/>
      <c r="AJ521" s="1188"/>
      <c r="AK521" s="1188"/>
      <c r="AL521" s="1188"/>
      <c r="AM521" s="1188"/>
      <c r="AN521" s="1189"/>
    </row>
    <row r="522" spans="1:40" ht="30.75" customHeight="1" x14ac:dyDescent="0.35">
      <c r="A522" s="1178"/>
      <c r="B522" s="1179"/>
      <c r="C522" s="1179"/>
      <c r="D522" s="1179"/>
      <c r="E522" s="1179"/>
      <c r="F522" s="1179"/>
      <c r="G522" s="1179"/>
      <c r="H522" s="1179"/>
      <c r="I522" s="1179"/>
      <c r="J522" s="1179"/>
      <c r="K522" s="1179"/>
      <c r="L522" s="1180"/>
      <c r="M522" s="1187"/>
      <c r="N522" s="1188"/>
      <c r="O522" s="1188"/>
      <c r="P522" s="1188"/>
      <c r="Q522" s="1188"/>
      <c r="R522" s="1188"/>
      <c r="S522" s="1188"/>
      <c r="T522" s="1188"/>
      <c r="U522" s="1188"/>
      <c r="V522" s="1188"/>
      <c r="W522" s="1188"/>
      <c r="X522" s="1188"/>
      <c r="Y522" s="1188"/>
      <c r="Z522" s="1188"/>
      <c r="AA522" s="1188"/>
      <c r="AB522" s="1188"/>
      <c r="AC522" s="1188"/>
      <c r="AD522" s="1188"/>
      <c r="AE522" s="1188"/>
      <c r="AF522" s="1188"/>
      <c r="AG522" s="1188"/>
      <c r="AH522" s="1188"/>
      <c r="AI522" s="1188"/>
      <c r="AJ522" s="1188"/>
      <c r="AK522" s="1188"/>
      <c r="AL522" s="1188"/>
      <c r="AM522" s="1188"/>
      <c r="AN522" s="1189"/>
    </row>
    <row r="523" spans="1:40" ht="30.75" customHeight="1" x14ac:dyDescent="0.35">
      <c r="A523" s="1178"/>
      <c r="B523" s="1179"/>
      <c r="C523" s="1179"/>
      <c r="D523" s="1179"/>
      <c r="E523" s="1179"/>
      <c r="F523" s="1179"/>
      <c r="G523" s="1179"/>
      <c r="H523" s="1179"/>
      <c r="I523" s="1179"/>
      <c r="J523" s="1179"/>
      <c r="K523" s="1179"/>
      <c r="L523" s="1180"/>
      <c r="M523" s="1187"/>
      <c r="N523" s="1188"/>
      <c r="O523" s="1188"/>
      <c r="P523" s="1188"/>
      <c r="Q523" s="1188"/>
      <c r="R523" s="1188"/>
      <c r="S523" s="1188"/>
      <c r="T523" s="1188"/>
      <c r="U523" s="1188"/>
      <c r="V523" s="1188"/>
      <c r="W523" s="1188"/>
      <c r="X523" s="1188"/>
      <c r="Y523" s="1188"/>
      <c r="Z523" s="1188"/>
      <c r="AA523" s="1188"/>
      <c r="AB523" s="1188"/>
      <c r="AC523" s="1188"/>
      <c r="AD523" s="1188"/>
      <c r="AE523" s="1188"/>
      <c r="AF523" s="1188"/>
      <c r="AG523" s="1188"/>
      <c r="AH523" s="1188"/>
      <c r="AI523" s="1188"/>
      <c r="AJ523" s="1188"/>
      <c r="AK523" s="1188"/>
      <c r="AL523" s="1188"/>
      <c r="AM523" s="1188"/>
      <c r="AN523" s="1189"/>
    </row>
    <row r="524" spans="1:40" ht="30.75" customHeight="1" x14ac:dyDescent="0.35">
      <c r="A524" s="1178"/>
      <c r="B524" s="1179"/>
      <c r="C524" s="1179"/>
      <c r="D524" s="1179"/>
      <c r="E524" s="1179"/>
      <c r="F524" s="1179"/>
      <c r="G524" s="1179"/>
      <c r="H524" s="1179"/>
      <c r="I524" s="1179"/>
      <c r="J524" s="1179"/>
      <c r="K524" s="1179"/>
      <c r="L524" s="1180"/>
      <c r="M524" s="1187"/>
      <c r="N524" s="1188"/>
      <c r="O524" s="1188"/>
      <c r="P524" s="1188"/>
      <c r="Q524" s="1188"/>
      <c r="R524" s="1188"/>
      <c r="S524" s="1188"/>
      <c r="T524" s="1188"/>
      <c r="U524" s="1188"/>
      <c r="V524" s="1188"/>
      <c r="W524" s="1188"/>
      <c r="X524" s="1188"/>
      <c r="Y524" s="1188"/>
      <c r="Z524" s="1188"/>
      <c r="AA524" s="1188"/>
      <c r="AB524" s="1188"/>
      <c r="AC524" s="1188"/>
      <c r="AD524" s="1188"/>
      <c r="AE524" s="1188"/>
      <c r="AF524" s="1188"/>
      <c r="AG524" s="1188"/>
      <c r="AH524" s="1188"/>
      <c r="AI524" s="1188"/>
      <c r="AJ524" s="1188"/>
      <c r="AK524" s="1188"/>
      <c r="AL524" s="1188"/>
      <c r="AM524" s="1188"/>
      <c r="AN524" s="1189"/>
    </row>
    <row r="525" spans="1:40" ht="30.75" customHeight="1" x14ac:dyDescent="0.35">
      <c r="A525" s="1178"/>
      <c r="B525" s="1179"/>
      <c r="C525" s="1179"/>
      <c r="D525" s="1179"/>
      <c r="E525" s="1179"/>
      <c r="F525" s="1179"/>
      <c r="G525" s="1179"/>
      <c r="H525" s="1179"/>
      <c r="I525" s="1179"/>
      <c r="J525" s="1179"/>
      <c r="K525" s="1179"/>
      <c r="L525" s="1180"/>
      <c r="M525" s="1187"/>
      <c r="N525" s="1188"/>
      <c r="O525" s="1188"/>
      <c r="P525" s="1188"/>
      <c r="Q525" s="1188"/>
      <c r="R525" s="1188"/>
      <c r="S525" s="1188"/>
      <c r="T525" s="1188"/>
      <c r="U525" s="1188"/>
      <c r="V525" s="1188"/>
      <c r="W525" s="1188"/>
      <c r="X525" s="1188"/>
      <c r="Y525" s="1188"/>
      <c r="Z525" s="1188"/>
      <c r="AA525" s="1188"/>
      <c r="AB525" s="1188"/>
      <c r="AC525" s="1188"/>
      <c r="AD525" s="1188"/>
      <c r="AE525" s="1188"/>
      <c r="AF525" s="1188"/>
      <c r="AG525" s="1188"/>
      <c r="AH525" s="1188"/>
      <c r="AI525" s="1188"/>
      <c r="AJ525" s="1188"/>
      <c r="AK525" s="1188"/>
      <c r="AL525" s="1188"/>
      <c r="AM525" s="1188"/>
      <c r="AN525" s="1189"/>
    </row>
    <row r="526" spans="1:40" ht="30.75" customHeight="1" x14ac:dyDescent="0.35">
      <c r="A526" s="1178"/>
      <c r="B526" s="1179"/>
      <c r="C526" s="1179"/>
      <c r="D526" s="1179"/>
      <c r="E526" s="1179"/>
      <c r="F526" s="1179"/>
      <c r="G526" s="1179"/>
      <c r="H526" s="1179"/>
      <c r="I526" s="1179"/>
      <c r="J526" s="1179"/>
      <c r="K526" s="1179"/>
      <c r="L526" s="1180"/>
      <c r="M526" s="1187"/>
      <c r="N526" s="1188"/>
      <c r="O526" s="1188"/>
      <c r="P526" s="1188"/>
      <c r="Q526" s="1188"/>
      <c r="R526" s="1188"/>
      <c r="S526" s="1188"/>
      <c r="T526" s="1188"/>
      <c r="U526" s="1188"/>
      <c r="V526" s="1188"/>
      <c r="W526" s="1188"/>
      <c r="X526" s="1188"/>
      <c r="Y526" s="1188"/>
      <c r="Z526" s="1188"/>
      <c r="AA526" s="1188"/>
      <c r="AB526" s="1188"/>
      <c r="AC526" s="1188"/>
      <c r="AD526" s="1188"/>
      <c r="AE526" s="1188"/>
      <c r="AF526" s="1188"/>
      <c r="AG526" s="1188"/>
      <c r="AH526" s="1188"/>
      <c r="AI526" s="1188"/>
      <c r="AJ526" s="1188"/>
      <c r="AK526" s="1188"/>
      <c r="AL526" s="1188"/>
      <c r="AM526" s="1188"/>
      <c r="AN526" s="1189"/>
    </row>
    <row r="527" spans="1:40" ht="30.75" customHeight="1" x14ac:dyDescent="0.35">
      <c r="A527" s="1178"/>
      <c r="B527" s="1179"/>
      <c r="C527" s="1179"/>
      <c r="D527" s="1179"/>
      <c r="E527" s="1179"/>
      <c r="F527" s="1179"/>
      <c r="G527" s="1179"/>
      <c r="H527" s="1179"/>
      <c r="I527" s="1179"/>
      <c r="J527" s="1179"/>
      <c r="K527" s="1179"/>
      <c r="L527" s="1180"/>
      <c r="M527" s="1187"/>
      <c r="N527" s="1188"/>
      <c r="O527" s="1188"/>
      <c r="P527" s="1188"/>
      <c r="Q527" s="1188"/>
      <c r="R527" s="1188"/>
      <c r="S527" s="1188"/>
      <c r="T527" s="1188"/>
      <c r="U527" s="1188"/>
      <c r="V527" s="1188"/>
      <c r="W527" s="1188"/>
      <c r="X527" s="1188"/>
      <c r="Y527" s="1188"/>
      <c r="Z527" s="1188"/>
      <c r="AA527" s="1188"/>
      <c r="AB527" s="1188"/>
      <c r="AC527" s="1188"/>
      <c r="AD527" s="1188"/>
      <c r="AE527" s="1188"/>
      <c r="AF527" s="1188"/>
      <c r="AG527" s="1188"/>
      <c r="AH527" s="1188"/>
      <c r="AI527" s="1188"/>
      <c r="AJ527" s="1188"/>
      <c r="AK527" s="1188"/>
      <c r="AL527" s="1188"/>
      <c r="AM527" s="1188"/>
      <c r="AN527" s="1189"/>
    </row>
    <row r="528" spans="1:40" ht="30.75" customHeight="1" x14ac:dyDescent="0.35">
      <c r="A528" s="1178"/>
      <c r="B528" s="1179"/>
      <c r="C528" s="1179"/>
      <c r="D528" s="1179"/>
      <c r="E528" s="1179"/>
      <c r="F528" s="1179"/>
      <c r="G528" s="1179"/>
      <c r="H528" s="1179"/>
      <c r="I528" s="1179"/>
      <c r="J528" s="1179"/>
      <c r="K528" s="1179"/>
      <c r="L528" s="1180"/>
      <c r="M528" s="1187"/>
      <c r="N528" s="1188"/>
      <c r="O528" s="1188"/>
      <c r="P528" s="1188"/>
      <c r="Q528" s="1188"/>
      <c r="R528" s="1188"/>
      <c r="S528" s="1188"/>
      <c r="T528" s="1188"/>
      <c r="U528" s="1188"/>
      <c r="V528" s="1188"/>
      <c r="W528" s="1188"/>
      <c r="X528" s="1188"/>
      <c r="Y528" s="1188"/>
      <c r="Z528" s="1188"/>
      <c r="AA528" s="1188"/>
      <c r="AB528" s="1188"/>
      <c r="AC528" s="1188"/>
      <c r="AD528" s="1188"/>
      <c r="AE528" s="1188"/>
      <c r="AF528" s="1188"/>
      <c r="AG528" s="1188"/>
      <c r="AH528" s="1188"/>
      <c r="AI528" s="1188"/>
      <c r="AJ528" s="1188"/>
      <c r="AK528" s="1188"/>
      <c r="AL528" s="1188"/>
      <c r="AM528" s="1188"/>
      <c r="AN528" s="1189"/>
    </row>
    <row r="529" spans="1:40" ht="30.75" customHeight="1" x14ac:dyDescent="0.35">
      <c r="A529" s="1178"/>
      <c r="B529" s="1179"/>
      <c r="C529" s="1179"/>
      <c r="D529" s="1179"/>
      <c r="E529" s="1179"/>
      <c r="F529" s="1179"/>
      <c r="G529" s="1179"/>
      <c r="H529" s="1179"/>
      <c r="I529" s="1179"/>
      <c r="J529" s="1179"/>
      <c r="K529" s="1179"/>
      <c r="L529" s="1180"/>
      <c r="M529" s="1187"/>
      <c r="N529" s="1188"/>
      <c r="O529" s="1188"/>
      <c r="P529" s="1188"/>
      <c r="Q529" s="1188"/>
      <c r="R529" s="1188"/>
      <c r="S529" s="1188"/>
      <c r="T529" s="1188"/>
      <c r="U529" s="1188"/>
      <c r="V529" s="1188"/>
      <c r="W529" s="1188"/>
      <c r="X529" s="1188"/>
      <c r="Y529" s="1188"/>
      <c r="Z529" s="1188"/>
      <c r="AA529" s="1188"/>
      <c r="AB529" s="1188"/>
      <c r="AC529" s="1188"/>
      <c r="AD529" s="1188"/>
      <c r="AE529" s="1188"/>
      <c r="AF529" s="1188"/>
      <c r="AG529" s="1188"/>
      <c r="AH529" s="1188"/>
      <c r="AI529" s="1188"/>
      <c r="AJ529" s="1188"/>
      <c r="AK529" s="1188"/>
      <c r="AL529" s="1188"/>
      <c r="AM529" s="1188"/>
      <c r="AN529" s="1189"/>
    </row>
    <row r="530" spans="1:40" ht="30.75" customHeight="1" x14ac:dyDescent="0.35">
      <c r="A530" s="1178"/>
      <c r="B530" s="1179"/>
      <c r="C530" s="1179"/>
      <c r="D530" s="1179"/>
      <c r="E530" s="1179"/>
      <c r="F530" s="1179"/>
      <c r="G530" s="1179"/>
      <c r="H530" s="1179"/>
      <c r="I530" s="1179"/>
      <c r="J530" s="1179"/>
      <c r="K530" s="1179"/>
      <c r="L530" s="1180"/>
      <c r="M530" s="1187"/>
      <c r="N530" s="1188"/>
      <c r="O530" s="1188"/>
      <c r="P530" s="1188"/>
      <c r="Q530" s="1188"/>
      <c r="R530" s="1188"/>
      <c r="S530" s="1188"/>
      <c r="T530" s="1188"/>
      <c r="U530" s="1188"/>
      <c r="V530" s="1188"/>
      <c r="W530" s="1188"/>
      <c r="X530" s="1188"/>
      <c r="Y530" s="1188"/>
      <c r="Z530" s="1188"/>
      <c r="AA530" s="1188"/>
      <c r="AB530" s="1188"/>
      <c r="AC530" s="1188"/>
      <c r="AD530" s="1188"/>
      <c r="AE530" s="1188"/>
      <c r="AF530" s="1188"/>
      <c r="AG530" s="1188"/>
      <c r="AH530" s="1188"/>
      <c r="AI530" s="1188"/>
      <c r="AJ530" s="1188"/>
      <c r="AK530" s="1188"/>
      <c r="AL530" s="1188"/>
      <c r="AM530" s="1188"/>
      <c r="AN530" s="1189"/>
    </row>
    <row r="531" spans="1:40" ht="30.75" customHeight="1" x14ac:dyDescent="0.35">
      <c r="A531" s="1178"/>
      <c r="B531" s="1179"/>
      <c r="C531" s="1179"/>
      <c r="D531" s="1179"/>
      <c r="E531" s="1179"/>
      <c r="F531" s="1179"/>
      <c r="G531" s="1179"/>
      <c r="H531" s="1179"/>
      <c r="I531" s="1179"/>
      <c r="J531" s="1179"/>
      <c r="K531" s="1179"/>
      <c r="L531" s="1180"/>
      <c r="M531" s="1187"/>
      <c r="N531" s="1188"/>
      <c r="O531" s="1188"/>
      <c r="P531" s="1188"/>
      <c r="Q531" s="1188"/>
      <c r="R531" s="1188"/>
      <c r="S531" s="1188"/>
      <c r="T531" s="1188"/>
      <c r="U531" s="1188"/>
      <c r="V531" s="1188"/>
      <c r="W531" s="1188"/>
      <c r="X531" s="1188"/>
      <c r="Y531" s="1188"/>
      <c r="Z531" s="1188"/>
      <c r="AA531" s="1188"/>
      <c r="AB531" s="1188"/>
      <c r="AC531" s="1188"/>
      <c r="AD531" s="1188"/>
      <c r="AE531" s="1188"/>
      <c r="AF531" s="1188"/>
      <c r="AG531" s="1188"/>
      <c r="AH531" s="1188"/>
      <c r="AI531" s="1188"/>
      <c r="AJ531" s="1188"/>
      <c r="AK531" s="1188"/>
      <c r="AL531" s="1188"/>
      <c r="AM531" s="1188"/>
      <c r="AN531" s="1189"/>
    </row>
    <row r="532" spans="1:40" ht="30.75" customHeight="1" x14ac:dyDescent="0.35">
      <c r="A532" s="1178"/>
      <c r="B532" s="1179"/>
      <c r="C532" s="1179"/>
      <c r="D532" s="1179"/>
      <c r="E532" s="1179"/>
      <c r="F532" s="1179"/>
      <c r="G532" s="1179"/>
      <c r="H532" s="1179"/>
      <c r="I532" s="1179"/>
      <c r="J532" s="1179"/>
      <c r="K532" s="1179"/>
      <c r="L532" s="1180"/>
      <c r="M532" s="1187"/>
      <c r="N532" s="1188"/>
      <c r="O532" s="1188"/>
      <c r="P532" s="1188"/>
      <c r="Q532" s="1188"/>
      <c r="R532" s="1188"/>
      <c r="S532" s="1188"/>
      <c r="T532" s="1188"/>
      <c r="U532" s="1188"/>
      <c r="V532" s="1188"/>
      <c r="W532" s="1188"/>
      <c r="X532" s="1188"/>
      <c r="Y532" s="1188"/>
      <c r="Z532" s="1188"/>
      <c r="AA532" s="1188"/>
      <c r="AB532" s="1188"/>
      <c r="AC532" s="1188"/>
      <c r="AD532" s="1188"/>
      <c r="AE532" s="1188"/>
      <c r="AF532" s="1188"/>
      <c r="AG532" s="1188"/>
      <c r="AH532" s="1188"/>
      <c r="AI532" s="1188"/>
      <c r="AJ532" s="1188"/>
      <c r="AK532" s="1188"/>
      <c r="AL532" s="1188"/>
      <c r="AM532" s="1188"/>
      <c r="AN532" s="1189"/>
    </row>
    <row r="533" spans="1:40" ht="30.75" customHeight="1" x14ac:dyDescent="0.35">
      <c r="A533" s="1178"/>
      <c r="B533" s="1179"/>
      <c r="C533" s="1179"/>
      <c r="D533" s="1179"/>
      <c r="E533" s="1179"/>
      <c r="F533" s="1179"/>
      <c r="G533" s="1179"/>
      <c r="H533" s="1179"/>
      <c r="I533" s="1179"/>
      <c r="J533" s="1179"/>
      <c r="K533" s="1179"/>
      <c r="L533" s="1180"/>
      <c r="M533" s="1187"/>
      <c r="N533" s="1188"/>
      <c r="O533" s="1188"/>
      <c r="P533" s="1188"/>
      <c r="Q533" s="1188"/>
      <c r="R533" s="1188"/>
      <c r="S533" s="1188"/>
      <c r="T533" s="1188"/>
      <c r="U533" s="1188"/>
      <c r="V533" s="1188"/>
      <c r="W533" s="1188"/>
      <c r="X533" s="1188"/>
      <c r="Y533" s="1188"/>
      <c r="Z533" s="1188"/>
      <c r="AA533" s="1188"/>
      <c r="AB533" s="1188"/>
      <c r="AC533" s="1188"/>
      <c r="AD533" s="1188"/>
      <c r="AE533" s="1188"/>
      <c r="AF533" s="1188"/>
      <c r="AG533" s="1188"/>
      <c r="AH533" s="1188"/>
      <c r="AI533" s="1188"/>
      <c r="AJ533" s="1188"/>
      <c r="AK533" s="1188"/>
      <c r="AL533" s="1188"/>
      <c r="AM533" s="1188"/>
      <c r="AN533" s="1189"/>
    </row>
    <row r="534" spans="1:40" ht="30.75" customHeight="1" x14ac:dyDescent="0.35">
      <c r="A534" s="1178"/>
      <c r="B534" s="1179"/>
      <c r="C534" s="1179"/>
      <c r="D534" s="1179"/>
      <c r="E534" s="1179"/>
      <c r="F534" s="1179"/>
      <c r="G534" s="1179"/>
      <c r="H534" s="1179"/>
      <c r="I534" s="1179"/>
      <c r="J534" s="1179"/>
      <c r="K534" s="1179"/>
      <c r="L534" s="1180"/>
      <c r="M534" s="1187"/>
      <c r="N534" s="1188"/>
      <c r="O534" s="1188"/>
      <c r="P534" s="1188"/>
      <c r="Q534" s="1188"/>
      <c r="R534" s="1188"/>
      <c r="S534" s="1188"/>
      <c r="T534" s="1188"/>
      <c r="U534" s="1188"/>
      <c r="V534" s="1188"/>
      <c r="W534" s="1188"/>
      <c r="X534" s="1188"/>
      <c r="Y534" s="1188"/>
      <c r="Z534" s="1188"/>
      <c r="AA534" s="1188"/>
      <c r="AB534" s="1188"/>
      <c r="AC534" s="1188"/>
      <c r="AD534" s="1188"/>
      <c r="AE534" s="1188"/>
      <c r="AF534" s="1188"/>
      <c r="AG534" s="1188"/>
      <c r="AH534" s="1188"/>
      <c r="AI534" s="1188"/>
      <c r="AJ534" s="1188"/>
      <c r="AK534" s="1188"/>
      <c r="AL534" s="1188"/>
      <c r="AM534" s="1188"/>
      <c r="AN534" s="1189"/>
    </row>
    <row r="535" spans="1:40" ht="30.75" customHeight="1" x14ac:dyDescent="0.35">
      <c r="A535" s="1178"/>
      <c r="B535" s="1179"/>
      <c r="C535" s="1179"/>
      <c r="D535" s="1179"/>
      <c r="E535" s="1179"/>
      <c r="F535" s="1179"/>
      <c r="G535" s="1179"/>
      <c r="H535" s="1179"/>
      <c r="I535" s="1179"/>
      <c r="J535" s="1179"/>
      <c r="K535" s="1179"/>
      <c r="L535" s="1180"/>
      <c r="M535" s="1187"/>
      <c r="N535" s="1188"/>
      <c r="O535" s="1188"/>
      <c r="P535" s="1188"/>
      <c r="Q535" s="1188"/>
      <c r="R535" s="1188"/>
      <c r="S535" s="1188"/>
      <c r="T535" s="1188"/>
      <c r="U535" s="1188"/>
      <c r="V535" s="1188"/>
      <c r="W535" s="1188"/>
      <c r="X535" s="1188"/>
      <c r="Y535" s="1188"/>
      <c r="Z535" s="1188"/>
      <c r="AA535" s="1188"/>
      <c r="AB535" s="1188"/>
      <c r="AC535" s="1188"/>
      <c r="AD535" s="1188"/>
      <c r="AE535" s="1188"/>
      <c r="AF535" s="1188"/>
      <c r="AG535" s="1188"/>
      <c r="AH535" s="1188"/>
      <c r="AI535" s="1188"/>
      <c r="AJ535" s="1188"/>
      <c r="AK535" s="1188"/>
      <c r="AL535" s="1188"/>
      <c r="AM535" s="1188"/>
      <c r="AN535" s="1189"/>
    </row>
    <row r="536" spans="1:40" ht="30.75" customHeight="1" x14ac:dyDescent="0.35">
      <c r="A536" s="1178"/>
      <c r="B536" s="1179"/>
      <c r="C536" s="1179"/>
      <c r="D536" s="1179"/>
      <c r="E536" s="1179"/>
      <c r="F536" s="1179"/>
      <c r="G536" s="1179"/>
      <c r="H536" s="1179"/>
      <c r="I536" s="1179"/>
      <c r="J536" s="1179"/>
      <c r="K536" s="1179"/>
      <c r="L536" s="1180"/>
      <c r="M536" s="1187"/>
      <c r="N536" s="1188"/>
      <c r="O536" s="1188"/>
      <c r="P536" s="1188"/>
      <c r="Q536" s="1188"/>
      <c r="R536" s="1188"/>
      <c r="S536" s="1188"/>
      <c r="T536" s="1188"/>
      <c r="U536" s="1188"/>
      <c r="V536" s="1188"/>
      <c r="W536" s="1188"/>
      <c r="X536" s="1188"/>
      <c r="Y536" s="1188"/>
      <c r="Z536" s="1188"/>
      <c r="AA536" s="1188"/>
      <c r="AB536" s="1188"/>
      <c r="AC536" s="1188"/>
      <c r="AD536" s="1188"/>
      <c r="AE536" s="1188"/>
      <c r="AF536" s="1188"/>
      <c r="AG536" s="1188"/>
      <c r="AH536" s="1188"/>
      <c r="AI536" s="1188"/>
      <c r="AJ536" s="1188"/>
      <c r="AK536" s="1188"/>
      <c r="AL536" s="1188"/>
      <c r="AM536" s="1188"/>
      <c r="AN536" s="1189"/>
    </row>
    <row r="537" spans="1:40" ht="30.75" customHeight="1" thickBot="1" x14ac:dyDescent="0.4">
      <c r="A537" s="1181"/>
      <c r="B537" s="1182"/>
      <c r="C537" s="1182"/>
      <c r="D537" s="1182"/>
      <c r="E537" s="1182"/>
      <c r="F537" s="1182"/>
      <c r="G537" s="1182"/>
      <c r="H537" s="1182"/>
      <c r="I537" s="1182"/>
      <c r="J537" s="1182"/>
      <c r="K537" s="1182"/>
      <c r="L537" s="1183"/>
      <c r="M537" s="1190"/>
      <c r="N537" s="1191"/>
      <c r="O537" s="1191"/>
      <c r="P537" s="1191"/>
      <c r="Q537" s="1191"/>
      <c r="R537" s="1191"/>
      <c r="S537" s="1191"/>
      <c r="T537" s="1191"/>
      <c r="U537" s="1191"/>
      <c r="V537" s="1191"/>
      <c r="W537" s="1191"/>
      <c r="X537" s="1191"/>
      <c r="Y537" s="1191"/>
      <c r="Z537" s="1191"/>
      <c r="AA537" s="1191"/>
      <c r="AB537" s="1191"/>
      <c r="AC537" s="1191"/>
      <c r="AD537" s="1191"/>
      <c r="AE537" s="1191"/>
      <c r="AF537" s="1191"/>
      <c r="AG537" s="1191"/>
      <c r="AH537" s="1191"/>
      <c r="AI537" s="1191"/>
      <c r="AJ537" s="1191"/>
      <c r="AK537" s="1191"/>
      <c r="AL537" s="1191"/>
      <c r="AM537" s="1191"/>
      <c r="AN537" s="1192"/>
    </row>
  </sheetData>
  <sheetProtection selectLockedCells="1"/>
  <mergeCells count="512">
    <mergeCell ref="A472:A476"/>
    <mergeCell ref="AK473:AK474"/>
    <mergeCell ref="A477:A481"/>
    <mergeCell ref="AK478:AK479"/>
    <mergeCell ref="AH20:AI20"/>
    <mergeCell ref="AH64:AI64"/>
    <mergeCell ref="AH109:AI109"/>
    <mergeCell ref="AH121:AI121"/>
    <mergeCell ref="AH163:AI163"/>
    <mergeCell ref="AH194:AI194"/>
    <mergeCell ref="AH221:AI221"/>
    <mergeCell ref="AH275:AI275"/>
    <mergeCell ref="AH311:AI311"/>
    <mergeCell ref="AH329:AI329"/>
    <mergeCell ref="AH415:AI415"/>
    <mergeCell ref="AB106:AC106"/>
    <mergeCell ref="AD106:AE106"/>
    <mergeCell ref="AF106:AG106"/>
    <mergeCell ref="AH106:AI106"/>
    <mergeCell ref="A437:A441"/>
    <mergeCell ref="A447:A451"/>
    <mergeCell ref="AK448:AK449"/>
    <mergeCell ref="A452:A456"/>
    <mergeCell ref="AK453:AK454"/>
    <mergeCell ref="A329:A330"/>
    <mergeCell ref="AJ329:AJ330"/>
    <mergeCell ref="AF329:AG329"/>
    <mergeCell ref="A457:A461"/>
    <mergeCell ref="AK458:AK459"/>
    <mergeCell ref="A462:A466"/>
    <mergeCell ref="AK463:AK464"/>
    <mergeCell ref="A467:A471"/>
    <mergeCell ref="AK468:AK469"/>
    <mergeCell ref="A432:A436"/>
    <mergeCell ref="AK433:AK434"/>
    <mergeCell ref="AK418:AK419"/>
    <mergeCell ref="A417:A421"/>
    <mergeCell ref="A422:A426"/>
    <mergeCell ref="AK423:AK424"/>
    <mergeCell ref="AK438:AK439"/>
    <mergeCell ref="A442:A446"/>
    <mergeCell ref="AK443:AK444"/>
    <mergeCell ref="AK428:AK429"/>
    <mergeCell ref="A427:A431"/>
    <mergeCell ref="B329:B330"/>
    <mergeCell ref="B379:B380"/>
    <mergeCell ref="A348:A355"/>
    <mergeCell ref="A379:A380"/>
    <mergeCell ref="D311:E311"/>
    <mergeCell ref="F311:G311"/>
    <mergeCell ref="AM311:AM312"/>
    <mergeCell ref="C379:C380"/>
    <mergeCell ref="Z379:AA379"/>
    <mergeCell ref="L379:M379"/>
    <mergeCell ref="H379:I379"/>
    <mergeCell ref="J379:K379"/>
    <mergeCell ref="N379:O379"/>
    <mergeCell ref="P379:Q379"/>
    <mergeCell ref="C329:C330"/>
    <mergeCell ref="X311:Y311"/>
    <mergeCell ref="T329:U329"/>
    <mergeCell ref="V379:W379"/>
    <mergeCell ref="AJ379:AJ380"/>
    <mergeCell ref="R379:S379"/>
    <mergeCell ref="T379:U379"/>
    <mergeCell ref="AK379:AK380"/>
    <mergeCell ref="AL313:AL327"/>
    <mergeCell ref="A378:AN378"/>
    <mergeCell ref="A342:A347"/>
    <mergeCell ref="AN370:AN377"/>
    <mergeCell ref="A332:A337"/>
    <mergeCell ref="A340:A341"/>
    <mergeCell ref="A325:A327"/>
    <mergeCell ref="A318:A319"/>
    <mergeCell ref="A387:A392"/>
    <mergeCell ref="L329:M329"/>
    <mergeCell ref="R329:S329"/>
    <mergeCell ref="A367:A369"/>
    <mergeCell ref="A356:A366"/>
    <mergeCell ref="F379:G379"/>
    <mergeCell ref="D379:E379"/>
    <mergeCell ref="A328:AN328"/>
    <mergeCell ref="AN329:AN330"/>
    <mergeCell ref="AM329:AM330"/>
    <mergeCell ref="AB329:AC329"/>
    <mergeCell ref="AD329:AE329"/>
    <mergeCell ref="X329:Y329"/>
    <mergeCell ref="AN313:AN327"/>
    <mergeCell ref="A370:A377"/>
    <mergeCell ref="V329:W329"/>
    <mergeCell ref="N329:O329"/>
    <mergeCell ref="X379:Y379"/>
    <mergeCell ref="D329:E329"/>
    <mergeCell ref="F329:G329"/>
    <mergeCell ref="Z329:AA329"/>
    <mergeCell ref="AN379:AN380"/>
    <mergeCell ref="AN415:AN416"/>
    <mergeCell ref="R415:S415"/>
    <mergeCell ref="T415:U415"/>
    <mergeCell ref="A393:A399"/>
    <mergeCell ref="V415:W415"/>
    <mergeCell ref="X415:Y415"/>
    <mergeCell ref="A400:AN400"/>
    <mergeCell ref="A401:A411"/>
    <mergeCell ref="A381:A386"/>
    <mergeCell ref="Z415:AA415"/>
    <mergeCell ref="AB415:AC415"/>
    <mergeCell ref="AD415:AE415"/>
    <mergeCell ref="AF415:AG415"/>
    <mergeCell ref="AJ415:AJ416"/>
    <mergeCell ref="AK415:AK416"/>
    <mergeCell ref="AN381:AN399"/>
    <mergeCell ref="AL381:AL399"/>
    <mergeCell ref="AL301:AL309"/>
    <mergeCell ref="AN277:AN300"/>
    <mergeCell ref="AN301:AN309"/>
    <mergeCell ref="A270:A273"/>
    <mergeCell ref="F275:G275"/>
    <mergeCell ref="A283:A286"/>
    <mergeCell ref="A304:A306"/>
    <mergeCell ref="A412:AN412"/>
    <mergeCell ref="AL331:AL355"/>
    <mergeCell ref="AL356:AL369"/>
    <mergeCell ref="AN331:AN355"/>
    <mergeCell ref="AN356:AN369"/>
    <mergeCell ref="AL277:AL300"/>
    <mergeCell ref="H311:I311"/>
    <mergeCell ref="AL401:AL411"/>
    <mergeCell ref="AN401:AN411"/>
    <mergeCell ref="C275:C276"/>
    <mergeCell ref="H329:I329"/>
    <mergeCell ref="J329:K329"/>
    <mergeCell ref="A316:A317"/>
    <mergeCell ref="A291:A298"/>
    <mergeCell ref="A287:A290"/>
    <mergeCell ref="A299:A300"/>
    <mergeCell ref="R275:S275"/>
    <mergeCell ref="N275:O275"/>
    <mergeCell ref="F221:G221"/>
    <mergeCell ref="J221:K221"/>
    <mergeCell ref="R311:S311"/>
    <mergeCell ref="A277:A282"/>
    <mergeCell ref="A313:A315"/>
    <mergeCell ref="C221:C222"/>
    <mergeCell ref="B221:B222"/>
    <mergeCell ref="A259:A260"/>
    <mergeCell ref="A275:A276"/>
    <mergeCell ref="A311:A312"/>
    <mergeCell ref="J311:K311"/>
    <mergeCell ref="A232:A240"/>
    <mergeCell ref="A241:A249"/>
    <mergeCell ref="A250:A258"/>
    <mergeCell ref="A223:A231"/>
    <mergeCell ref="H221:I221"/>
    <mergeCell ref="A261:A262"/>
    <mergeCell ref="P275:Q275"/>
    <mergeCell ref="A310:AN310"/>
    <mergeCell ref="AN311:AN312"/>
    <mergeCell ref="C311:C312"/>
    <mergeCell ref="V311:W311"/>
    <mergeCell ref="X275:Y275"/>
    <mergeCell ref="D1:E1"/>
    <mergeCell ref="A4:C4"/>
    <mergeCell ref="AL415:AL416"/>
    <mergeCell ref="AM415:AM416"/>
    <mergeCell ref="AL379:AL380"/>
    <mergeCell ref="A508:L537"/>
    <mergeCell ref="M508:AN537"/>
    <mergeCell ref="A507:L507"/>
    <mergeCell ref="M507:AN507"/>
    <mergeCell ref="A486:L506"/>
    <mergeCell ref="A485:L485"/>
    <mergeCell ref="M485:AN485"/>
    <mergeCell ref="M486:AN506"/>
    <mergeCell ref="A414:AN414"/>
    <mergeCell ref="A415:A416"/>
    <mergeCell ref="B415:B416"/>
    <mergeCell ref="C415:C416"/>
    <mergeCell ref="D415:E415"/>
    <mergeCell ref="F415:G415"/>
    <mergeCell ref="H415:I415"/>
    <mergeCell ref="J415:K415"/>
    <mergeCell ref="L415:M415"/>
    <mergeCell ref="N415:O415"/>
    <mergeCell ref="P415:Q415"/>
    <mergeCell ref="H1:J1"/>
    <mergeCell ref="A7:AN7"/>
    <mergeCell ref="A5:A6"/>
    <mergeCell ref="B5:B6"/>
    <mergeCell ref="C5:C6"/>
    <mergeCell ref="D5:E5"/>
    <mergeCell ref="AL163:AL164"/>
    <mergeCell ref="D4:V4"/>
    <mergeCell ref="V121:W121"/>
    <mergeCell ref="K1:Q1"/>
    <mergeCell ref="R1:S1"/>
    <mergeCell ref="T1:V1"/>
    <mergeCell ref="W1:X1"/>
    <mergeCell ref="AA1:AJ1"/>
    <mergeCell ref="L121:M121"/>
    <mergeCell ref="N121:O121"/>
    <mergeCell ref="X5:Y5"/>
    <mergeCell ref="Z5:AA5"/>
    <mergeCell ref="AK45:AK46"/>
    <mergeCell ref="AJ5:AJ6"/>
    <mergeCell ref="AK5:AK6"/>
    <mergeCell ref="A33:A34"/>
    <mergeCell ref="R5:S5"/>
    <mergeCell ref="T5:U5"/>
    <mergeCell ref="A204:A211"/>
    <mergeCell ref="A196:A203"/>
    <mergeCell ref="Z275:AA275"/>
    <mergeCell ref="A301:A303"/>
    <mergeCell ref="A307:A309"/>
    <mergeCell ref="B311:B312"/>
    <mergeCell ref="H275:I275"/>
    <mergeCell ref="AL275:AL276"/>
    <mergeCell ref="AK275:AK276"/>
    <mergeCell ref="AJ311:AJ312"/>
    <mergeCell ref="T275:U275"/>
    <mergeCell ref="T311:U311"/>
    <mergeCell ref="Z311:AA311"/>
    <mergeCell ref="L311:M311"/>
    <mergeCell ref="N311:O311"/>
    <mergeCell ref="P311:Q311"/>
    <mergeCell ref="AK291:AK292"/>
    <mergeCell ref="AK299:AK300"/>
    <mergeCell ref="AK287:AK288"/>
    <mergeCell ref="AK283:AK284"/>
    <mergeCell ref="AJ275:AJ276"/>
    <mergeCell ref="D275:E275"/>
    <mergeCell ref="B275:B276"/>
    <mergeCell ref="L275:M275"/>
    <mergeCell ref="N194:O194"/>
    <mergeCell ref="A221:A222"/>
    <mergeCell ref="W4:AN4"/>
    <mergeCell ref="AK43:AK44"/>
    <mergeCell ref="A220:AN220"/>
    <mergeCell ref="A193:AN193"/>
    <mergeCell ref="A66:A69"/>
    <mergeCell ref="A70:A73"/>
    <mergeCell ref="A74:A77"/>
    <mergeCell ref="A78:A81"/>
    <mergeCell ref="A82:A85"/>
    <mergeCell ref="A86:A89"/>
    <mergeCell ref="A90:A93"/>
    <mergeCell ref="A121:A122"/>
    <mergeCell ref="A11:A13"/>
    <mergeCell ref="A15:A17"/>
    <mergeCell ref="C163:C164"/>
    <mergeCell ref="A54:A55"/>
    <mergeCell ref="A37:A38"/>
    <mergeCell ref="A39:A40"/>
    <mergeCell ref="A41:A42"/>
    <mergeCell ref="A22:A32"/>
    <mergeCell ref="A51:A53"/>
    <mergeCell ref="A212:A219"/>
    <mergeCell ref="C194:C195"/>
    <mergeCell ref="AK221:AK222"/>
    <mergeCell ref="AL241:AL249"/>
    <mergeCell ref="AF194:AG194"/>
    <mergeCell ref="AB194:AC194"/>
    <mergeCell ref="AD194:AE194"/>
    <mergeCell ref="AJ194:AJ195"/>
    <mergeCell ref="X221:Y221"/>
    <mergeCell ref="AK194:AK195"/>
    <mergeCell ref="X194:Y194"/>
    <mergeCell ref="AL232:AL240"/>
    <mergeCell ref="AL196:AL219"/>
    <mergeCell ref="AJ221:AJ222"/>
    <mergeCell ref="AD221:AE221"/>
    <mergeCell ref="AF221:AG221"/>
    <mergeCell ref="R194:S194"/>
    <mergeCell ref="T194:U194"/>
    <mergeCell ref="L194:M194"/>
    <mergeCell ref="V221:W221"/>
    <mergeCell ref="P194:Q194"/>
    <mergeCell ref="Z194:AA194"/>
    <mergeCell ref="R221:S221"/>
    <mergeCell ref="P221:Q221"/>
    <mergeCell ref="N221:O221"/>
    <mergeCell ref="V5:W5"/>
    <mergeCell ref="T20:U20"/>
    <mergeCell ref="J20:K20"/>
    <mergeCell ref="L20:M20"/>
    <mergeCell ref="AJ20:AJ21"/>
    <mergeCell ref="V20:W20"/>
    <mergeCell ref="J5:K5"/>
    <mergeCell ref="L5:M5"/>
    <mergeCell ref="N5:O5"/>
    <mergeCell ref="P5:Q5"/>
    <mergeCell ref="A106:A107"/>
    <mergeCell ref="A64:A65"/>
    <mergeCell ref="A123:A126"/>
    <mergeCell ref="A140:A145"/>
    <mergeCell ref="A149:A150"/>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0:A161"/>
    <mergeCell ref="AL123:AL161"/>
    <mergeCell ref="C121:C122"/>
    <mergeCell ref="A128:A136"/>
    <mergeCell ref="A111:A115"/>
    <mergeCell ref="A116:A117"/>
    <mergeCell ref="A118:A119"/>
    <mergeCell ref="R121:S121"/>
    <mergeCell ref="T121:U121"/>
    <mergeCell ref="AJ121:AJ122"/>
    <mergeCell ref="A151:A157"/>
    <mergeCell ref="P121:Q121"/>
    <mergeCell ref="AK146:AK147"/>
    <mergeCell ref="Z109:AA109"/>
    <mergeCell ref="R163:S163"/>
    <mergeCell ref="T163:U163"/>
    <mergeCell ref="AJ163:AJ164"/>
    <mergeCell ref="X163:Y163"/>
    <mergeCell ref="A162:AN162"/>
    <mergeCell ref="B121:B122"/>
    <mergeCell ref="A146:A148"/>
    <mergeCell ref="A158:A159"/>
    <mergeCell ref="AM163:AM164"/>
    <mergeCell ref="N163:O163"/>
    <mergeCell ref="Z163:AA163"/>
    <mergeCell ref="AB121:AC121"/>
    <mergeCell ref="J121:K121"/>
    <mergeCell ref="J163:K163"/>
    <mergeCell ref="A163:A164"/>
    <mergeCell ref="B163:B164"/>
    <mergeCell ref="AN121:AN122"/>
    <mergeCell ref="AP2:AQ2"/>
    <mergeCell ref="R109:S109"/>
    <mergeCell ref="T109:U109"/>
    <mergeCell ref="AO1:AO21"/>
    <mergeCell ref="Z121:AA121"/>
    <mergeCell ref="X121:Y121"/>
    <mergeCell ref="AK41:AK42"/>
    <mergeCell ref="AK49:AK50"/>
    <mergeCell ref="AJ109:AJ110"/>
    <mergeCell ref="AK47:AK48"/>
    <mergeCell ref="X109:Y109"/>
    <mergeCell ref="AK109:AK110"/>
    <mergeCell ref="AK121:AK122"/>
    <mergeCell ref="A108:AN108"/>
    <mergeCell ref="AB20:AC20"/>
    <mergeCell ref="AD20:AE20"/>
    <mergeCell ref="AF20:AG20"/>
    <mergeCell ref="AK1:AN1"/>
    <mergeCell ref="V109:W109"/>
    <mergeCell ref="X20:Y20"/>
    <mergeCell ref="Z20:AA20"/>
    <mergeCell ref="AL8:AL18"/>
    <mergeCell ref="AL109:AL110"/>
    <mergeCell ref="AF109:AG109"/>
    <mergeCell ref="A173:A174"/>
    <mergeCell ref="F1:G1"/>
    <mergeCell ref="B1:C1"/>
    <mergeCell ref="A19:AN19"/>
    <mergeCell ref="D221:E221"/>
    <mergeCell ref="AM221:AM222"/>
    <mergeCell ref="V163:W163"/>
    <mergeCell ref="AN123:AN159"/>
    <mergeCell ref="AN163:AN164"/>
    <mergeCell ref="A2:AN2"/>
    <mergeCell ref="A3:AN3"/>
    <mergeCell ref="P64:Q64"/>
    <mergeCell ref="R64:S64"/>
    <mergeCell ref="H163:I163"/>
    <mergeCell ref="P163:Q163"/>
    <mergeCell ref="L163:M163"/>
    <mergeCell ref="D163:E163"/>
    <mergeCell ref="AN8:AN18"/>
    <mergeCell ref="AK20:AK21"/>
    <mergeCell ref="A175:A176"/>
    <mergeCell ref="F163:G163"/>
    <mergeCell ref="AK163:AK164"/>
    <mergeCell ref="AL221:AL222"/>
    <mergeCell ref="AF163:AG163"/>
    <mergeCell ref="AL166:AL178"/>
    <mergeCell ref="AM194:AM195"/>
    <mergeCell ref="AM379:AM380"/>
    <mergeCell ref="AL370:AL377"/>
    <mergeCell ref="AB275:AC275"/>
    <mergeCell ref="AD275:AE275"/>
    <mergeCell ref="AF275:AG275"/>
    <mergeCell ref="AB311:AC311"/>
    <mergeCell ref="AD311:AE311"/>
    <mergeCell ref="AF311:AG311"/>
    <mergeCell ref="AK329:AK330"/>
    <mergeCell ref="AK311:AK312"/>
    <mergeCell ref="AL311:AL312"/>
    <mergeCell ref="AL329:AL330"/>
    <mergeCell ref="A274:AN274"/>
    <mergeCell ref="AK270:AK271"/>
    <mergeCell ref="AK268:AK269"/>
    <mergeCell ref="J275:K275"/>
    <mergeCell ref="V275:W275"/>
    <mergeCell ref="A194:A195"/>
    <mergeCell ref="B194:B195"/>
    <mergeCell ref="A263:A269"/>
    <mergeCell ref="D194:K195"/>
    <mergeCell ref="T221:U221"/>
    <mergeCell ref="AN111:AN115"/>
    <mergeCell ref="AN64:AN65"/>
    <mergeCell ref="D121:I122"/>
    <mergeCell ref="P20:Q20"/>
    <mergeCell ref="AM121:AM122"/>
    <mergeCell ref="AM64:AM65"/>
    <mergeCell ref="D109:I110"/>
    <mergeCell ref="AF121:AG121"/>
    <mergeCell ref="N20:O20"/>
    <mergeCell ref="AD121:AE121"/>
    <mergeCell ref="AL22:AL57"/>
    <mergeCell ref="AL111:AL119"/>
    <mergeCell ref="X64:Y64"/>
    <mergeCell ref="AL66:AL107"/>
    <mergeCell ref="AM109:AM110"/>
    <mergeCell ref="AL64:AL65"/>
    <mergeCell ref="J64:K64"/>
    <mergeCell ref="J109:K109"/>
    <mergeCell ref="L109:M109"/>
    <mergeCell ref="N109:O109"/>
    <mergeCell ref="P109:Q109"/>
    <mergeCell ref="AB109:AC109"/>
    <mergeCell ref="AD109:AE109"/>
    <mergeCell ref="AL417:AL481"/>
    <mergeCell ref="Z64:AA64"/>
    <mergeCell ref="AB64:AC64"/>
    <mergeCell ref="AD64:AE64"/>
    <mergeCell ref="AF64:AG64"/>
    <mergeCell ref="AJ64:AJ65"/>
    <mergeCell ref="AK64:AK65"/>
    <mergeCell ref="A98:A101"/>
    <mergeCell ref="H64:I64"/>
    <mergeCell ref="AL121:AL122"/>
    <mergeCell ref="A120:AN120"/>
    <mergeCell ref="AN109:AN110"/>
    <mergeCell ref="B64:B65"/>
    <mergeCell ref="C64:C65"/>
    <mergeCell ref="D64:E64"/>
    <mergeCell ref="A109:A110"/>
    <mergeCell ref="P329:Q329"/>
    <mergeCell ref="AB163:AC163"/>
    <mergeCell ref="AD163:AE163"/>
    <mergeCell ref="A181:A182"/>
    <mergeCell ref="AN194:AN195"/>
    <mergeCell ref="V194:W194"/>
    <mergeCell ref="AN167:AN178"/>
    <mergeCell ref="AN221:AN222"/>
    <mergeCell ref="A183:A184"/>
    <mergeCell ref="A185:A186"/>
    <mergeCell ref="A187:A188"/>
    <mergeCell ref="A189:A190"/>
    <mergeCell ref="A191:A192"/>
    <mergeCell ref="A179:AN179"/>
    <mergeCell ref="A165:AN165"/>
    <mergeCell ref="AL180:AL192"/>
    <mergeCell ref="A320:A323"/>
    <mergeCell ref="AN275:AN276"/>
    <mergeCell ref="AN223:AN273"/>
    <mergeCell ref="AM275:AM276"/>
    <mergeCell ref="AN196:AN219"/>
    <mergeCell ref="A177:A178"/>
    <mergeCell ref="A171:A172"/>
    <mergeCell ref="A167:A168"/>
    <mergeCell ref="A169:A170"/>
    <mergeCell ref="AL194:AL195"/>
    <mergeCell ref="Z221:AA221"/>
    <mergeCell ref="L221:M221"/>
    <mergeCell ref="AL223:AL231"/>
    <mergeCell ref="AB221:AC221"/>
    <mergeCell ref="AL250:AL258"/>
    <mergeCell ref="AL259:AL273"/>
  </mergeCells>
  <phoneticPr fontId="3" type="noConversion"/>
  <conditionalFormatting sqref="AK22">
    <cfRule type="notContainsBlanks" dxfId="1807" priority="3083">
      <formula>LEN(TRIM(AK22))&gt;0</formula>
    </cfRule>
  </conditionalFormatting>
  <conditionalFormatting sqref="AK27:AK28">
    <cfRule type="notContainsBlanks" dxfId="1806" priority="3084">
      <formula>LEN(TRIM(AK27))&gt;0</formula>
    </cfRule>
  </conditionalFormatting>
  <conditionalFormatting sqref="AK33:AK34">
    <cfRule type="notContainsBlanks" dxfId="1805" priority="3087">
      <formula>LEN(TRIM(AK33))&gt;0</formula>
    </cfRule>
  </conditionalFormatting>
  <conditionalFormatting sqref="AK35:AK36">
    <cfRule type="notContainsBlanks" dxfId="1804" priority="3085">
      <formula>LEN(TRIM(AK35))&gt;0</formula>
    </cfRule>
  </conditionalFormatting>
  <conditionalFormatting sqref="AK37:AK38">
    <cfRule type="notContainsBlanks" dxfId="1803" priority="3078">
      <formula>LEN(TRIM(AK37))&gt;0</formula>
    </cfRule>
  </conditionalFormatting>
  <conditionalFormatting sqref="AK39:AK40">
    <cfRule type="notContainsBlanks" dxfId="1802" priority="3077">
      <formula>LEN(TRIM(AK39))&gt;0</formula>
    </cfRule>
  </conditionalFormatting>
  <conditionalFormatting sqref="AK41:AK42">
    <cfRule type="notContainsBlanks" dxfId="1801" priority="3076">
      <formula>LEN(TRIM(AK41))&gt;0</formula>
    </cfRule>
  </conditionalFormatting>
  <conditionalFormatting sqref="AK43:AK44">
    <cfRule type="notContainsBlanks" dxfId="1800" priority="3075">
      <formula>LEN(TRIM(AK43))&gt;0</formula>
    </cfRule>
  </conditionalFormatting>
  <conditionalFormatting sqref="AK45:AK46">
    <cfRule type="notContainsBlanks" dxfId="1799" priority="3074">
      <formula>LEN(TRIM(AK45))&gt;0</formula>
    </cfRule>
  </conditionalFormatting>
  <conditionalFormatting sqref="AK47:AK48">
    <cfRule type="notContainsBlanks" dxfId="1798" priority="3073">
      <formula>LEN(TRIM(AK47))&gt;0</formula>
    </cfRule>
  </conditionalFormatting>
  <conditionalFormatting sqref="AK49:AK53">
    <cfRule type="notContainsBlanks" dxfId="1797" priority="3072">
      <formula>LEN(TRIM(AK49))&gt;0</formula>
    </cfRule>
  </conditionalFormatting>
  <conditionalFormatting sqref="AK54:AK55">
    <cfRule type="notContainsBlanks" dxfId="1796" priority="3071">
      <formula>LEN(TRIM(AK54))&gt;0</formula>
    </cfRule>
  </conditionalFormatting>
  <conditionalFormatting sqref="AK123 AK125:AK126">
    <cfRule type="notContainsBlanks" dxfId="1795" priority="3088">
      <formula>LEN(TRIM(AK123))&gt;0</formula>
    </cfRule>
  </conditionalFormatting>
  <conditionalFormatting sqref="AK127:AK133">
    <cfRule type="notContainsBlanks" dxfId="1794" priority="3089">
      <formula>LEN(TRIM(AK127))&gt;0</formula>
    </cfRule>
  </conditionalFormatting>
  <conditionalFormatting sqref="AK146:AK147">
    <cfRule type="notContainsBlanks" dxfId="1793" priority="3068">
      <formula>LEN(TRIM(AK146))&gt;0</formula>
    </cfRule>
  </conditionalFormatting>
  <conditionalFormatting sqref="AK167">
    <cfRule type="notContainsBlanks" dxfId="1792" priority="3067">
      <formula>LEN(TRIM(AK167))&gt;0</formula>
    </cfRule>
  </conditionalFormatting>
  <conditionalFormatting sqref="AK24">
    <cfRule type="notContainsBlanks" dxfId="1791" priority="3066">
      <formula>LEN(TRIM(AK24))&gt;0</formula>
    </cfRule>
  </conditionalFormatting>
  <conditionalFormatting sqref="AK168">
    <cfRule type="notContainsBlanks" dxfId="1790" priority="3065">
      <formula>LEN(TRIM(AK168))&gt;0</formula>
    </cfRule>
  </conditionalFormatting>
  <conditionalFormatting sqref="AK169">
    <cfRule type="notContainsBlanks" dxfId="1789" priority="3064">
      <formula>LEN(TRIM(AK169))&gt;0</formula>
    </cfRule>
  </conditionalFormatting>
  <conditionalFormatting sqref="AK170">
    <cfRule type="notContainsBlanks" dxfId="1788" priority="3063">
      <formula>LEN(TRIM(AK170))&gt;0</formula>
    </cfRule>
  </conditionalFormatting>
  <conditionalFormatting sqref="AK197">
    <cfRule type="notContainsBlanks" dxfId="1787" priority="3062">
      <formula>LEN(TRIM(AK197))&gt;0</formula>
    </cfRule>
  </conditionalFormatting>
  <conditionalFormatting sqref="AK260">
    <cfRule type="notContainsBlanks" dxfId="1786" priority="3059">
      <formula>LEN(TRIM(AK260))&gt;0</formula>
    </cfRule>
  </conditionalFormatting>
  <conditionalFormatting sqref="AK263">
    <cfRule type="notContainsBlanks" dxfId="1785" priority="3058">
      <formula>LEN(TRIM(AK263))&gt;0</formula>
    </cfRule>
  </conditionalFormatting>
  <conditionalFormatting sqref="AK264:AK265">
    <cfRule type="notContainsBlanks" dxfId="1784" priority="3057">
      <formula>LEN(TRIM(AK264))&gt;0</formula>
    </cfRule>
  </conditionalFormatting>
  <conditionalFormatting sqref="AK266:AK267 AK279 AK281 AK373:AK375 AK342:AK355 AK361">
    <cfRule type="notContainsBlanks" dxfId="1783" priority="3056">
      <formula>LEN(TRIM(AK266))&gt;0</formula>
    </cfRule>
  </conditionalFormatting>
  <conditionalFormatting sqref="AK268:AK269">
    <cfRule type="notContainsBlanks" dxfId="1782" priority="3055">
      <formula>LEN(TRIM(AK268))&gt;0</formula>
    </cfRule>
  </conditionalFormatting>
  <conditionalFormatting sqref="AK270:AK271">
    <cfRule type="notContainsBlanks" dxfId="1781" priority="3054">
      <formula>LEN(TRIM(AK270))&gt;0</formula>
    </cfRule>
  </conditionalFormatting>
  <conditionalFormatting sqref="AK272">
    <cfRule type="notContainsBlanks" dxfId="1780" priority="3053">
      <formula>LEN(TRIM(AK272))&gt;0</formula>
    </cfRule>
  </conditionalFormatting>
  <conditionalFormatting sqref="AK273">
    <cfRule type="notContainsBlanks" dxfId="1779" priority="3052">
      <formula>LEN(TRIM(AK273))&gt;0</formula>
    </cfRule>
  </conditionalFormatting>
  <conditionalFormatting sqref="AK277">
    <cfRule type="notContainsBlanks" dxfId="1778" priority="3051">
      <formula>LEN(TRIM(AK277))&gt;0</formula>
    </cfRule>
  </conditionalFormatting>
  <conditionalFormatting sqref="AK278">
    <cfRule type="notContainsBlanks" dxfId="1777" priority="3050">
      <formula>LEN(TRIM(AK278))&gt;0</formula>
    </cfRule>
  </conditionalFormatting>
  <conditionalFormatting sqref="AK280:AK282">
    <cfRule type="notContainsBlanks" dxfId="1776" priority="3048">
      <formula>LEN(TRIM(AK280))&gt;0</formula>
    </cfRule>
  </conditionalFormatting>
  <conditionalFormatting sqref="AK283:AK284 AK286">
    <cfRule type="notContainsBlanks" dxfId="1775" priority="3047">
      <formula>LEN(TRIM(AK283))&gt;0</formula>
    </cfRule>
  </conditionalFormatting>
  <conditionalFormatting sqref="AK287:AK288 AK290">
    <cfRule type="notContainsBlanks" dxfId="1774" priority="3046">
      <formula>LEN(TRIM(AK287))&gt;0</formula>
    </cfRule>
  </conditionalFormatting>
  <conditionalFormatting sqref="AK291:AK292 AK294 AK296">
    <cfRule type="notContainsBlanks" dxfId="1773" priority="3045">
      <formula>LEN(TRIM(AK291))&gt;0</formula>
    </cfRule>
  </conditionalFormatting>
  <conditionalFormatting sqref="AK299:AK308">
    <cfRule type="notContainsBlanks" dxfId="1772" priority="3044">
      <formula>LEN(TRIM(AK299))&gt;0</formula>
    </cfRule>
  </conditionalFormatting>
  <conditionalFormatting sqref="AK314:AK317">
    <cfRule type="notContainsBlanks" dxfId="1771" priority="3043">
      <formula>LEN(TRIM(AK314))&gt;0</formula>
    </cfRule>
  </conditionalFormatting>
  <conditionalFormatting sqref="AK318:AK319">
    <cfRule type="notContainsBlanks" dxfId="1770" priority="3042">
      <formula>LEN(TRIM(AK318))&gt;0</formula>
    </cfRule>
  </conditionalFormatting>
  <conditionalFormatting sqref="AK320:AK322">
    <cfRule type="notContainsBlanks" dxfId="1769" priority="3041">
      <formula>LEN(TRIM(AK320))&gt;0</formula>
    </cfRule>
  </conditionalFormatting>
  <conditionalFormatting sqref="AK325">
    <cfRule type="notContainsBlanks" dxfId="1768" priority="3040">
      <formula>LEN(TRIM(AK325))&gt;0</formula>
    </cfRule>
  </conditionalFormatting>
  <conditionalFormatting sqref="AK326">
    <cfRule type="notContainsBlanks" dxfId="1767" priority="3039">
      <formula>LEN(TRIM(AK326))&gt;0</formula>
    </cfRule>
  </conditionalFormatting>
  <conditionalFormatting sqref="AK327">
    <cfRule type="notContainsBlanks" dxfId="1766" priority="3038">
      <formula>LEN(TRIM(AK327))&gt;0</formula>
    </cfRule>
  </conditionalFormatting>
  <conditionalFormatting sqref="AK331:AK337">
    <cfRule type="notContainsBlanks" dxfId="1765" priority="3037">
      <formula>LEN(TRIM(AK331))&gt;0</formula>
    </cfRule>
  </conditionalFormatting>
  <conditionalFormatting sqref="AK338:AK340">
    <cfRule type="notContainsBlanks" priority="3036">
      <formula>LEN(TRIM(AK338))&gt;0</formula>
    </cfRule>
  </conditionalFormatting>
  <conditionalFormatting sqref="AK387:AK389">
    <cfRule type="notContainsBlanks" dxfId="1764" priority="3034">
      <formula>LEN(TRIM(AK387))&gt;0</formula>
    </cfRule>
  </conditionalFormatting>
  <conditionalFormatting sqref="AM35">
    <cfRule type="notContainsBlanks" dxfId="1763" priority="3027">
      <formula>LEN(TRIM(AM35))&gt;0</formula>
    </cfRule>
  </conditionalFormatting>
  <conditionalFormatting sqref="AM277:AN277">
    <cfRule type="notContainsBlanks" dxfId="1762" priority="3026">
      <formula>LEN(TRIM(AM277))&gt;0</formula>
    </cfRule>
  </conditionalFormatting>
  <conditionalFormatting sqref="AM278">
    <cfRule type="notContainsBlanks" dxfId="1761" priority="3025">
      <formula>LEN(TRIM(AM278))&gt;0</formula>
    </cfRule>
  </conditionalFormatting>
  <conditionalFormatting sqref="AM111:AN111 AM167:AN167 AM196:AN196 AM223:AN223 AM313:AN313 AM331:AN331 AM123:AN125 AM22:AN22 AM112:AM117 AM126:AM161 AM197:AM219 AM260:AM273 AM23:AM31 AN381 AM387:AM399 AM279:AM296 AM307:AM308 AM373:AM375 AM314:AM322 AM332:AM355 AM361 AM417:AM419 AM33:AM55 AM299:AM303 AM324:AM327 AM168:AM178">
    <cfRule type="notContainsBlanks" dxfId="1760" priority="3024">
      <formula>LEN(TRIM(AM22))&gt;0</formula>
    </cfRule>
  </conditionalFormatting>
  <conditionalFormatting sqref="AM37">
    <cfRule type="notContainsBlanks" dxfId="1759" priority="3023">
      <formula>LEN(TRIM(AM37))&gt;0</formula>
    </cfRule>
  </conditionalFormatting>
  <conditionalFormatting sqref="AM49">
    <cfRule type="notContainsBlanks" dxfId="1758" priority="3017">
      <formula>LEN(TRIM(AM49))&gt;0</formula>
    </cfRule>
  </conditionalFormatting>
  <conditionalFormatting sqref="AM39">
    <cfRule type="notContainsBlanks" dxfId="1757" priority="3022">
      <formula>LEN(TRIM(AM39))&gt;0</formula>
    </cfRule>
  </conditionalFormatting>
  <conditionalFormatting sqref="AM41">
    <cfRule type="notContainsBlanks" dxfId="1756" priority="3021">
      <formula>LEN(TRIM(AM41))&gt;0</formula>
    </cfRule>
  </conditionalFormatting>
  <conditionalFormatting sqref="AM43">
    <cfRule type="notContainsBlanks" dxfId="1755" priority="3020">
      <formula>LEN(TRIM(AM43))&gt;0</formula>
    </cfRule>
  </conditionalFormatting>
  <conditionalFormatting sqref="AM45">
    <cfRule type="notContainsBlanks" dxfId="1754" priority="3019">
      <formula>LEN(TRIM(AM45))&gt;0</formula>
    </cfRule>
  </conditionalFormatting>
  <conditionalFormatting sqref="AM47">
    <cfRule type="notContainsBlanks" dxfId="1753" priority="3018">
      <formula>LEN(TRIM(AM47))&gt;0</formula>
    </cfRule>
  </conditionalFormatting>
  <conditionalFormatting sqref="AL22 AL111 AL123 AL196:AL219 AL223 AL313:AL322 AL331 AL381 AL277 AL417 AL324:AL327 AL166">
    <cfRule type="notContainsBlanks" dxfId="1752" priority="3253">
      <formula>LEN(TRIM(AL22))&gt;0</formula>
    </cfRule>
  </conditionalFormatting>
  <conditionalFormatting sqref="D341:Y341 AB341:AG341 AJ341">
    <cfRule type="cellIs" dxfId="1751" priority="3014" operator="equal">
      <formula>0</formula>
    </cfRule>
  </conditionalFormatting>
  <conditionalFormatting sqref="D354:Y354 AB354:AG354">
    <cfRule type="cellIs" dxfId="1750" priority="3013" operator="equal">
      <formula>0</formula>
    </cfRule>
  </conditionalFormatting>
  <conditionalFormatting sqref="D354:Y354 AB354:AG354">
    <cfRule type="cellIs" dxfId="1749" priority="3012" operator="equal">
      <formula>0</formula>
    </cfRule>
  </conditionalFormatting>
  <conditionalFormatting sqref="D54:AI55">
    <cfRule type="cellIs" dxfId="1748" priority="3011" operator="equal">
      <formula>0</formula>
    </cfRule>
  </conditionalFormatting>
  <conditionalFormatting sqref="AJ111:AJ117 AJ393:AJ399 AJ381:AJ391 AJ45 AJ47 AJ35 AJ29:AJ31 AJ49:AJ50 AJ37:AJ43 AJ260 AJ342:AJ366 AJ262:AJ273 AJ277:AJ296 AJ313:AJ322 AJ331:AJ340 AJ123:AJ126 AJ22:AJ27 AJ54 AJ33 AJ299:AJ308 AJ128:AJ130 AJ324:AJ327 AJ132:AJ161 AJ167:AJ178 AJ196:AJ219">
    <cfRule type="cellIs" dxfId="1747" priority="3008" operator="equal">
      <formula>0</formula>
    </cfRule>
  </conditionalFormatting>
  <conditionalFormatting sqref="D354:Y354 D341:Y341 AB341:AG341 AB354:AG354 AJ341 D54:AI55">
    <cfRule type="cellIs" dxfId="1746" priority="3007" operator="equal">
      <formula>0</formula>
    </cfRule>
  </conditionalFormatting>
  <conditionalFormatting sqref="A1">
    <cfRule type="cellIs" dxfId="1745" priority="3006" operator="equal">
      <formula>0</formula>
    </cfRule>
  </conditionalFormatting>
  <conditionalFormatting sqref="D392:AG392 AJ392">
    <cfRule type="cellIs" dxfId="1744" priority="3003" operator="equal">
      <formula>0</formula>
    </cfRule>
  </conditionalFormatting>
  <conditionalFormatting sqref="AJ44">
    <cfRule type="cellIs" dxfId="1743" priority="3002" operator="equal">
      <formula>0</formula>
    </cfRule>
  </conditionalFormatting>
  <conditionalFormatting sqref="AJ46">
    <cfRule type="cellIs" dxfId="1742" priority="3001" operator="equal">
      <formula>0</formula>
    </cfRule>
  </conditionalFormatting>
  <conditionalFormatting sqref="AJ36">
    <cfRule type="cellIs" dxfId="1741" priority="3000" operator="equal">
      <formula>0</formula>
    </cfRule>
  </conditionalFormatting>
  <conditionalFormatting sqref="AJ34">
    <cfRule type="cellIs" dxfId="1740" priority="2999" operator="equal">
      <formula>0</formula>
    </cfRule>
  </conditionalFormatting>
  <conditionalFormatting sqref="AJ28">
    <cfRule type="cellIs" dxfId="1739" priority="2998" operator="equal">
      <formula>0</formula>
    </cfRule>
  </conditionalFormatting>
  <conditionalFormatting sqref="AJ48">
    <cfRule type="cellIs" dxfId="1738" priority="2997" operator="equal">
      <formula>0</formula>
    </cfRule>
  </conditionalFormatting>
  <conditionalFormatting sqref="AJ55">
    <cfRule type="cellIs" dxfId="1737" priority="2979" operator="equal">
      <formula>0</formula>
    </cfRule>
  </conditionalFormatting>
  <conditionalFormatting sqref="AJ55">
    <cfRule type="cellIs" dxfId="1736" priority="2978" operator="equal">
      <formula>0</formula>
    </cfRule>
  </conditionalFormatting>
  <conditionalFormatting sqref="D167:AA167">
    <cfRule type="expression" dxfId="1735" priority="2967">
      <formula>D169&gt;D167</formula>
    </cfRule>
  </conditionalFormatting>
  <conditionalFormatting sqref="D168:AA168">
    <cfRule type="expression" dxfId="1734" priority="2966">
      <formula>D170&gt;D168</formula>
    </cfRule>
  </conditionalFormatting>
  <conditionalFormatting sqref="D263:AA263">
    <cfRule type="expression" dxfId="1733" priority="2963">
      <formula>D264&gt;D263</formula>
    </cfRule>
  </conditionalFormatting>
  <conditionalFormatting sqref="D264:AA264">
    <cfRule type="expression" dxfId="1732" priority="2962">
      <formula>D265&gt;D264</formula>
    </cfRule>
  </conditionalFormatting>
  <conditionalFormatting sqref="K266 M266 O266 Q266 S266 U266 W266 Y266 AA266">
    <cfRule type="expression" dxfId="1731" priority="2961">
      <formula>K267&gt;K266</formula>
    </cfRule>
  </conditionalFormatting>
  <conditionalFormatting sqref="D268:AA268">
    <cfRule type="expression" dxfId="1730" priority="2960">
      <formula>D269&gt;D268</formula>
    </cfRule>
  </conditionalFormatting>
  <conditionalFormatting sqref="D270:AA270">
    <cfRule type="expression" dxfId="1729" priority="2957">
      <formula>D273&gt;D270</formula>
    </cfRule>
    <cfRule type="expression" dxfId="1728" priority="2959">
      <formula>D271&gt;D270</formula>
    </cfRule>
  </conditionalFormatting>
  <conditionalFormatting sqref="D271:AA271">
    <cfRule type="expression" dxfId="1727" priority="2958">
      <formula>D272&gt;D271</formula>
    </cfRule>
  </conditionalFormatting>
  <conditionalFormatting sqref="K277">
    <cfRule type="expression" dxfId="1726" priority="2956">
      <formula>(K278+K279)&gt;K277</formula>
    </cfRule>
  </conditionalFormatting>
  <conditionalFormatting sqref="K279">
    <cfRule type="expression" dxfId="1725" priority="2470">
      <formula>K279&gt;K277</formula>
    </cfRule>
    <cfRule type="expression" dxfId="1724" priority="2955">
      <formula>K280&gt;K279</formula>
    </cfRule>
  </conditionalFormatting>
  <conditionalFormatting sqref="K283">
    <cfRule type="expression" dxfId="1723" priority="2954">
      <formula>K284&gt;K283</formula>
    </cfRule>
  </conditionalFormatting>
  <conditionalFormatting sqref="K287">
    <cfRule type="expression" dxfId="1722" priority="2953">
      <formula>K288&gt;K287</formula>
    </cfRule>
  </conditionalFormatting>
  <conditionalFormatting sqref="K291">
    <cfRule type="expression" dxfId="1721" priority="2952">
      <formula>K292&gt;K291</formula>
    </cfRule>
  </conditionalFormatting>
  <conditionalFormatting sqref="M277">
    <cfRule type="expression" dxfId="1720" priority="2951">
      <formula>(M278+M279)&gt;M277</formula>
    </cfRule>
  </conditionalFormatting>
  <conditionalFormatting sqref="M279">
    <cfRule type="expression" dxfId="1719" priority="2950">
      <formula>M280&gt;M279</formula>
    </cfRule>
  </conditionalFormatting>
  <conditionalFormatting sqref="M283">
    <cfRule type="expression" dxfId="1718" priority="2949">
      <formula>M284&gt;M283</formula>
    </cfRule>
  </conditionalFormatting>
  <conditionalFormatting sqref="M287">
    <cfRule type="expression" dxfId="1717" priority="2948">
      <formula>M288&gt;M287</formula>
    </cfRule>
  </conditionalFormatting>
  <conditionalFormatting sqref="M291">
    <cfRule type="expression" dxfId="1716" priority="2947">
      <formula>M292&gt;M291</formula>
    </cfRule>
  </conditionalFormatting>
  <conditionalFormatting sqref="O277">
    <cfRule type="expression" dxfId="1715" priority="2946">
      <formula>(O278+O279)&gt;O277</formula>
    </cfRule>
  </conditionalFormatting>
  <conditionalFormatting sqref="O279">
    <cfRule type="expression" dxfId="1714" priority="2945">
      <formula>O280&gt;O279</formula>
    </cfRule>
  </conditionalFormatting>
  <conditionalFormatting sqref="O283">
    <cfRule type="expression" dxfId="1713" priority="2944">
      <formula>O284&gt;O283</formula>
    </cfRule>
  </conditionalFormatting>
  <conditionalFormatting sqref="O287">
    <cfRule type="expression" dxfId="1712" priority="2943">
      <formula>O288&gt;O287</formula>
    </cfRule>
  </conditionalFormatting>
  <conditionalFormatting sqref="O291">
    <cfRule type="expression" dxfId="1711" priority="2942">
      <formula>O292&gt;O291</formula>
    </cfRule>
  </conditionalFormatting>
  <conditionalFormatting sqref="Q277">
    <cfRule type="expression" dxfId="1710" priority="2941">
      <formula>(Q278+Q279)&gt;Q277</formula>
    </cfRule>
  </conditionalFormatting>
  <conditionalFormatting sqref="Q279">
    <cfRule type="expression" dxfId="1709" priority="2940">
      <formula>Q280&gt;Q279</formula>
    </cfRule>
  </conditionalFormatting>
  <conditionalFormatting sqref="Q283">
    <cfRule type="expression" dxfId="1708" priority="2939">
      <formula>Q284&gt;Q283</formula>
    </cfRule>
  </conditionalFormatting>
  <conditionalFormatting sqref="Q287">
    <cfRule type="expression" dxfId="1707" priority="2938">
      <formula>Q288&gt;Q287</formula>
    </cfRule>
  </conditionalFormatting>
  <conditionalFormatting sqref="Q291">
    <cfRule type="expression" dxfId="1706" priority="2937">
      <formula>Q292&gt;Q291</formula>
    </cfRule>
  </conditionalFormatting>
  <conditionalFormatting sqref="S277">
    <cfRule type="expression" dxfId="1705" priority="2936">
      <formula>(S278+S279)&gt;S277</formula>
    </cfRule>
  </conditionalFormatting>
  <conditionalFormatting sqref="S279">
    <cfRule type="expression" dxfId="1704" priority="2935">
      <formula>S280&gt;S279</formula>
    </cfRule>
  </conditionalFormatting>
  <conditionalFormatting sqref="S283">
    <cfRule type="expression" dxfId="1703" priority="2934">
      <formula>S284&gt;S283</formula>
    </cfRule>
  </conditionalFormatting>
  <conditionalFormatting sqref="S287">
    <cfRule type="expression" dxfId="1702" priority="2933">
      <formula>S288&gt;S287</formula>
    </cfRule>
  </conditionalFormatting>
  <conditionalFormatting sqref="S291">
    <cfRule type="expression" dxfId="1701" priority="2932">
      <formula>S292&gt;S291</formula>
    </cfRule>
  </conditionalFormatting>
  <conditionalFormatting sqref="U277">
    <cfRule type="expression" dxfId="1700" priority="2931">
      <formula>(U278+U279)&gt;U277</formula>
    </cfRule>
  </conditionalFormatting>
  <conditionalFormatting sqref="U279">
    <cfRule type="expression" dxfId="1699" priority="2930">
      <formula>U280&gt;U279</formula>
    </cfRule>
  </conditionalFormatting>
  <conditionalFormatting sqref="U283">
    <cfRule type="expression" dxfId="1698" priority="2929">
      <formula>U284&gt;U283</formula>
    </cfRule>
  </conditionalFormatting>
  <conditionalFormatting sqref="U287">
    <cfRule type="expression" dxfId="1697" priority="2928">
      <formula>U288&gt;U287</formula>
    </cfRule>
  </conditionalFormatting>
  <conditionalFormatting sqref="U291">
    <cfRule type="expression" dxfId="1696" priority="2927">
      <formula>U292&gt;U291</formula>
    </cfRule>
  </conditionalFormatting>
  <conditionalFormatting sqref="W277">
    <cfRule type="expression" dxfId="1695" priority="2926">
      <formula>(W278+W279)&gt;W277</formula>
    </cfRule>
  </conditionalFormatting>
  <conditionalFormatting sqref="W279">
    <cfRule type="expression" dxfId="1694" priority="2925">
      <formula>W280&gt;W279</formula>
    </cfRule>
  </conditionalFormatting>
  <conditionalFormatting sqref="W283">
    <cfRule type="expression" dxfId="1693" priority="2924">
      <formula>W284&gt;W283</formula>
    </cfRule>
  </conditionalFormatting>
  <conditionalFormatting sqref="W287">
    <cfRule type="expression" dxfId="1692" priority="2923">
      <formula>W288&gt;W287</formula>
    </cfRule>
  </conditionalFormatting>
  <conditionalFormatting sqref="W291">
    <cfRule type="expression" dxfId="1691" priority="2922">
      <formula>W292&gt;W291</formula>
    </cfRule>
  </conditionalFormatting>
  <conditionalFormatting sqref="Y277">
    <cfRule type="expression" dxfId="1690" priority="2921">
      <formula>(Y278+Y279)&gt;Y277</formula>
    </cfRule>
  </conditionalFormatting>
  <conditionalFormatting sqref="Y279">
    <cfRule type="expression" dxfId="1689" priority="2920">
      <formula>Y280&gt;Y279</formula>
    </cfRule>
  </conditionalFormatting>
  <conditionalFormatting sqref="Y283">
    <cfRule type="expression" dxfId="1688" priority="2919">
      <formula>Y284&gt;Y283</formula>
    </cfRule>
  </conditionalFormatting>
  <conditionalFormatting sqref="Y287">
    <cfRule type="expression" dxfId="1687" priority="2918">
      <formula>Y288&gt;Y287</formula>
    </cfRule>
  </conditionalFormatting>
  <conditionalFormatting sqref="Y291">
    <cfRule type="expression" dxfId="1686" priority="2917">
      <formula>Y292&gt;Y291</formula>
    </cfRule>
  </conditionalFormatting>
  <conditionalFormatting sqref="J299">
    <cfRule type="expression" dxfId="1685" priority="2916">
      <formula>J300&gt;J299</formula>
    </cfRule>
  </conditionalFormatting>
  <conditionalFormatting sqref="L299">
    <cfRule type="expression" dxfId="1684" priority="2915">
      <formula>L300&gt;L299</formula>
    </cfRule>
  </conditionalFormatting>
  <conditionalFormatting sqref="N299">
    <cfRule type="expression" dxfId="1683" priority="2914">
      <formula>N300&gt;N299</formula>
    </cfRule>
  </conditionalFormatting>
  <conditionalFormatting sqref="P299">
    <cfRule type="expression" dxfId="1682" priority="2913">
      <formula>P300&gt;P299</formula>
    </cfRule>
  </conditionalFormatting>
  <conditionalFormatting sqref="R299">
    <cfRule type="expression" dxfId="1681" priority="2912">
      <formula>R300&gt;R299</formula>
    </cfRule>
  </conditionalFormatting>
  <conditionalFormatting sqref="T299">
    <cfRule type="expression" dxfId="1680" priority="2911">
      <formula>T300&gt;T299</formula>
    </cfRule>
  </conditionalFormatting>
  <conditionalFormatting sqref="V299">
    <cfRule type="expression" dxfId="1679" priority="2910">
      <formula>V300&gt;V299</formula>
    </cfRule>
  </conditionalFormatting>
  <conditionalFormatting sqref="X299">
    <cfRule type="expression" dxfId="1678" priority="2909">
      <formula>X300&gt;X299</formula>
    </cfRule>
  </conditionalFormatting>
  <conditionalFormatting sqref="Z299">
    <cfRule type="expression" dxfId="1677" priority="2908">
      <formula>Z300&gt;Z299</formula>
    </cfRule>
  </conditionalFormatting>
  <conditionalFormatting sqref="K278">
    <cfRule type="expression" dxfId="1676" priority="2463">
      <formula>K278&gt;K277</formula>
    </cfRule>
    <cfRule type="expression" dxfId="1675" priority="2907">
      <formula>K313&gt;K278</formula>
    </cfRule>
  </conditionalFormatting>
  <conditionalFormatting sqref="M278">
    <cfRule type="expression" dxfId="1674" priority="2906">
      <formula>M313&gt;M278</formula>
    </cfRule>
  </conditionalFormatting>
  <conditionalFormatting sqref="O278">
    <cfRule type="expression" dxfId="1673" priority="2905">
      <formula>O313&gt;O278</formula>
    </cfRule>
  </conditionalFormatting>
  <conditionalFormatting sqref="Q278">
    <cfRule type="expression" dxfId="1672" priority="2904">
      <formula>Q313&gt;Q278</formula>
    </cfRule>
  </conditionalFormatting>
  <conditionalFormatting sqref="S278">
    <cfRule type="expression" dxfId="1671" priority="2903">
      <formula>S313&gt;S278</formula>
    </cfRule>
  </conditionalFormatting>
  <conditionalFormatting sqref="U278">
    <cfRule type="expression" dxfId="1670" priority="2902">
      <formula>U313&gt;U278</formula>
    </cfRule>
  </conditionalFormatting>
  <conditionalFormatting sqref="W278">
    <cfRule type="expression" dxfId="1669" priority="2901">
      <formula>W313&gt;W278</formula>
    </cfRule>
  </conditionalFormatting>
  <conditionalFormatting sqref="Y278">
    <cfRule type="expression" dxfId="1668" priority="2900">
      <formula>Y313&gt;Y278</formula>
    </cfRule>
  </conditionalFormatting>
  <conditionalFormatting sqref="K280 M280 O280 Q280 S280 U280 W280 Y280">
    <cfRule type="expression" dxfId="1667" priority="2899">
      <formula>K314&gt;K280</formula>
    </cfRule>
  </conditionalFormatting>
  <conditionalFormatting sqref="M277">
    <cfRule type="expression" dxfId="1666" priority="2895">
      <formula>(M278+M279)&gt;M277</formula>
    </cfRule>
  </conditionalFormatting>
  <conditionalFormatting sqref="M279">
    <cfRule type="expression" dxfId="1665" priority="2894">
      <formula>M280&gt;M279</formula>
    </cfRule>
  </conditionalFormatting>
  <conditionalFormatting sqref="M283">
    <cfRule type="expression" dxfId="1664" priority="2893">
      <formula>M284&gt;M283</formula>
    </cfRule>
  </conditionalFormatting>
  <conditionalFormatting sqref="M287">
    <cfRule type="expression" dxfId="1663" priority="2892">
      <formula>M288&gt;M287</formula>
    </cfRule>
  </conditionalFormatting>
  <conditionalFormatting sqref="M291">
    <cfRule type="expression" dxfId="1662" priority="2891">
      <formula>M292&gt;M291</formula>
    </cfRule>
  </conditionalFormatting>
  <conditionalFormatting sqref="M278">
    <cfRule type="expression" dxfId="1661" priority="2890">
      <formula>M313&gt;M278</formula>
    </cfRule>
  </conditionalFormatting>
  <conditionalFormatting sqref="K290 M290 O290 Q290 S290 U290 W290 Y290">
    <cfRule type="expression" dxfId="1660" priority="2888">
      <formula>K319&gt;K290</formula>
    </cfRule>
  </conditionalFormatting>
  <conditionalFormatting sqref="O277">
    <cfRule type="expression" dxfId="1659" priority="2886">
      <formula>(O278+O279)&gt;O277</formula>
    </cfRule>
  </conditionalFormatting>
  <conditionalFormatting sqref="O279">
    <cfRule type="expression" dxfId="1658" priority="2885">
      <formula>O280&gt;O279</formula>
    </cfRule>
  </conditionalFormatting>
  <conditionalFormatting sqref="O283">
    <cfRule type="expression" dxfId="1657" priority="2884">
      <formula>O284&gt;O283</formula>
    </cfRule>
  </conditionalFormatting>
  <conditionalFormatting sqref="O287">
    <cfRule type="expression" dxfId="1656" priority="2883">
      <formula>O288&gt;O287</formula>
    </cfRule>
  </conditionalFormatting>
  <conditionalFormatting sqref="O291">
    <cfRule type="expression" dxfId="1655" priority="2882">
      <formula>O292&gt;O291</formula>
    </cfRule>
  </conditionalFormatting>
  <conditionalFormatting sqref="O278">
    <cfRule type="expression" dxfId="1654" priority="2881">
      <formula>O313&gt;O278</formula>
    </cfRule>
  </conditionalFormatting>
  <conditionalFormatting sqref="Q277">
    <cfRule type="expression" dxfId="1653" priority="2877">
      <formula>(Q278+Q279)&gt;Q277</formula>
    </cfRule>
  </conditionalFormatting>
  <conditionalFormatting sqref="Q279">
    <cfRule type="expression" dxfId="1652" priority="2876">
      <formula>Q280&gt;Q279</formula>
    </cfRule>
  </conditionalFormatting>
  <conditionalFormatting sqref="Q283">
    <cfRule type="expression" dxfId="1651" priority="2875">
      <formula>Q284&gt;Q283</formula>
    </cfRule>
  </conditionalFormatting>
  <conditionalFormatting sqref="Q287">
    <cfRule type="expression" dxfId="1650" priority="2874">
      <formula>Q288&gt;Q287</formula>
    </cfRule>
  </conditionalFormatting>
  <conditionalFormatting sqref="Q291">
    <cfRule type="expression" dxfId="1649" priority="2873">
      <formula>Q292&gt;Q291</formula>
    </cfRule>
  </conditionalFormatting>
  <conditionalFormatting sqref="Q278">
    <cfRule type="expression" dxfId="1648" priority="2872">
      <formula>Q313&gt;Q278</formula>
    </cfRule>
  </conditionalFormatting>
  <conditionalFormatting sqref="S277">
    <cfRule type="expression" dxfId="1647" priority="2868">
      <formula>(S278+S279)&gt;S277</formula>
    </cfRule>
  </conditionalFormatting>
  <conditionalFormatting sqref="S279">
    <cfRule type="expression" dxfId="1646" priority="2867">
      <formula>S280&gt;S279</formula>
    </cfRule>
  </conditionalFormatting>
  <conditionalFormatting sqref="S283">
    <cfRule type="expression" dxfId="1645" priority="2866">
      <formula>S284&gt;S283</formula>
    </cfRule>
  </conditionalFormatting>
  <conditionalFormatting sqref="S287">
    <cfRule type="expression" dxfId="1644" priority="2865">
      <formula>S288&gt;S287</formula>
    </cfRule>
  </conditionalFormatting>
  <conditionalFormatting sqref="S291">
    <cfRule type="expression" dxfId="1643" priority="2864">
      <formula>S292&gt;S291</formula>
    </cfRule>
  </conditionalFormatting>
  <conditionalFormatting sqref="S278">
    <cfRule type="expression" dxfId="1642" priority="2863">
      <formula>S313&gt;S278</formula>
    </cfRule>
  </conditionalFormatting>
  <conditionalFormatting sqref="U277">
    <cfRule type="expression" dxfId="1641" priority="2859">
      <formula>(U278+U279)&gt;U277</formula>
    </cfRule>
  </conditionalFormatting>
  <conditionalFormatting sqref="U279">
    <cfRule type="expression" dxfId="1640" priority="2858">
      <formula>U280&gt;U279</formula>
    </cfRule>
  </conditionalFormatting>
  <conditionalFormatting sqref="U283">
    <cfRule type="expression" dxfId="1639" priority="2857">
      <formula>U284&gt;U283</formula>
    </cfRule>
  </conditionalFormatting>
  <conditionalFormatting sqref="U287">
    <cfRule type="expression" dxfId="1638" priority="2856">
      <formula>U288&gt;U287</formula>
    </cfRule>
  </conditionalFormatting>
  <conditionalFormatting sqref="U291">
    <cfRule type="expression" dxfId="1637" priority="2855">
      <formula>U292&gt;U291</formula>
    </cfRule>
  </conditionalFormatting>
  <conditionalFormatting sqref="U278">
    <cfRule type="expression" dxfId="1636" priority="2854">
      <formula>U313&gt;U278</formula>
    </cfRule>
  </conditionalFormatting>
  <conditionalFormatting sqref="W277">
    <cfRule type="expression" dxfId="1635" priority="2850">
      <formula>(W278+W279)&gt;W277</formula>
    </cfRule>
  </conditionalFormatting>
  <conditionalFormatting sqref="W279">
    <cfRule type="expression" dxfId="1634" priority="2849">
      <formula>W280&gt;W279</formula>
    </cfRule>
  </conditionalFormatting>
  <conditionalFormatting sqref="W283">
    <cfRule type="expression" dxfId="1633" priority="2848">
      <formula>W284&gt;W283</formula>
    </cfRule>
  </conditionalFormatting>
  <conditionalFormatting sqref="W287">
    <cfRule type="expression" dxfId="1632" priority="2847">
      <formula>W288&gt;W287</formula>
    </cfRule>
  </conditionalFormatting>
  <conditionalFormatting sqref="W291">
    <cfRule type="expression" dxfId="1631" priority="2846">
      <formula>W292&gt;W291</formula>
    </cfRule>
  </conditionalFormatting>
  <conditionalFormatting sqref="W278">
    <cfRule type="expression" dxfId="1630" priority="2845">
      <formula>W313&gt;W278</formula>
    </cfRule>
  </conditionalFormatting>
  <conditionalFormatting sqref="Y277">
    <cfRule type="expression" dxfId="1629" priority="2841">
      <formula>(Y278+Y279)&gt;Y277</formula>
    </cfRule>
  </conditionalFormatting>
  <conditionalFormatting sqref="Y279">
    <cfRule type="expression" dxfId="1628" priority="2840">
      <formula>Y280&gt;Y279</formula>
    </cfRule>
  </conditionalFormatting>
  <conditionalFormatting sqref="Y283">
    <cfRule type="expression" dxfId="1627" priority="2839">
      <formula>Y284&gt;Y283</formula>
    </cfRule>
  </conditionalFormatting>
  <conditionalFormatting sqref="Y287">
    <cfRule type="expression" dxfId="1626" priority="2838">
      <formula>Y288&gt;Y287</formula>
    </cfRule>
  </conditionalFormatting>
  <conditionalFormatting sqref="Y291">
    <cfRule type="expression" dxfId="1625" priority="2837">
      <formula>Y292&gt;Y291</formula>
    </cfRule>
  </conditionalFormatting>
  <conditionalFormatting sqref="Y278">
    <cfRule type="expression" dxfId="1624" priority="2836">
      <formula>Y313&gt;Y278</formula>
    </cfRule>
  </conditionalFormatting>
  <conditionalFormatting sqref="K324 M324 O324 Q324 S324 U324 W324 Y324">
    <cfRule type="expression" dxfId="1623" priority="2832">
      <formula>K324&gt;K341</formula>
    </cfRule>
  </conditionalFormatting>
  <conditionalFormatting sqref="D354:Y354 AB354:AG354">
    <cfRule type="expression" dxfId="1622" priority="2822">
      <formula>D354&lt;&gt;D341</formula>
    </cfRule>
  </conditionalFormatting>
  <conditionalFormatting sqref="F27:Y27 AB27:AI27">
    <cfRule type="expression" dxfId="1621" priority="2805">
      <formula>F28&gt;F27</formula>
    </cfRule>
  </conditionalFormatting>
  <conditionalFormatting sqref="F33:Y33 AB33:AI33">
    <cfRule type="expression" dxfId="1620" priority="2804">
      <formula>F34&gt;F33</formula>
    </cfRule>
  </conditionalFormatting>
  <conditionalFormatting sqref="F35:Y35 AB35:AI35">
    <cfRule type="expression" dxfId="1619" priority="2803">
      <formula>F36&gt;F35</formula>
    </cfRule>
  </conditionalFormatting>
  <conditionalFormatting sqref="F37">
    <cfRule type="expression" dxfId="1618" priority="2802">
      <formula>F38&gt;F37</formula>
    </cfRule>
  </conditionalFormatting>
  <conditionalFormatting sqref="G37">
    <cfRule type="expression" dxfId="1617" priority="2801">
      <formula>G38&gt;G37</formula>
    </cfRule>
  </conditionalFormatting>
  <conditionalFormatting sqref="F39:G39">
    <cfRule type="expression" dxfId="1616" priority="2800">
      <formula>F40&gt;F39</formula>
    </cfRule>
  </conditionalFormatting>
  <conditionalFormatting sqref="F41:Y41 AB41:AI41">
    <cfRule type="expression" dxfId="1615" priority="2799">
      <formula>F42&gt;F41</formula>
    </cfRule>
  </conditionalFormatting>
  <conditionalFormatting sqref="F43:Y43 AB43:AI43">
    <cfRule type="cellIs" dxfId="1614" priority="1312" operator="equal">
      <formula>0</formula>
    </cfRule>
    <cfRule type="expression" dxfId="1613" priority="2798">
      <formula>F44&gt;F43</formula>
    </cfRule>
  </conditionalFormatting>
  <conditionalFormatting sqref="F45:Y45 AB45:AI45">
    <cfRule type="expression" dxfId="1612" priority="2797">
      <formula>F46&gt;F45</formula>
    </cfRule>
  </conditionalFormatting>
  <conditionalFormatting sqref="L47:Y47 AB47:AI47">
    <cfRule type="expression" dxfId="1611" priority="2796">
      <formula>L48&gt;L47</formula>
    </cfRule>
  </conditionalFormatting>
  <conditionalFormatting sqref="L49">
    <cfRule type="expression" dxfId="1610" priority="2795">
      <formula>L50&gt;L49</formula>
    </cfRule>
  </conditionalFormatting>
  <conditionalFormatting sqref="N49">
    <cfRule type="expression" dxfId="1609" priority="2794">
      <formula>N50&gt;N49</formula>
    </cfRule>
  </conditionalFormatting>
  <conditionalFormatting sqref="P49">
    <cfRule type="expression" dxfId="1608" priority="2793">
      <formula>P50&gt;P49</formula>
    </cfRule>
  </conditionalFormatting>
  <conditionalFormatting sqref="R49">
    <cfRule type="expression" dxfId="1607" priority="2792">
      <formula>R50&gt;R49</formula>
    </cfRule>
  </conditionalFormatting>
  <conditionalFormatting sqref="T49">
    <cfRule type="expression" dxfId="1606" priority="2791">
      <formula>T50&gt;T49</formula>
    </cfRule>
  </conditionalFormatting>
  <conditionalFormatting sqref="V49">
    <cfRule type="expression" dxfId="1605" priority="2790">
      <formula>V50&gt;V49</formula>
    </cfRule>
  </conditionalFormatting>
  <conditionalFormatting sqref="X49">
    <cfRule type="expression" dxfId="1604" priority="2789">
      <formula>X50&gt;X49</formula>
    </cfRule>
  </conditionalFormatting>
  <conditionalFormatting sqref="Z49 AB49 AD49 AF49 AH49">
    <cfRule type="expression" dxfId="1603" priority="2788">
      <formula>Z50&gt;Z49</formula>
    </cfRule>
  </conditionalFormatting>
  <conditionalFormatting sqref="AK10 AK13 AK17:AK18">
    <cfRule type="notContainsBlanks" dxfId="1602" priority="2786">
      <formula>LEN(TRIM(AK10))&gt;0</formula>
    </cfRule>
  </conditionalFormatting>
  <conditionalFormatting sqref="AM8:AN8 AM9:AM18">
    <cfRule type="notContainsBlanks" dxfId="1601" priority="2785">
      <formula>LEN(TRIM(AM8))&gt;0</formula>
    </cfRule>
  </conditionalFormatting>
  <conditionalFormatting sqref="AL8">
    <cfRule type="notContainsBlanks" dxfId="1600" priority="3254">
      <formula>LEN(TRIM(AL8))&gt;0</formula>
    </cfRule>
  </conditionalFormatting>
  <conditionalFormatting sqref="Y281">
    <cfRule type="cellIs" dxfId="1599" priority="2773" operator="equal">
      <formula>0</formula>
    </cfRule>
  </conditionalFormatting>
  <conditionalFormatting sqref="W281">
    <cfRule type="cellIs" dxfId="1598" priority="2772" operator="equal">
      <formula>0</formula>
    </cfRule>
  </conditionalFormatting>
  <conditionalFormatting sqref="U281">
    <cfRule type="cellIs" dxfId="1597" priority="2771" operator="equal">
      <formula>0</formula>
    </cfRule>
  </conditionalFormatting>
  <conditionalFormatting sqref="S281">
    <cfRule type="cellIs" dxfId="1596" priority="2770" operator="equal">
      <formula>0</formula>
    </cfRule>
  </conditionalFormatting>
  <conditionalFormatting sqref="Q281">
    <cfRule type="cellIs" dxfId="1595" priority="2769" operator="equal">
      <formula>0</formula>
    </cfRule>
  </conditionalFormatting>
  <conditionalFormatting sqref="O281">
    <cfRule type="cellIs" dxfId="1594" priority="2768" operator="equal">
      <formula>0</formula>
    </cfRule>
  </conditionalFormatting>
  <conditionalFormatting sqref="M281">
    <cfRule type="cellIs" dxfId="1593" priority="2767" operator="equal">
      <formula>0</formula>
    </cfRule>
  </conditionalFormatting>
  <conditionalFormatting sqref="K281">
    <cfRule type="cellIs" dxfId="1592" priority="2766" operator="equal">
      <formula>0</formula>
    </cfRule>
  </conditionalFormatting>
  <conditionalFormatting sqref="B281">
    <cfRule type="cellIs" dxfId="1591" priority="2765" operator="equal">
      <formula>0</formula>
    </cfRule>
  </conditionalFormatting>
  <conditionalFormatting sqref="B282">
    <cfRule type="cellIs" dxfId="1590" priority="2764" operator="equal">
      <formula>0</formula>
    </cfRule>
  </conditionalFormatting>
  <conditionalFormatting sqref="K282">
    <cfRule type="cellIs" dxfId="1589" priority="2756" operator="equal">
      <formula>0</formula>
    </cfRule>
  </conditionalFormatting>
  <conditionalFormatting sqref="M282">
    <cfRule type="cellIs" dxfId="1588" priority="2755" operator="equal">
      <formula>0</formula>
    </cfRule>
  </conditionalFormatting>
  <conditionalFormatting sqref="O282">
    <cfRule type="cellIs" dxfId="1587" priority="2754" operator="equal">
      <formula>0</formula>
    </cfRule>
  </conditionalFormatting>
  <conditionalFormatting sqref="Q282">
    <cfRule type="cellIs" dxfId="1586" priority="2753" operator="equal">
      <formula>0</formula>
    </cfRule>
  </conditionalFormatting>
  <conditionalFormatting sqref="S282">
    <cfRule type="cellIs" dxfId="1585" priority="2752" operator="equal">
      <formula>0</formula>
    </cfRule>
  </conditionalFormatting>
  <conditionalFormatting sqref="U282">
    <cfRule type="cellIs" dxfId="1584" priority="2751" operator="equal">
      <formula>0</formula>
    </cfRule>
  </conditionalFormatting>
  <conditionalFormatting sqref="W282">
    <cfRule type="cellIs" dxfId="1583" priority="2750" operator="equal">
      <formula>0</formula>
    </cfRule>
  </conditionalFormatting>
  <conditionalFormatting sqref="Y282">
    <cfRule type="cellIs" dxfId="1582" priority="2749" operator="equal">
      <formula>0</formula>
    </cfRule>
  </conditionalFormatting>
  <conditionalFormatting sqref="K295">
    <cfRule type="expression" dxfId="1581" priority="3090">
      <formula>K324&gt;K295</formula>
    </cfRule>
  </conditionalFormatting>
  <conditionalFormatting sqref="K292">
    <cfRule type="expression" dxfId="1580" priority="1648">
      <formula>K327&gt;K294+K292</formula>
    </cfRule>
    <cfRule type="expression" dxfId="1579" priority="3091">
      <formula>K320&gt;K292</formula>
    </cfRule>
  </conditionalFormatting>
  <conditionalFormatting sqref="M281 O281 Q281 S281 U281 W281 Y281 K281">
    <cfRule type="expression" dxfId="1578" priority="3092">
      <formula>K318&gt;K281</formula>
    </cfRule>
  </conditionalFormatting>
  <conditionalFormatting sqref="K315">
    <cfRule type="cellIs" dxfId="1577" priority="2748" operator="equal">
      <formula>0</formula>
    </cfRule>
  </conditionalFormatting>
  <conditionalFormatting sqref="O315">
    <cfRule type="cellIs" dxfId="1576" priority="2739" operator="equal">
      <formula>0</formula>
    </cfRule>
  </conditionalFormatting>
  <conditionalFormatting sqref="M315">
    <cfRule type="cellIs" dxfId="1575" priority="2740" operator="equal">
      <formula>0</formula>
    </cfRule>
  </conditionalFormatting>
  <conditionalFormatting sqref="Q315">
    <cfRule type="cellIs" dxfId="1574" priority="2738" operator="equal">
      <formula>0</formula>
    </cfRule>
  </conditionalFormatting>
  <conditionalFormatting sqref="S315">
    <cfRule type="cellIs" dxfId="1573" priority="2737" operator="equal">
      <formula>0</formula>
    </cfRule>
  </conditionalFormatting>
  <conditionalFormatting sqref="U315">
    <cfRule type="cellIs" dxfId="1572" priority="2736" operator="equal">
      <formula>0</formula>
    </cfRule>
  </conditionalFormatting>
  <conditionalFormatting sqref="W315">
    <cfRule type="cellIs" dxfId="1571" priority="2735" operator="equal">
      <formula>0</formula>
    </cfRule>
  </conditionalFormatting>
  <conditionalFormatting sqref="Y315">
    <cfRule type="cellIs" dxfId="1570" priority="2734" operator="equal">
      <formula>0</formula>
    </cfRule>
  </conditionalFormatting>
  <conditionalFormatting sqref="B315">
    <cfRule type="cellIs" dxfId="1569" priority="2733" operator="equal">
      <formula>0</formula>
    </cfRule>
  </conditionalFormatting>
  <conditionalFormatting sqref="B303">
    <cfRule type="cellIs" dxfId="1568" priority="2732" operator="equal">
      <formula>0</formula>
    </cfRule>
  </conditionalFormatting>
  <conditionalFormatting sqref="B306">
    <cfRule type="cellIs" dxfId="1567" priority="2719" operator="equal">
      <formula>0</formula>
    </cfRule>
  </conditionalFormatting>
  <conditionalFormatting sqref="AK309">
    <cfRule type="notContainsBlanks" dxfId="1566" priority="2709">
      <formula>LEN(TRIM(AK309))&gt;0</formula>
    </cfRule>
  </conditionalFormatting>
  <conditionalFormatting sqref="AM309">
    <cfRule type="notContainsBlanks" dxfId="1565" priority="2708">
      <formula>LEN(TRIM(AM309))&gt;0</formula>
    </cfRule>
  </conditionalFormatting>
  <conditionalFormatting sqref="AJ309">
    <cfRule type="cellIs" dxfId="1564" priority="2707" operator="equal">
      <formula>0</formula>
    </cfRule>
  </conditionalFormatting>
  <conditionalFormatting sqref="B309">
    <cfRule type="cellIs" dxfId="1563" priority="2696" operator="equal">
      <formula>0</formula>
    </cfRule>
  </conditionalFormatting>
  <conditionalFormatting sqref="AK259">
    <cfRule type="notContainsBlanks" dxfId="1562" priority="2695">
      <formula>LEN(TRIM(AK259))&gt;0</formula>
    </cfRule>
  </conditionalFormatting>
  <conditionalFormatting sqref="AM259:AN259">
    <cfRule type="notContainsBlanks" dxfId="1561" priority="2694">
      <formula>LEN(TRIM(AM259))&gt;0</formula>
    </cfRule>
  </conditionalFormatting>
  <conditionalFormatting sqref="AL259">
    <cfRule type="notContainsBlanks" dxfId="1560" priority="3255">
      <formula>LEN(TRIM(AL259))&gt;0</formula>
    </cfRule>
  </conditionalFormatting>
  <conditionalFormatting sqref="AJ259">
    <cfRule type="cellIs" dxfId="1559" priority="2691" operator="equal">
      <formula>0</formula>
    </cfRule>
  </conditionalFormatting>
  <conditionalFormatting sqref="AK224:AK225 AK227 AK229:AK231">
    <cfRule type="notContainsBlanks" dxfId="1558" priority="2689">
      <formula>LEN(TRIM(AK224))&gt;0</formula>
    </cfRule>
  </conditionalFormatting>
  <conditionalFormatting sqref="AM224:AN231">
    <cfRule type="notContainsBlanks" dxfId="1557" priority="2688">
      <formula>LEN(TRIM(AM224))&gt;0</formula>
    </cfRule>
  </conditionalFormatting>
  <conditionalFormatting sqref="AJ224:AJ231">
    <cfRule type="cellIs" dxfId="1556" priority="2685" operator="equal">
      <formula>0</formula>
    </cfRule>
  </conditionalFormatting>
  <conditionalFormatting sqref="D223:AG223 AJ223">
    <cfRule type="cellIs" dxfId="1555" priority="2683" operator="equal">
      <formula>0</formula>
    </cfRule>
  </conditionalFormatting>
  <conditionalFormatting sqref="AM401 AM407:AM408">
    <cfRule type="notContainsBlanks" dxfId="1554" priority="2679">
      <formula>LEN(TRIM(AM401))&gt;0</formula>
    </cfRule>
  </conditionalFormatting>
  <conditionalFormatting sqref="AJ401">
    <cfRule type="cellIs" dxfId="1553" priority="2678" operator="equal">
      <formula>0</formula>
    </cfRule>
  </conditionalFormatting>
  <conditionalFormatting sqref="AK408">
    <cfRule type="notContainsBlanks" dxfId="1552" priority="2680">
      <formula>LEN(TRIM(AK408))&gt;0</formula>
    </cfRule>
  </conditionalFormatting>
  <conditionalFormatting sqref="AK402:AK404">
    <cfRule type="notContainsBlanks" dxfId="1551" priority="2677">
      <formula>LEN(TRIM(AK402))&gt;0</formula>
    </cfRule>
  </conditionalFormatting>
  <conditionalFormatting sqref="AM402:AM406">
    <cfRule type="notContainsBlanks" dxfId="1550" priority="2674">
      <formula>LEN(TRIM(AM402))&gt;0</formula>
    </cfRule>
  </conditionalFormatting>
  <conditionalFormatting sqref="F405:Y405 D402:Y402 AB402:AI402 AB405:AI405">
    <cfRule type="cellIs" dxfId="1549" priority="2672" operator="equal">
      <formula>0</formula>
    </cfRule>
  </conditionalFormatting>
  <conditionalFormatting sqref="AJ402:AJ411">
    <cfRule type="cellIs" dxfId="1548" priority="2671" operator="equal">
      <formula>0</formula>
    </cfRule>
  </conditionalFormatting>
  <conditionalFormatting sqref="B404">
    <cfRule type="cellIs" dxfId="1547" priority="2667" operator="equal">
      <formula>0</formula>
    </cfRule>
  </conditionalFormatting>
  <conditionalFormatting sqref="B406">
    <cfRule type="cellIs" dxfId="1546" priority="2666" operator="equal">
      <formula>0</formula>
    </cfRule>
  </conditionalFormatting>
  <conditionalFormatting sqref="F404:Y404 AB404:AI404">
    <cfRule type="cellIs" dxfId="1545" priority="2665" operator="equal">
      <formula>0</formula>
    </cfRule>
  </conditionalFormatting>
  <conditionalFormatting sqref="AB406:AI406 D406:Y406">
    <cfRule type="cellIs" dxfId="1544" priority="2663" operator="equal">
      <formula>0</formula>
    </cfRule>
  </conditionalFormatting>
  <conditionalFormatting sqref="AM410">
    <cfRule type="notContainsBlanks" dxfId="1543" priority="2661">
      <formula>LEN(TRIM(AM410))&gt;0</formula>
    </cfRule>
  </conditionalFormatting>
  <conditionalFormatting sqref="AM411">
    <cfRule type="notContainsBlanks" dxfId="1542" priority="2657">
      <formula>LEN(TRIM(AM411))&gt;0</formula>
    </cfRule>
  </conditionalFormatting>
  <conditionalFormatting sqref="F408:Y408 AB408:AI408">
    <cfRule type="cellIs" dxfId="1541" priority="2654" operator="equal">
      <formula>0</formula>
    </cfRule>
  </conditionalFormatting>
  <conditionalFormatting sqref="B408">
    <cfRule type="cellIs" dxfId="1540" priority="2653" operator="equal">
      <formula>0</formula>
    </cfRule>
  </conditionalFormatting>
  <conditionalFormatting sqref="B411">
    <cfRule type="cellIs" dxfId="1539" priority="2652" operator="equal">
      <formula>0</formula>
    </cfRule>
  </conditionalFormatting>
  <conditionalFormatting sqref="D411:Y411 AB411:AI411">
    <cfRule type="cellIs" dxfId="1538" priority="2651" operator="equal">
      <formula>0</formula>
    </cfRule>
  </conditionalFormatting>
  <conditionalFormatting sqref="J126:AA126">
    <cfRule type="expression" dxfId="1537" priority="3110">
      <formula>J126&gt;J123</formula>
    </cfRule>
  </conditionalFormatting>
  <conditionalFormatting sqref="D361:Y361 AB361:AI361">
    <cfRule type="expression" dxfId="1536" priority="3113">
      <formula>D361&gt;D341</formula>
    </cfRule>
  </conditionalFormatting>
  <conditionalFormatting sqref="D361:Y361 AB361:AI361">
    <cfRule type="expression" dxfId="1535" priority="3115">
      <formula>(D341*0.7)&gt;D361</formula>
    </cfRule>
  </conditionalFormatting>
  <conditionalFormatting sqref="D340:Y340 AB340:AG340">
    <cfRule type="cellIs" dxfId="1534" priority="2648" operator="equal">
      <formula>0</formula>
    </cfRule>
  </conditionalFormatting>
  <conditionalFormatting sqref="AJ340">
    <cfRule type="cellIs" dxfId="1533" priority="2647" operator="equal">
      <formula>0</formula>
    </cfRule>
  </conditionalFormatting>
  <conditionalFormatting sqref="D331:AI331">
    <cfRule type="cellIs" dxfId="1532" priority="2644" operator="equal">
      <formula>0</formula>
    </cfRule>
  </conditionalFormatting>
  <conditionalFormatting sqref="D331:AI331">
    <cfRule type="cellIs" dxfId="1531" priority="2643" operator="equal">
      <formula>0</formula>
    </cfRule>
  </conditionalFormatting>
  <conditionalFormatting sqref="J139:AA139">
    <cfRule type="cellIs" dxfId="1530" priority="2639" operator="equal">
      <formula>0</formula>
    </cfRule>
  </conditionalFormatting>
  <conditionalFormatting sqref="B139">
    <cfRule type="cellIs" dxfId="1529" priority="2642" operator="equal">
      <formula>0</formula>
    </cfRule>
  </conditionalFormatting>
  <conditionalFormatting sqref="J139:AA139">
    <cfRule type="cellIs" dxfId="1528" priority="2640" operator="equal">
      <formula>0</formula>
    </cfRule>
  </conditionalFormatting>
  <conditionalFormatting sqref="J139:AA139">
    <cfRule type="expression" dxfId="1527" priority="2641">
      <formula>J178&gt;J139</formula>
    </cfRule>
  </conditionalFormatting>
  <conditionalFormatting sqref="B127">
    <cfRule type="cellIs" dxfId="1526" priority="2638" operator="equal">
      <formula>0</formula>
    </cfRule>
  </conditionalFormatting>
  <conditionalFormatting sqref="AK358">
    <cfRule type="notContainsBlanks" dxfId="1525" priority="2603">
      <formula>LEN(TRIM(AK358))&gt;0</formula>
    </cfRule>
  </conditionalFormatting>
  <conditionalFormatting sqref="AM358">
    <cfRule type="notContainsBlanks" dxfId="1524" priority="2602">
      <formula>LEN(TRIM(AM358))&gt;0</formula>
    </cfRule>
  </conditionalFormatting>
  <conditionalFormatting sqref="AK357:AK358">
    <cfRule type="notContainsBlanks" dxfId="1523" priority="2599">
      <formula>LEN(TRIM(AK357))&gt;0</formula>
    </cfRule>
  </conditionalFormatting>
  <conditionalFormatting sqref="AM356:AM358">
    <cfRule type="notContainsBlanks" dxfId="1522" priority="2598">
      <formula>LEN(TRIM(AM356))&gt;0</formula>
    </cfRule>
  </conditionalFormatting>
  <conditionalFormatting sqref="AM369">
    <cfRule type="notContainsBlanks" dxfId="1521" priority="2586">
      <formula>LEN(TRIM(AM369))&gt;0</formula>
    </cfRule>
  </conditionalFormatting>
  <conditionalFormatting sqref="AJ369">
    <cfRule type="cellIs" dxfId="1520" priority="2585" operator="equal">
      <formula>0</formula>
    </cfRule>
  </conditionalFormatting>
  <conditionalFormatting sqref="AM366">
    <cfRule type="notContainsBlanks" dxfId="1519" priority="2590">
      <formula>LEN(TRIM(AM366))&gt;0</formula>
    </cfRule>
  </conditionalFormatting>
  <conditionalFormatting sqref="AK368 AK370">
    <cfRule type="notContainsBlanks" dxfId="1518" priority="2583">
      <formula>LEN(TRIM(AK368))&gt;0</formula>
    </cfRule>
  </conditionalFormatting>
  <conditionalFormatting sqref="AM368:AM370">
    <cfRule type="notContainsBlanks" dxfId="1517" priority="2582">
      <formula>LEN(TRIM(AM368))&gt;0</formula>
    </cfRule>
  </conditionalFormatting>
  <conditionalFormatting sqref="AJ368:AJ369">
    <cfRule type="cellIs" dxfId="1516" priority="2581" operator="equal">
      <formula>0</formula>
    </cfRule>
  </conditionalFormatting>
  <conditionalFormatting sqref="D358:Y358 AB358:AI358">
    <cfRule type="cellIs" dxfId="1515" priority="2577" operator="equal">
      <formula>0</formula>
    </cfRule>
  </conditionalFormatting>
  <conditionalFormatting sqref="D358:Y358 AB358:AI358">
    <cfRule type="cellIs" dxfId="1514" priority="2576" operator="equal">
      <formula>0</formula>
    </cfRule>
  </conditionalFormatting>
  <conditionalFormatting sqref="D358:Y358 AB358:AI358">
    <cfRule type="cellIs" dxfId="1513" priority="2575" operator="equal">
      <formula>0</formula>
    </cfRule>
  </conditionalFormatting>
  <conditionalFormatting sqref="AK359:AK364">
    <cfRule type="notContainsBlanks" dxfId="1512" priority="2571">
      <formula>LEN(TRIM(AK359))&gt;0</formula>
    </cfRule>
  </conditionalFormatting>
  <conditionalFormatting sqref="AM359:AM365">
    <cfRule type="notContainsBlanks" dxfId="1511" priority="2570">
      <formula>LEN(TRIM(AM359))&gt;0</formula>
    </cfRule>
  </conditionalFormatting>
  <conditionalFormatting sqref="AK367">
    <cfRule type="notContainsBlanks" dxfId="1510" priority="2562">
      <formula>LEN(TRIM(AK367))&gt;0</formula>
    </cfRule>
  </conditionalFormatting>
  <conditionalFormatting sqref="AM367">
    <cfRule type="notContainsBlanks" dxfId="1509" priority="2561">
      <formula>LEN(TRIM(AM367))&gt;0</formula>
    </cfRule>
  </conditionalFormatting>
  <conditionalFormatting sqref="AJ367">
    <cfRule type="cellIs" dxfId="1508" priority="2560" operator="equal">
      <formula>0</formula>
    </cfRule>
  </conditionalFormatting>
  <conditionalFormatting sqref="D369:AI369">
    <cfRule type="cellIs" dxfId="1507" priority="2558" operator="equal">
      <formula>0</formula>
    </cfRule>
  </conditionalFormatting>
  <conditionalFormatting sqref="D369:AI369">
    <cfRule type="cellIs" dxfId="1506" priority="2557" operator="equal">
      <formula>0</formula>
    </cfRule>
  </conditionalFormatting>
  <conditionalFormatting sqref="D369:AI369">
    <cfRule type="cellIs" dxfId="1505" priority="2556" operator="equal">
      <formula>0</formula>
    </cfRule>
  </conditionalFormatting>
  <conditionalFormatting sqref="AK371">
    <cfRule type="notContainsBlanks" dxfId="1504" priority="2551">
      <formula>LEN(TRIM(AK371))&gt;0</formula>
    </cfRule>
  </conditionalFormatting>
  <conditionalFormatting sqref="AM371">
    <cfRule type="notContainsBlanks" dxfId="1503" priority="2550">
      <formula>LEN(TRIM(AM371))&gt;0</formula>
    </cfRule>
  </conditionalFormatting>
  <conditionalFormatting sqref="D371:AA371">
    <cfRule type="cellIs" dxfId="1502" priority="2549" operator="equal">
      <formula>0</formula>
    </cfRule>
  </conditionalFormatting>
  <conditionalFormatting sqref="AJ371">
    <cfRule type="cellIs" dxfId="1501" priority="2548" operator="equal">
      <formula>0</formula>
    </cfRule>
  </conditionalFormatting>
  <conditionalFormatting sqref="D371:AA371">
    <cfRule type="cellIs" dxfId="1500" priority="2547" operator="equal">
      <formula>0</formula>
    </cfRule>
  </conditionalFormatting>
  <conditionalFormatting sqref="AK372">
    <cfRule type="notContainsBlanks" dxfId="1499" priority="2545">
      <formula>LEN(TRIM(AK372))&gt;0</formula>
    </cfRule>
  </conditionalFormatting>
  <conditionalFormatting sqref="AM372">
    <cfRule type="notContainsBlanks" dxfId="1498" priority="2544">
      <formula>LEN(TRIM(AM372))&gt;0</formula>
    </cfRule>
  </conditionalFormatting>
  <conditionalFormatting sqref="AJ372:AJ377">
    <cfRule type="cellIs" dxfId="1497" priority="2543" operator="equal">
      <formula>0</formula>
    </cfRule>
  </conditionalFormatting>
  <conditionalFormatting sqref="AK377">
    <cfRule type="notContainsBlanks" dxfId="1496" priority="2535">
      <formula>LEN(TRIM(AK377))&gt;0</formula>
    </cfRule>
  </conditionalFormatting>
  <conditionalFormatting sqref="AM377">
    <cfRule type="notContainsBlanks" dxfId="1495" priority="2534">
      <formula>LEN(TRIM(AM377))&gt;0</formula>
    </cfRule>
  </conditionalFormatting>
  <conditionalFormatting sqref="AK376">
    <cfRule type="notContainsBlanks" dxfId="1494" priority="2538">
      <formula>LEN(TRIM(AK376))&gt;0</formula>
    </cfRule>
  </conditionalFormatting>
  <conditionalFormatting sqref="AM376">
    <cfRule type="notContainsBlanks" dxfId="1493" priority="2537">
      <formula>LEN(TRIM(AM376))&gt;0</formula>
    </cfRule>
  </conditionalFormatting>
  <conditionalFormatting sqref="D370:AG370 AJ370">
    <cfRule type="cellIs" dxfId="1492" priority="2507" operator="equal">
      <formula>0</formula>
    </cfRule>
  </conditionalFormatting>
  <conditionalFormatting sqref="D370:AG370 AJ370">
    <cfRule type="cellIs" dxfId="1491" priority="2506" operator="equal">
      <formula>0</formula>
    </cfRule>
  </conditionalFormatting>
  <conditionalFormatting sqref="D370:AG370 AJ370">
    <cfRule type="cellIs" dxfId="1490" priority="2505" operator="equal">
      <formula>0</formula>
    </cfRule>
  </conditionalFormatting>
  <conditionalFormatting sqref="AK8">
    <cfRule type="notContainsBlanks" dxfId="1489" priority="2498">
      <formula>LEN(TRIM(AK8))&gt;0</formula>
    </cfRule>
  </conditionalFormatting>
  <conditionalFormatting sqref="AK9">
    <cfRule type="notContainsBlanks" dxfId="1488" priority="2497">
      <formula>LEN(TRIM(AK9))&gt;0</formula>
    </cfRule>
  </conditionalFormatting>
  <conditionalFormatting sqref="J123:AA123">
    <cfRule type="expression" dxfId="1487" priority="2496">
      <formula>J126&gt;J123</formula>
    </cfRule>
  </conditionalFormatting>
  <conditionalFormatting sqref="J125:AA125">
    <cfRule type="expression" dxfId="1486" priority="2495">
      <formula>J125&gt;J124</formula>
    </cfRule>
  </conditionalFormatting>
  <conditionalFormatting sqref="J124:AA124">
    <cfRule type="expression" dxfId="1485" priority="2494">
      <formula>J125&gt;J124</formula>
    </cfRule>
  </conditionalFormatting>
  <conditionalFormatting sqref="AK124">
    <cfRule type="notContainsBlanks" dxfId="1484" priority="2493">
      <formula>LEN(TRIM(AK124))&gt;0</formula>
    </cfRule>
  </conditionalFormatting>
  <conditionalFormatting sqref="AK139">
    <cfRule type="notContainsBlanks" dxfId="1483" priority="2490">
      <formula>LEN(TRIM(AK139))&gt;0</formula>
    </cfRule>
  </conditionalFormatting>
  <conditionalFormatting sqref="J126:AA126">
    <cfRule type="expression" dxfId="1482" priority="2489">
      <formula>J127&gt;J126</formula>
    </cfRule>
  </conditionalFormatting>
  <conditionalFormatting sqref="D341:Y341 AB341:AG341 AJ341">
    <cfRule type="expression" dxfId="1481" priority="2488">
      <formula>D340&gt;D341</formula>
    </cfRule>
  </conditionalFormatting>
  <conditionalFormatting sqref="AK137:AK138">
    <cfRule type="notContainsBlanks" dxfId="1480" priority="2486">
      <formula>LEN(TRIM(AK137))&gt;0</formula>
    </cfRule>
  </conditionalFormatting>
  <conditionalFormatting sqref="J139:AA139">
    <cfRule type="expression" dxfId="1479" priority="2482">
      <formula>J134&gt;J139</formula>
    </cfRule>
  </conditionalFormatting>
  <conditionalFormatting sqref="AK134">
    <cfRule type="notContainsBlanks" dxfId="1478" priority="2481">
      <formula>LEN(TRIM(AK134))&gt;0</formula>
    </cfRule>
  </conditionalFormatting>
  <conditionalFormatting sqref="J147:AA147">
    <cfRule type="expression" dxfId="1477" priority="2480">
      <formula>J147&gt;J146</formula>
    </cfRule>
  </conditionalFormatting>
  <conditionalFormatting sqref="J146:AA146">
    <cfRule type="expression" dxfId="1476" priority="2479">
      <formula>J147&gt;J146</formula>
    </cfRule>
  </conditionalFormatting>
  <conditionalFormatting sqref="J139:AA139">
    <cfRule type="expression" dxfId="1475" priority="2477">
      <formula>(J146+J147+J148)&gt;J139</formula>
    </cfRule>
  </conditionalFormatting>
  <conditionalFormatting sqref="J148:AA148 K149 M149 O149 Q149 S149 U149 W149 Y149 AA149">
    <cfRule type="expression" dxfId="1474" priority="2476">
      <formula>(J146+J147+J148)&gt;J139</formula>
    </cfRule>
  </conditionalFormatting>
  <conditionalFormatting sqref="D169:AA169 J413:AG413">
    <cfRule type="expression" dxfId="1473" priority="2475">
      <formula>D169&gt;D167</formula>
    </cfRule>
  </conditionalFormatting>
  <conditionalFormatting sqref="D170:AA170">
    <cfRule type="expression" dxfId="1472" priority="2474">
      <formula>D170&gt;D168</formula>
    </cfRule>
  </conditionalFormatting>
  <conditionalFormatting sqref="M277">
    <cfRule type="expression" dxfId="1471" priority="2469">
      <formula>(M278+M279)&gt;M277</formula>
    </cfRule>
  </conditionalFormatting>
  <conditionalFormatting sqref="O277">
    <cfRule type="expression" dxfId="1470" priority="2468">
      <formula>(O278+O279)&gt;O277</formula>
    </cfRule>
  </conditionalFormatting>
  <conditionalFormatting sqref="Q277">
    <cfRule type="expression" dxfId="1469" priority="2467">
      <formula>(Q278+Q279)&gt;Q277</formula>
    </cfRule>
  </conditionalFormatting>
  <conditionalFormatting sqref="U277">
    <cfRule type="expression" dxfId="1468" priority="2466">
      <formula>(U278+U279)&gt;U277</formula>
    </cfRule>
  </conditionalFormatting>
  <conditionalFormatting sqref="W277">
    <cfRule type="expression" dxfId="1467" priority="2465">
      <formula>(W278+W279)&gt;W277</formula>
    </cfRule>
  </conditionalFormatting>
  <conditionalFormatting sqref="Y277">
    <cfRule type="expression" dxfId="1466" priority="2464">
      <formula>(Y278+Y279)&gt;Y277</formula>
    </cfRule>
  </conditionalFormatting>
  <conditionalFormatting sqref="M278">
    <cfRule type="expression" dxfId="1465" priority="2461">
      <formula>M278&gt;M277</formula>
    </cfRule>
    <cfRule type="expression" dxfId="1464" priority="2462">
      <formula>M313&gt;M278</formula>
    </cfRule>
  </conditionalFormatting>
  <conditionalFormatting sqref="O278">
    <cfRule type="expression" dxfId="1463" priority="2459">
      <formula>O278&gt;O277</formula>
    </cfRule>
    <cfRule type="expression" dxfId="1462" priority="2460">
      <formula>O313&gt;O278</formula>
    </cfRule>
  </conditionalFormatting>
  <conditionalFormatting sqref="Q278">
    <cfRule type="expression" dxfId="1461" priority="2457">
      <formula>Q278&gt;Q277</formula>
    </cfRule>
    <cfRule type="expression" dxfId="1460" priority="2458">
      <formula>Q313&gt;Q278</formula>
    </cfRule>
  </conditionalFormatting>
  <conditionalFormatting sqref="S278">
    <cfRule type="expression" dxfId="1459" priority="2455">
      <formula>S278&gt;S277</formula>
    </cfRule>
    <cfRule type="expression" dxfId="1458" priority="2456">
      <formula>S313&gt;S278</formula>
    </cfRule>
  </conditionalFormatting>
  <conditionalFormatting sqref="U278">
    <cfRule type="expression" dxfId="1457" priority="2453">
      <formula>U278&gt;U277</formula>
    </cfRule>
    <cfRule type="expression" dxfId="1456" priority="2454">
      <formula>U313&gt;U278</formula>
    </cfRule>
  </conditionalFormatting>
  <conditionalFormatting sqref="W278">
    <cfRule type="expression" dxfId="1455" priority="2451">
      <formula>W278&gt;W277</formula>
    </cfRule>
    <cfRule type="expression" dxfId="1454" priority="2452">
      <formula>W313&gt;W278</formula>
    </cfRule>
  </conditionalFormatting>
  <conditionalFormatting sqref="Y278">
    <cfRule type="expression" dxfId="1453" priority="2449">
      <formula>Y278&gt;Y277</formula>
    </cfRule>
    <cfRule type="expression" dxfId="1452" priority="2450">
      <formula>Y313&gt;Y278</formula>
    </cfRule>
  </conditionalFormatting>
  <conditionalFormatting sqref="K280">
    <cfRule type="expression" dxfId="1451" priority="2448">
      <formula>K280&gt;K279</formula>
    </cfRule>
  </conditionalFormatting>
  <conditionalFormatting sqref="M280">
    <cfRule type="expression" dxfId="1450" priority="2447">
      <formula>M280&gt;M279</formula>
    </cfRule>
  </conditionalFormatting>
  <conditionalFormatting sqref="O280">
    <cfRule type="expression" dxfId="1449" priority="2446">
      <formula>O280&gt;O279</formula>
    </cfRule>
  </conditionalFormatting>
  <conditionalFormatting sqref="Q280">
    <cfRule type="expression" dxfId="1448" priority="2445">
      <formula>Q280&gt;Q279</formula>
    </cfRule>
  </conditionalFormatting>
  <conditionalFormatting sqref="S280">
    <cfRule type="expression" dxfId="1447" priority="2444">
      <formula>S280&gt;S279</formula>
    </cfRule>
  </conditionalFormatting>
  <conditionalFormatting sqref="U280">
    <cfRule type="expression" dxfId="1446" priority="2443">
      <formula>U280&gt;U279</formula>
    </cfRule>
  </conditionalFormatting>
  <conditionalFormatting sqref="W280">
    <cfRule type="expression" dxfId="1445" priority="2442">
      <formula>W280&gt;W279</formula>
    </cfRule>
  </conditionalFormatting>
  <conditionalFormatting sqref="Y280">
    <cfRule type="expression" dxfId="1444" priority="2441">
      <formula>Y280&gt;Y279</formula>
    </cfRule>
  </conditionalFormatting>
  <conditionalFormatting sqref="K284">
    <cfRule type="expression" dxfId="1443" priority="2269">
      <formula>K316&lt;&gt;K284</formula>
    </cfRule>
    <cfRule type="expression" dxfId="1442" priority="2440">
      <formula>K284&gt;K283</formula>
    </cfRule>
  </conditionalFormatting>
  <conditionalFormatting sqref="M284">
    <cfRule type="expression" dxfId="1441" priority="2439">
      <formula>M284&gt;M283</formula>
    </cfRule>
  </conditionalFormatting>
  <conditionalFormatting sqref="O284">
    <cfRule type="expression" dxfId="1440" priority="2438">
      <formula>O284&gt;O283</formula>
    </cfRule>
  </conditionalFormatting>
  <conditionalFormatting sqref="Q284">
    <cfRule type="expression" dxfId="1439" priority="2437">
      <formula>Q284&gt;Q283</formula>
    </cfRule>
  </conditionalFormatting>
  <conditionalFormatting sqref="S284">
    <cfRule type="expression" dxfId="1438" priority="2436">
      <formula>S284&gt;S283</formula>
    </cfRule>
  </conditionalFormatting>
  <conditionalFormatting sqref="U284">
    <cfRule type="expression" dxfId="1437" priority="2435">
      <formula>U284&gt;U283</formula>
    </cfRule>
  </conditionalFormatting>
  <conditionalFormatting sqref="W284">
    <cfRule type="expression" dxfId="1436" priority="2434">
      <formula>W284&gt;W283</formula>
    </cfRule>
  </conditionalFormatting>
  <conditionalFormatting sqref="Y284">
    <cfRule type="expression" dxfId="1435" priority="2433">
      <formula>Y284&gt;Y283</formula>
    </cfRule>
  </conditionalFormatting>
  <conditionalFormatting sqref="AK285">
    <cfRule type="notContainsBlanks" dxfId="1434" priority="2432">
      <formula>LEN(TRIM(AK285))&gt;0</formula>
    </cfRule>
  </conditionalFormatting>
  <conditionalFormatting sqref="K285">
    <cfRule type="expression" dxfId="1433" priority="2431">
      <formula>K286&gt;K285</formula>
    </cfRule>
  </conditionalFormatting>
  <conditionalFormatting sqref="K286">
    <cfRule type="expression" dxfId="1432" priority="2210">
      <formula>K317&lt;&gt;K286</formula>
    </cfRule>
    <cfRule type="expression" dxfId="1431" priority="2430">
      <formula>K286&gt;K285</formula>
    </cfRule>
  </conditionalFormatting>
  <conditionalFormatting sqref="M285">
    <cfRule type="expression" dxfId="1430" priority="2429">
      <formula>M286&gt;M285</formula>
    </cfRule>
  </conditionalFormatting>
  <conditionalFormatting sqref="M286">
    <cfRule type="expression" dxfId="1429" priority="2428">
      <formula>M286&gt;M285</formula>
    </cfRule>
  </conditionalFormatting>
  <conditionalFormatting sqref="O285">
    <cfRule type="expression" dxfId="1428" priority="2427">
      <formula>O286&gt;O285</formula>
    </cfRule>
  </conditionalFormatting>
  <conditionalFormatting sqref="O286">
    <cfRule type="expression" dxfId="1427" priority="2426">
      <formula>O286&gt;O285</formula>
    </cfRule>
  </conditionalFormatting>
  <conditionalFormatting sqref="Q285">
    <cfRule type="expression" dxfId="1426" priority="2425">
      <formula>Q286&gt;Q285</formula>
    </cfRule>
  </conditionalFormatting>
  <conditionalFormatting sqref="Q286">
    <cfRule type="expression" dxfId="1425" priority="2424">
      <formula>Q286&gt;Q285</formula>
    </cfRule>
  </conditionalFormatting>
  <conditionalFormatting sqref="S285">
    <cfRule type="expression" dxfId="1424" priority="2423">
      <formula>S286&gt;S285</formula>
    </cfRule>
  </conditionalFormatting>
  <conditionalFormatting sqref="S286">
    <cfRule type="expression" dxfId="1423" priority="2422">
      <formula>S286&gt;S285</formula>
    </cfRule>
  </conditionalFormatting>
  <conditionalFormatting sqref="U285">
    <cfRule type="expression" dxfId="1422" priority="2421">
      <formula>U286&gt;U285</formula>
    </cfRule>
  </conditionalFormatting>
  <conditionalFormatting sqref="U286">
    <cfRule type="expression" dxfId="1421" priority="2420">
      <formula>U286&gt;U285</formula>
    </cfRule>
  </conditionalFormatting>
  <conditionalFormatting sqref="W285">
    <cfRule type="expression" dxfId="1420" priority="2419">
      <formula>W286&gt;W285</formula>
    </cfRule>
  </conditionalFormatting>
  <conditionalFormatting sqref="W286">
    <cfRule type="expression" dxfId="1419" priority="2418">
      <formula>W286&gt;W285</formula>
    </cfRule>
  </conditionalFormatting>
  <conditionalFormatting sqref="Y285">
    <cfRule type="expression" dxfId="1418" priority="2417">
      <formula>Y286&gt;Y285</formula>
    </cfRule>
  </conditionalFormatting>
  <conditionalFormatting sqref="Y286">
    <cfRule type="expression" dxfId="1417" priority="2416">
      <formula>Y286&gt;Y285</formula>
    </cfRule>
  </conditionalFormatting>
  <conditionalFormatting sqref="AK289">
    <cfRule type="notContainsBlanks" dxfId="1416" priority="2415">
      <formula>LEN(TRIM(AK289))&gt;0</formula>
    </cfRule>
  </conditionalFormatting>
  <conditionalFormatting sqref="K290">
    <cfRule type="expression" dxfId="1415" priority="2414">
      <formula>K290&gt;K289</formula>
    </cfRule>
  </conditionalFormatting>
  <conditionalFormatting sqref="M290">
    <cfRule type="expression" dxfId="1414" priority="2412">
      <formula>M290&gt;M289</formula>
    </cfRule>
  </conditionalFormatting>
  <conditionalFormatting sqref="M289">
    <cfRule type="expression" dxfId="1413" priority="2411">
      <formula>M290&gt;M289</formula>
    </cfRule>
  </conditionalFormatting>
  <conditionalFormatting sqref="O290">
    <cfRule type="expression" dxfId="1412" priority="2410">
      <formula>O290&gt;O289</formula>
    </cfRule>
  </conditionalFormatting>
  <conditionalFormatting sqref="O289">
    <cfRule type="expression" dxfId="1411" priority="2409">
      <formula>O290&gt;O289</formula>
    </cfRule>
  </conditionalFormatting>
  <conditionalFormatting sqref="Q290">
    <cfRule type="expression" dxfId="1410" priority="2408">
      <formula>Q290&gt;Q289</formula>
    </cfRule>
  </conditionalFormatting>
  <conditionalFormatting sqref="Q289">
    <cfRule type="expression" dxfId="1409" priority="2407">
      <formula>Q290&gt;Q289</formula>
    </cfRule>
  </conditionalFormatting>
  <conditionalFormatting sqref="S290">
    <cfRule type="expression" dxfId="1408" priority="2406">
      <formula>S290&gt;S289</formula>
    </cfRule>
  </conditionalFormatting>
  <conditionalFormatting sqref="S289">
    <cfRule type="expression" dxfId="1407" priority="2405">
      <formula>S290&gt;S289</formula>
    </cfRule>
  </conditionalFormatting>
  <conditionalFormatting sqref="U290">
    <cfRule type="expression" dxfId="1406" priority="2404">
      <formula>U290&gt;U289</formula>
    </cfRule>
  </conditionalFormatting>
  <conditionalFormatting sqref="U289">
    <cfRule type="expression" dxfId="1405" priority="2403">
      <formula>U290&gt;U289</formula>
    </cfRule>
  </conditionalFormatting>
  <conditionalFormatting sqref="W290">
    <cfRule type="expression" dxfId="1404" priority="2402">
      <formula>W290&gt;W289</formula>
    </cfRule>
  </conditionalFormatting>
  <conditionalFormatting sqref="W289">
    <cfRule type="expression" dxfId="1403" priority="2401">
      <formula>W290&gt;W289</formula>
    </cfRule>
  </conditionalFormatting>
  <conditionalFormatting sqref="Y290">
    <cfRule type="expression" dxfId="1402" priority="2400">
      <formula>Y290&gt;Y289</formula>
    </cfRule>
  </conditionalFormatting>
  <conditionalFormatting sqref="Y289">
    <cfRule type="expression" dxfId="1401" priority="2399">
      <formula>Y290&gt;Y289</formula>
    </cfRule>
  </conditionalFormatting>
  <conditionalFormatting sqref="Q291">
    <cfRule type="expression" dxfId="1400" priority="2397">
      <formula>Q292&gt;Q291</formula>
    </cfRule>
  </conditionalFormatting>
  <conditionalFormatting sqref="Q291">
    <cfRule type="expression" dxfId="1399" priority="2396">
      <formula>Q292&gt;Q291</formula>
    </cfRule>
  </conditionalFormatting>
  <conditionalFormatting sqref="S291">
    <cfRule type="expression" dxfId="1398" priority="2395">
      <formula>S292&gt;S291</formula>
    </cfRule>
  </conditionalFormatting>
  <conditionalFormatting sqref="S291">
    <cfRule type="expression" dxfId="1397" priority="2394">
      <formula>S292&gt;S291</formula>
    </cfRule>
  </conditionalFormatting>
  <conditionalFormatting sqref="U291">
    <cfRule type="expression" dxfId="1396" priority="2393">
      <formula>U292&gt;U291</formula>
    </cfRule>
  </conditionalFormatting>
  <conditionalFormatting sqref="U291">
    <cfRule type="expression" dxfId="1395" priority="2392">
      <formula>U292&gt;U291</formula>
    </cfRule>
  </conditionalFormatting>
  <conditionalFormatting sqref="W291">
    <cfRule type="expression" dxfId="1394" priority="2391">
      <formula>W292&gt;W291</formula>
    </cfRule>
  </conditionalFormatting>
  <conditionalFormatting sqref="W291">
    <cfRule type="expression" dxfId="1393" priority="2390">
      <formula>W292&gt;W291</formula>
    </cfRule>
  </conditionalFormatting>
  <conditionalFormatting sqref="Y291">
    <cfRule type="expression" dxfId="1392" priority="2389">
      <formula>Y292&gt;Y291</formula>
    </cfRule>
  </conditionalFormatting>
  <conditionalFormatting sqref="Y291">
    <cfRule type="expression" dxfId="1391" priority="2388">
      <formula>Y292&gt;Y291</formula>
    </cfRule>
  </conditionalFormatting>
  <conditionalFormatting sqref="K292">
    <cfRule type="expression" dxfId="1390" priority="2387">
      <formula>K320&gt;K292</formula>
    </cfRule>
  </conditionalFormatting>
  <conditionalFormatting sqref="K292">
    <cfRule type="expression" dxfId="1389" priority="2386">
      <formula>K292&gt;K291</formula>
    </cfRule>
  </conditionalFormatting>
  <conditionalFormatting sqref="K293">
    <cfRule type="expression" dxfId="1388" priority="2378">
      <formula>K294&gt;K293</formula>
    </cfRule>
  </conditionalFormatting>
  <conditionalFormatting sqref="M293">
    <cfRule type="expression" dxfId="1387" priority="2374">
      <formula>M294&gt;M293</formula>
    </cfRule>
  </conditionalFormatting>
  <conditionalFormatting sqref="O293">
    <cfRule type="expression" dxfId="1386" priority="2370">
      <formula>O294&gt;O293</formula>
    </cfRule>
  </conditionalFormatting>
  <conditionalFormatting sqref="Q293">
    <cfRule type="expression" dxfId="1385" priority="2366">
      <formula>Q294&gt;Q293</formula>
    </cfRule>
  </conditionalFormatting>
  <conditionalFormatting sqref="S293">
    <cfRule type="expression" dxfId="1384" priority="2362">
      <formula>S294&gt;S293</formula>
    </cfRule>
  </conditionalFormatting>
  <conditionalFormatting sqref="U293">
    <cfRule type="expression" dxfId="1383" priority="2358">
      <formula>U294&gt;U293</formula>
    </cfRule>
  </conditionalFormatting>
  <conditionalFormatting sqref="W293">
    <cfRule type="expression" dxfId="1382" priority="2354">
      <formula>W294&gt;W293</formula>
    </cfRule>
  </conditionalFormatting>
  <conditionalFormatting sqref="Y293">
    <cfRule type="expression" dxfId="1381" priority="2350">
      <formula>Y294&gt;Y293</formula>
    </cfRule>
  </conditionalFormatting>
  <conditionalFormatting sqref="K295">
    <cfRule type="expression" dxfId="1380" priority="2346">
      <formula>K296&gt;K295</formula>
    </cfRule>
  </conditionalFormatting>
  <conditionalFormatting sqref="M295">
    <cfRule type="expression" dxfId="1379" priority="2342">
      <formula>M296&gt;M295</formula>
    </cfRule>
  </conditionalFormatting>
  <conditionalFormatting sqref="O295">
    <cfRule type="expression" dxfId="1378" priority="2338">
      <formula>O296&gt;O295</formula>
    </cfRule>
  </conditionalFormatting>
  <conditionalFormatting sqref="Q295">
    <cfRule type="expression" dxfId="1377" priority="2334">
      <formula>Q296&gt;Q295</formula>
    </cfRule>
  </conditionalFormatting>
  <conditionalFormatting sqref="Q296">
    <cfRule type="expression" dxfId="1376" priority="2332">
      <formula>Q296&gt;Q295</formula>
    </cfRule>
  </conditionalFormatting>
  <conditionalFormatting sqref="AK293">
    <cfRule type="notContainsBlanks" dxfId="1375" priority="2315">
      <formula>LEN(TRIM(AK293))&gt;0</formula>
    </cfRule>
  </conditionalFormatting>
  <conditionalFormatting sqref="AK295">
    <cfRule type="notContainsBlanks" dxfId="1374" priority="2314">
      <formula>LEN(TRIM(AK295))&gt;0</formula>
    </cfRule>
  </conditionalFormatting>
  <conditionalFormatting sqref="D301:E302">
    <cfRule type="cellIs" dxfId="1373" priority="2313" operator="equal">
      <formula>0</formula>
    </cfRule>
  </conditionalFormatting>
  <conditionalFormatting sqref="D303:E303">
    <cfRule type="expression" dxfId="1372" priority="2295">
      <formula>D306&gt;D303</formula>
    </cfRule>
    <cfRule type="cellIs" dxfId="1371" priority="2310" operator="equal">
      <formula>0</formula>
    </cfRule>
  </conditionalFormatting>
  <conditionalFormatting sqref="D304:E305">
    <cfRule type="cellIs" dxfId="1370" priority="2309" operator="equal">
      <formula>0</formula>
    </cfRule>
  </conditionalFormatting>
  <conditionalFormatting sqref="D306:E306">
    <cfRule type="expression" dxfId="1369" priority="2296">
      <formula>D306&gt;D303</formula>
    </cfRule>
    <cfRule type="cellIs" dxfId="1368" priority="2306" operator="equal">
      <formula>0</formula>
    </cfRule>
  </conditionalFormatting>
  <conditionalFormatting sqref="D309:E309">
    <cfRule type="expression" dxfId="1367" priority="1712">
      <formula>D307&lt;&gt;D331</formula>
    </cfRule>
    <cfRule type="cellIs" dxfId="1366" priority="2303" operator="equal">
      <formula>0</formula>
    </cfRule>
  </conditionalFormatting>
  <conditionalFormatting sqref="D301:E302">
    <cfRule type="expression" dxfId="1365" priority="2301">
      <formula>D304&gt;D301</formula>
    </cfRule>
  </conditionalFormatting>
  <conditionalFormatting sqref="D304:E305">
    <cfRule type="expression" dxfId="1364" priority="2300">
      <formula>D304&gt;D301</formula>
    </cfRule>
  </conditionalFormatting>
  <conditionalFormatting sqref="D307:E308">
    <cfRule type="cellIs" dxfId="1363" priority="2299" operator="equal">
      <formula>0</formula>
    </cfRule>
  </conditionalFormatting>
  <conditionalFormatting sqref="D307:E308">
    <cfRule type="expression" dxfId="1362" priority="2298">
      <formula>D307&gt;D304</formula>
    </cfRule>
  </conditionalFormatting>
  <conditionalFormatting sqref="AM304:AM306">
    <cfRule type="notContainsBlanks" dxfId="1361" priority="3148">
      <formula>LEN(TRIM(AM304))&gt;0</formula>
    </cfRule>
  </conditionalFormatting>
  <conditionalFormatting sqref="D307:E308">
    <cfRule type="expression" dxfId="1360" priority="2294">
      <formula>D304&gt;D307</formula>
    </cfRule>
  </conditionalFormatting>
  <conditionalFormatting sqref="D304:E305">
    <cfRule type="expression" dxfId="1359" priority="2293">
      <formula>D304&gt;D307</formula>
    </cfRule>
  </conditionalFormatting>
  <conditionalFormatting sqref="K313">
    <cfRule type="expression" dxfId="1358" priority="2292">
      <formula>K313&gt;K278</formula>
    </cfRule>
  </conditionalFormatting>
  <conditionalFormatting sqref="M313">
    <cfRule type="expression" dxfId="1357" priority="2291">
      <formula>M313&gt;M278</formula>
    </cfRule>
  </conditionalFormatting>
  <conditionalFormatting sqref="O313">
    <cfRule type="expression" dxfId="1356" priority="2290">
      <formula>O313&gt;O278</formula>
    </cfRule>
  </conditionalFormatting>
  <conditionalFormatting sqref="Q313">
    <cfRule type="expression" dxfId="1355" priority="2289">
      <formula>Q313&gt;Q278</formula>
    </cfRule>
  </conditionalFormatting>
  <conditionalFormatting sqref="S313">
    <cfRule type="expression" dxfId="1354" priority="2288">
      <formula>S313&gt;S278</formula>
    </cfRule>
  </conditionalFormatting>
  <conditionalFormatting sqref="U313">
    <cfRule type="expression" dxfId="1353" priority="2287">
      <formula>U313&gt;U278</formula>
    </cfRule>
  </conditionalFormatting>
  <conditionalFormatting sqref="W313">
    <cfRule type="expression" dxfId="1352" priority="2286">
      <formula>W313&gt;W278</formula>
    </cfRule>
  </conditionalFormatting>
  <conditionalFormatting sqref="Y313">
    <cfRule type="expression" dxfId="1351" priority="2285">
      <formula>Y313&gt;Y278</formula>
    </cfRule>
  </conditionalFormatting>
  <conditionalFormatting sqref="K316">
    <cfRule type="expression" dxfId="1350" priority="2270">
      <formula>K316&lt;&gt;K284</formula>
    </cfRule>
  </conditionalFormatting>
  <conditionalFormatting sqref="M284">
    <cfRule type="expression" dxfId="1349" priority="2267">
      <formula>M316&lt;&gt;M284</formula>
    </cfRule>
    <cfRule type="expression" dxfId="1348" priority="2268">
      <formula>M284&gt;M283</formula>
    </cfRule>
  </conditionalFormatting>
  <conditionalFormatting sqref="O284">
    <cfRule type="expression" dxfId="1347" priority="2265">
      <formula>O316&lt;&gt;O284</formula>
    </cfRule>
    <cfRule type="expression" dxfId="1346" priority="2266">
      <formula>O284&gt;O283</formula>
    </cfRule>
  </conditionalFormatting>
  <conditionalFormatting sqref="Q284">
    <cfRule type="expression" dxfId="1345" priority="2263">
      <formula>Q316&lt;&gt;Q284</formula>
    </cfRule>
    <cfRule type="expression" dxfId="1344" priority="2264">
      <formula>Q284&gt;Q283</formula>
    </cfRule>
  </conditionalFormatting>
  <conditionalFormatting sqref="S284">
    <cfRule type="expression" dxfId="1343" priority="2261">
      <formula>S316&lt;&gt;S284</formula>
    </cfRule>
    <cfRule type="expression" dxfId="1342" priority="2262">
      <formula>S284&gt;S283</formula>
    </cfRule>
  </conditionalFormatting>
  <conditionalFormatting sqref="U284">
    <cfRule type="expression" dxfId="1341" priority="2259">
      <formula>U316&lt;&gt;U284</formula>
    </cfRule>
    <cfRule type="expression" dxfId="1340" priority="2260">
      <formula>U284&gt;U283</formula>
    </cfRule>
  </conditionalFormatting>
  <conditionalFormatting sqref="W284">
    <cfRule type="expression" dxfId="1339" priority="2257">
      <formula>W316&lt;&gt;W284</formula>
    </cfRule>
    <cfRule type="expression" dxfId="1338" priority="2258">
      <formula>W284&gt;W283</formula>
    </cfRule>
  </conditionalFormatting>
  <conditionalFormatting sqref="Y284">
    <cfRule type="expression" dxfId="1337" priority="2255">
      <formula>Y316&lt;&gt;Y284</formula>
    </cfRule>
    <cfRule type="expression" dxfId="1336" priority="2256">
      <formula>Y284&gt;Y283</formula>
    </cfRule>
  </conditionalFormatting>
  <conditionalFormatting sqref="M316">
    <cfRule type="cellIs" dxfId="1335" priority="2254" operator="equal">
      <formula>0</formula>
    </cfRule>
  </conditionalFormatting>
  <conditionalFormatting sqref="M316">
    <cfRule type="expression" dxfId="1334" priority="2253">
      <formula>M316&lt;&gt;M284</formula>
    </cfRule>
  </conditionalFormatting>
  <conditionalFormatting sqref="O316">
    <cfRule type="cellIs" dxfId="1333" priority="2252" operator="equal">
      <formula>0</formula>
    </cfRule>
  </conditionalFormatting>
  <conditionalFormatting sqref="O316">
    <cfRule type="expression" dxfId="1332" priority="2251">
      <formula>O316&lt;&gt;O284</formula>
    </cfRule>
  </conditionalFormatting>
  <conditionalFormatting sqref="Q316">
    <cfRule type="cellIs" dxfId="1331" priority="2250" operator="equal">
      <formula>0</formula>
    </cfRule>
  </conditionalFormatting>
  <conditionalFormatting sqref="Q316">
    <cfRule type="expression" dxfId="1330" priority="2249">
      <formula>Q316&lt;&gt;Q284</formula>
    </cfRule>
  </conditionalFormatting>
  <conditionalFormatting sqref="S316">
    <cfRule type="cellIs" dxfId="1329" priority="2248" operator="equal">
      <formula>0</formula>
    </cfRule>
  </conditionalFormatting>
  <conditionalFormatting sqref="S316">
    <cfRule type="expression" dxfId="1328" priority="2247">
      <formula>S316&lt;&gt;S284</formula>
    </cfRule>
  </conditionalFormatting>
  <conditionalFormatting sqref="U316">
    <cfRule type="cellIs" dxfId="1327" priority="2246" operator="equal">
      <formula>0</formula>
    </cfRule>
  </conditionalFormatting>
  <conditionalFormatting sqref="U316">
    <cfRule type="expression" dxfId="1326" priority="2245">
      <formula>U316&lt;&gt;U284</formula>
    </cfRule>
  </conditionalFormatting>
  <conditionalFormatting sqref="W316">
    <cfRule type="cellIs" dxfId="1325" priority="2244" operator="equal">
      <formula>0</formula>
    </cfRule>
  </conditionalFormatting>
  <conditionalFormatting sqref="W316">
    <cfRule type="expression" dxfId="1324" priority="2243">
      <formula>W316&lt;&gt;W284</formula>
    </cfRule>
  </conditionalFormatting>
  <conditionalFormatting sqref="Y316">
    <cfRule type="cellIs" dxfId="1323" priority="2242" operator="equal">
      <formula>0</formula>
    </cfRule>
  </conditionalFormatting>
  <conditionalFormatting sqref="Y316">
    <cfRule type="expression" dxfId="1322" priority="2241">
      <formula>Y316&lt;&gt;Y284</formula>
    </cfRule>
  </conditionalFormatting>
  <conditionalFormatting sqref="K317">
    <cfRule type="expression" dxfId="1321" priority="2240">
      <formula>K317&lt;&gt;K286</formula>
    </cfRule>
  </conditionalFormatting>
  <conditionalFormatting sqref="M285">
    <cfRule type="expression" dxfId="1320" priority="2238">
      <formula>M286&gt;M285</formula>
    </cfRule>
  </conditionalFormatting>
  <conditionalFormatting sqref="O285">
    <cfRule type="expression" dxfId="1319" priority="2236">
      <formula>O286&gt;O285</formula>
    </cfRule>
  </conditionalFormatting>
  <conditionalFormatting sqref="Q285">
    <cfRule type="expression" dxfId="1318" priority="2234">
      <formula>Q286&gt;Q285</formula>
    </cfRule>
  </conditionalFormatting>
  <conditionalFormatting sqref="S285">
    <cfRule type="expression" dxfId="1317" priority="2232">
      <formula>S286&gt;S285</formula>
    </cfRule>
  </conditionalFormatting>
  <conditionalFormatting sqref="U285">
    <cfRule type="expression" dxfId="1316" priority="2230">
      <formula>U286&gt;U285</formula>
    </cfRule>
  </conditionalFormatting>
  <conditionalFormatting sqref="W285">
    <cfRule type="expression" dxfId="1315" priority="2228">
      <formula>W286&gt;W285</formula>
    </cfRule>
  </conditionalFormatting>
  <conditionalFormatting sqref="Y285">
    <cfRule type="expression" dxfId="1314" priority="2226">
      <formula>Y286&gt;Y285</formula>
    </cfRule>
  </conditionalFormatting>
  <conditionalFormatting sqref="M317">
    <cfRule type="cellIs" dxfId="1313" priority="2224" operator="equal">
      <formula>0</formula>
    </cfRule>
  </conditionalFormatting>
  <conditionalFormatting sqref="M317">
    <cfRule type="expression" dxfId="1312" priority="2223">
      <formula>M317&lt;&gt;M286</formula>
    </cfRule>
  </conditionalFormatting>
  <conditionalFormatting sqref="O317">
    <cfRule type="cellIs" dxfId="1311" priority="2222" operator="equal">
      <formula>0</formula>
    </cfRule>
  </conditionalFormatting>
  <conditionalFormatting sqref="O317">
    <cfRule type="expression" dxfId="1310" priority="2221">
      <formula>O317&lt;&gt;O286</formula>
    </cfRule>
  </conditionalFormatting>
  <conditionalFormatting sqref="Q317">
    <cfRule type="cellIs" dxfId="1309" priority="2220" operator="equal">
      <formula>0</formula>
    </cfRule>
  </conditionalFormatting>
  <conditionalFormatting sqref="Q317">
    <cfRule type="expression" dxfId="1308" priority="2219">
      <formula>Q317&lt;&gt;Q286</formula>
    </cfRule>
  </conditionalFormatting>
  <conditionalFormatting sqref="S317">
    <cfRule type="cellIs" dxfId="1307" priority="2218" operator="equal">
      <formula>0</formula>
    </cfRule>
  </conditionalFormatting>
  <conditionalFormatting sqref="S317">
    <cfRule type="expression" dxfId="1306" priority="2217">
      <formula>S317&lt;&gt;S286</formula>
    </cfRule>
  </conditionalFormatting>
  <conditionalFormatting sqref="U317">
    <cfRule type="cellIs" dxfId="1305" priority="2216" operator="equal">
      <formula>0</formula>
    </cfRule>
  </conditionalFormatting>
  <conditionalFormatting sqref="U317">
    <cfRule type="expression" dxfId="1304" priority="2215">
      <formula>U317&lt;&gt;U286</formula>
    </cfRule>
  </conditionalFormatting>
  <conditionalFormatting sqref="W317">
    <cfRule type="cellIs" dxfId="1303" priority="2214" operator="equal">
      <formula>0</formula>
    </cfRule>
  </conditionalFormatting>
  <conditionalFormatting sqref="W317">
    <cfRule type="expression" dxfId="1302" priority="2213">
      <formula>W317&lt;&gt;W286</formula>
    </cfRule>
  </conditionalFormatting>
  <conditionalFormatting sqref="Y317">
    <cfRule type="cellIs" dxfId="1301" priority="2212" operator="equal">
      <formula>0</formula>
    </cfRule>
  </conditionalFormatting>
  <conditionalFormatting sqref="Y317">
    <cfRule type="expression" dxfId="1300" priority="2211">
      <formula>Y317&lt;&gt;Y286</formula>
    </cfRule>
  </conditionalFormatting>
  <conditionalFormatting sqref="M286">
    <cfRule type="expression" dxfId="1299" priority="2208">
      <formula>M317&lt;&gt;M286</formula>
    </cfRule>
    <cfRule type="expression" dxfId="1298" priority="2209">
      <formula>M286&gt;M285</formula>
    </cfRule>
  </conditionalFormatting>
  <conditionalFormatting sqref="O286">
    <cfRule type="expression" dxfId="1297" priority="2206">
      <formula>O317&lt;&gt;O286</formula>
    </cfRule>
    <cfRule type="expression" dxfId="1296" priority="2207">
      <formula>O286&gt;O285</formula>
    </cfRule>
  </conditionalFormatting>
  <conditionalFormatting sqref="Q286">
    <cfRule type="expression" dxfId="1295" priority="2204">
      <formula>Q317&lt;&gt;Q286</formula>
    </cfRule>
    <cfRule type="expression" dxfId="1294" priority="2205">
      <formula>Q286&gt;Q285</formula>
    </cfRule>
  </conditionalFormatting>
  <conditionalFormatting sqref="S286">
    <cfRule type="expression" dxfId="1293" priority="2202">
      <formula>S317&lt;&gt;S286</formula>
    </cfRule>
    <cfRule type="expression" dxfId="1292" priority="2203">
      <formula>S286&gt;S285</formula>
    </cfRule>
  </conditionalFormatting>
  <conditionalFormatting sqref="U286">
    <cfRule type="expression" dxfId="1291" priority="2200">
      <formula>U317&lt;&gt;U286</formula>
    </cfRule>
    <cfRule type="expression" dxfId="1290" priority="2201">
      <formula>U286&gt;U285</formula>
    </cfRule>
  </conditionalFormatting>
  <conditionalFormatting sqref="W286">
    <cfRule type="expression" dxfId="1289" priority="2198">
      <formula>W317&lt;&gt;W286</formula>
    </cfRule>
    <cfRule type="expression" dxfId="1288" priority="2199">
      <formula>W286&gt;W285</formula>
    </cfRule>
  </conditionalFormatting>
  <conditionalFormatting sqref="Y286">
    <cfRule type="expression" dxfId="1287" priority="2196">
      <formula>Y317&lt;&gt;Y286</formula>
    </cfRule>
    <cfRule type="expression" dxfId="1286" priority="2197">
      <formula>Y286&gt;Y285</formula>
    </cfRule>
  </conditionalFormatting>
  <conditionalFormatting sqref="O321">
    <cfRule type="expression" dxfId="1285" priority="2195">
      <formula>O321&gt;O294</formula>
    </cfRule>
  </conditionalFormatting>
  <conditionalFormatting sqref="Q321">
    <cfRule type="expression" dxfId="1284" priority="2194">
      <formula>Q321&gt;Q294</formula>
    </cfRule>
  </conditionalFormatting>
  <conditionalFormatting sqref="S321">
    <cfRule type="expression" dxfId="1283" priority="2193">
      <formula>S321&gt;S294</formula>
    </cfRule>
  </conditionalFormatting>
  <conditionalFormatting sqref="U321">
    <cfRule type="expression" dxfId="1282" priority="2192">
      <formula>U321&gt;U294</formula>
    </cfRule>
  </conditionalFormatting>
  <conditionalFormatting sqref="W321">
    <cfRule type="expression" dxfId="1281" priority="2191">
      <formula>W321&gt;W294</formula>
    </cfRule>
  </conditionalFormatting>
  <conditionalFormatting sqref="Y321">
    <cfRule type="expression" dxfId="1280" priority="2190">
      <formula>Y321&gt;Y294</formula>
    </cfRule>
  </conditionalFormatting>
  <conditionalFormatting sqref="M321">
    <cfRule type="expression" dxfId="1279" priority="2189">
      <formula>M321&gt;M294</formula>
    </cfRule>
  </conditionalFormatting>
  <conditionalFormatting sqref="K321">
    <cfRule type="expression" dxfId="1278" priority="2188">
      <formula>K321&gt;K294</formula>
    </cfRule>
  </conditionalFormatting>
  <conditionalFormatting sqref="K294 M294 O294 Q294 S294 U294 W294 Y294">
    <cfRule type="expression" dxfId="1277" priority="2183">
      <formula>K321&gt;K294</formula>
    </cfRule>
  </conditionalFormatting>
  <conditionalFormatting sqref="K294 M294 O294 Q294 S294 U294 W294 Y294">
    <cfRule type="expression" dxfId="1276" priority="2184">
      <formula>K294&gt;K293</formula>
    </cfRule>
  </conditionalFormatting>
  <conditionalFormatting sqref="K322">
    <cfRule type="expression" dxfId="1275" priority="2150">
      <formula>K322&gt;K296</formula>
    </cfRule>
  </conditionalFormatting>
  <conditionalFormatting sqref="Q296">
    <cfRule type="expression" dxfId="1274" priority="2137">
      <formula>Q322&gt;Q296</formula>
    </cfRule>
  </conditionalFormatting>
  <conditionalFormatting sqref="Q296">
    <cfRule type="expression" dxfId="1273" priority="2138">
      <formula>Q296&gt;Q295</formula>
    </cfRule>
  </conditionalFormatting>
  <conditionalFormatting sqref="M322">
    <cfRule type="expression" dxfId="1272" priority="2120">
      <formula>M322&gt;M296</formula>
    </cfRule>
  </conditionalFormatting>
  <conditionalFormatting sqref="O322">
    <cfRule type="expression" dxfId="1271" priority="2119">
      <formula>O322&gt;O296</formula>
    </cfRule>
  </conditionalFormatting>
  <conditionalFormatting sqref="Q322">
    <cfRule type="expression" dxfId="1270" priority="2118">
      <formula>Q322&gt;Q296</formula>
    </cfRule>
  </conditionalFormatting>
  <conditionalFormatting sqref="S322">
    <cfRule type="expression" dxfId="1269" priority="2117">
      <formula>S322&gt;S296</formula>
    </cfRule>
  </conditionalFormatting>
  <conditionalFormatting sqref="U322">
    <cfRule type="expression" dxfId="1268" priority="2116">
      <formula>U322&gt;U296</formula>
    </cfRule>
  </conditionalFormatting>
  <conditionalFormatting sqref="W322">
    <cfRule type="expression" dxfId="1267" priority="2115">
      <formula>W322&gt;W296</formula>
    </cfRule>
  </conditionalFormatting>
  <conditionalFormatting sqref="Y322">
    <cfRule type="expression" dxfId="1266" priority="2114">
      <formula>Y322&gt;Y296</formula>
    </cfRule>
  </conditionalFormatting>
  <conditionalFormatting sqref="D331:AI331">
    <cfRule type="expression" dxfId="1265" priority="2113">
      <formula>D331&gt;D341</formula>
    </cfRule>
  </conditionalFormatting>
  <conditionalFormatting sqref="D341:Y341 AB341:AG341 AJ341">
    <cfRule type="expression" dxfId="1264" priority="2112">
      <formula>D331&gt;D341</formula>
    </cfRule>
  </conditionalFormatting>
  <conditionalFormatting sqref="D332:Y337 AB332:AI337">
    <cfRule type="expression" dxfId="1263" priority="2111">
      <formula>D332&gt;D342</formula>
    </cfRule>
  </conditionalFormatting>
  <conditionalFormatting sqref="D342:Y347 AB342:AG347">
    <cfRule type="expression" dxfId="1262" priority="2110">
      <formula>D332&gt;D342</formula>
    </cfRule>
  </conditionalFormatting>
  <conditionalFormatting sqref="D340:Y340 AB340:AG340">
    <cfRule type="expression" dxfId="1261" priority="2109">
      <formula>D340&gt;D341</formula>
    </cfRule>
  </conditionalFormatting>
  <conditionalFormatting sqref="AK340">
    <cfRule type="notContainsBlanks" dxfId="1260" priority="2107">
      <formula>LEN(TRIM(AK340))&gt;0</formula>
    </cfRule>
  </conditionalFormatting>
  <conditionalFormatting sqref="J354:Y354 AB354:AG354">
    <cfRule type="expression" dxfId="1259" priority="2106">
      <formula>J354&lt;&gt;J341</formula>
    </cfRule>
  </conditionalFormatting>
  <conditionalFormatting sqref="D341:Y341 AB341:AG341 AJ341">
    <cfRule type="expression" dxfId="1258" priority="2105">
      <formula>D354&lt;&gt;D341</formula>
    </cfRule>
  </conditionalFormatting>
  <conditionalFormatting sqref="K341:Y341 AB341:AG341">
    <cfRule type="expression" dxfId="1257" priority="2104">
      <formula>K324&gt;K341</formula>
    </cfRule>
  </conditionalFormatting>
  <conditionalFormatting sqref="D361:Y361 AB361:AI361">
    <cfRule type="expression" dxfId="1256" priority="2102">
      <formula>D356&gt;D361</formula>
    </cfRule>
  </conditionalFormatting>
  <conditionalFormatting sqref="D361:Y361 AB361:AI361">
    <cfRule type="expression" dxfId="1255" priority="2100">
      <formula>D357&gt;D361</formula>
    </cfRule>
  </conditionalFormatting>
  <conditionalFormatting sqref="D361:Y361 AB361:AI361">
    <cfRule type="cellIs" dxfId="1254" priority="2099" operator="equal">
      <formula>0</formula>
    </cfRule>
  </conditionalFormatting>
  <conditionalFormatting sqref="D366:Y366 AB366:AI366">
    <cfRule type="expression" dxfId="1253" priority="2098">
      <formula>D366&gt;SUM(D362:D364)</formula>
    </cfRule>
  </conditionalFormatting>
  <conditionalFormatting sqref="D365:Y365 AB365:AI365">
    <cfRule type="cellIs" dxfId="1252" priority="2097" operator="equal">
      <formula>0</formula>
    </cfRule>
  </conditionalFormatting>
  <conditionalFormatting sqref="D365:Y365 AB365:AI365">
    <cfRule type="expression" dxfId="1251" priority="2096">
      <formula>E366&gt;(E362+E363+E364)</formula>
    </cfRule>
  </conditionalFormatting>
  <conditionalFormatting sqref="AK365">
    <cfRule type="notContainsBlanks" dxfId="1250" priority="2095">
      <formula>LEN(TRIM(AK365))&gt;0</formula>
    </cfRule>
  </conditionalFormatting>
  <conditionalFormatting sqref="D361:Y361 AB361:AI361">
    <cfRule type="expression" dxfId="1249" priority="2093">
      <formula>D365&gt;D361</formula>
    </cfRule>
  </conditionalFormatting>
  <conditionalFormatting sqref="AK366">
    <cfRule type="notContainsBlanks" dxfId="1248" priority="2092">
      <formula>LEN(TRIM(AK366))&gt;0</formula>
    </cfRule>
  </conditionalFormatting>
  <conditionalFormatting sqref="D369:AI369">
    <cfRule type="expression" dxfId="1247" priority="2091">
      <formula>D369&gt;D361</formula>
    </cfRule>
  </conditionalFormatting>
  <conditionalFormatting sqref="D361:Y361 AB361:AI361">
    <cfRule type="expression" dxfId="1246" priority="2090">
      <formula>D369&gt;D361</formula>
    </cfRule>
  </conditionalFormatting>
  <conditionalFormatting sqref="AK369">
    <cfRule type="notContainsBlanks" dxfId="1245" priority="2089">
      <formula>LEN(TRIM(AK369))&gt;0</formula>
    </cfRule>
  </conditionalFormatting>
  <conditionalFormatting sqref="AK369">
    <cfRule type="notContainsBlanks" dxfId="1244" priority="2088">
      <formula>LEN(TRIM(AK369))&gt;0</formula>
    </cfRule>
  </conditionalFormatting>
  <conditionalFormatting sqref="D341:Y341 AB341:AG341">
    <cfRule type="expression" dxfId="1243" priority="2085">
      <formula>D361&gt;D341</formula>
    </cfRule>
  </conditionalFormatting>
  <conditionalFormatting sqref="AK356">
    <cfRule type="notContainsBlanks" dxfId="1242" priority="2084">
      <formula>LEN(TRIM(AK356))&gt;0</formula>
    </cfRule>
  </conditionalFormatting>
  <conditionalFormatting sqref="D341:Y341 AB341:AG341">
    <cfRule type="expression" dxfId="1241" priority="2083">
      <formula>SUM(D167:D168)&gt;D341</formula>
    </cfRule>
  </conditionalFormatting>
  <conditionalFormatting sqref="K314">
    <cfRule type="expression" dxfId="1240" priority="1174">
      <formula>K314&gt;K331</formula>
    </cfRule>
    <cfRule type="expression" dxfId="1239" priority="2080">
      <formula>K314&gt;K331 &amp; EXACT($I$3,"1") &amp; EXACT($E$3,"1")</formula>
    </cfRule>
  </conditionalFormatting>
  <conditionalFormatting sqref="D371:AA371">
    <cfRule type="expression" dxfId="1238" priority="2078">
      <formula>D372&gt;D371</formula>
    </cfRule>
  </conditionalFormatting>
  <conditionalFormatting sqref="D393:AG399">
    <cfRule type="expression" dxfId="1237" priority="2077">
      <formula>D393&gt;D$387</formula>
    </cfRule>
  </conditionalFormatting>
  <conditionalFormatting sqref="D387:AG387">
    <cfRule type="expression" dxfId="1236" priority="2076">
      <formula>D393&gt;D$387</formula>
    </cfRule>
  </conditionalFormatting>
  <conditionalFormatting sqref="F405:Y405 AB405:AI405">
    <cfRule type="expression" dxfId="1235" priority="2075">
      <formula>F405&gt;F401</formula>
    </cfRule>
  </conditionalFormatting>
  <conditionalFormatting sqref="D401:Y401 AB401:AI401">
    <cfRule type="expression" dxfId="1234" priority="2074">
      <formula>D405&gt;D401</formula>
    </cfRule>
  </conditionalFormatting>
  <conditionalFormatting sqref="AL401">
    <cfRule type="notContainsBlanks" dxfId="1233" priority="2073">
      <formula>LEN(TRIM(AL401))&gt;0</formula>
    </cfRule>
  </conditionalFormatting>
  <conditionalFormatting sqref="F407:Y407 AB407:AI407">
    <cfRule type="expression" dxfId="1232" priority="2072">
      <formula>F407&gt;F405</formula>
    </cfRule>
  </conditionalFormatting>
  <conditionalFormatting sqref="F405:Y405 AB405:AI405">
    <cfRule type="expression" dxfId="1231" priority="2071">
      <formula>F407&gt;F405</formula>
    </cfRule>
  </conditionalFormatting>
  <conditionalFormatting sqref="D410:Y410 AB410:AI410">
    <cfRule type="expression" dxfId="1230" priority="2070">
      <formula>D410&lt;&gt;D402</formula>
    </cfRule>
  </conditionalFormatting>
  <conditionalFormatting sqref="D402:Y402 AB402:AI402">
    <cfRule type="expression" dxfId="1229" priority="2069">
      <formula>D410&lt;&gt;D402</formula>
    </cfRule>
  </conditionalFormatting>
  <conditionalFormatting sqref="F409:Y409 AB409:AI409">
    <cfRule type="expression" dxfId="1228" priority="2068">
      <formula>F409&gt;F407</formula>
    </cfRule>
  </conditionalFormatting>
  <conditionalFormatting sqref="F407:Y407 AB407:AI407">
    <cfRule type="expression" dxfId="1227" priority="2067">
      <formula>F409&gt;F407</formula>
    </cfRule>
  </conditionalFormatting>
  <conditionalFormatting sqref="AK401">
    <cfRule type="notContainsBlanks" dxfId="1226" priority="2065">
      <formula>LEN(TRIM(AK401))&gt;0</formula>
    </cfRule>
  </conditionalFormatting>
  <conditionalFormatting sqref="AK405">
    <cfRule type="notContainsBlanks" dxfId="1225" priority="2064">
      <formula>LEN(TRIM(AK405))&gt;0</formula>
    </cfRule>
  </conditionalFormatting>
  <conditionalFormatting sqref="AK406">
    <cfRule type="notContainsBlanks" dxfId="1224" priority="2063">
      <formula>LEN(TRIM(AK406))&gt;0</formula>
    </cfRule>
  </conditionalFormatting>
  <conditionalFormatting sqref="AB406:AI406 D406:Y406">
    <cfRule type="expression" dxfId="1223" priority="2062">
      <formula>D406&gt;D401</formula>
    </cfRule>
  </conditionalFormatting>
  <conditionalFormatting sqref="F404:Y404 AB404:AJ404">
    <cfRule type="cellIs" dxfId="1222" priority="2061" operator="lessThan">
      <formula>0</formula>
    </cfRule>
  </conditionalFormatting>
  <conditionalFormatting sqref="D401:Y401 AB401:AI401">
    <cfRule type="expression" dxfId="1221" priority="2060">
      <formula>D406&gt;D401</formula>
    </cfRule>
  </conditionalFormatting>
  <conditionalFormatting sqref="AK407">
    <cfRule type="notContainsBlanks" dxfId="1220" priority="2059">
      <formula>LEN(TRIM(AK407))&gt;0</formula>
    </cfRule>
  </conditionalFormatting>
  <conditionalFormatting sqref="AM409">
    <cfRule type="notContainsBlanks" dxfId="1219" priority="3169">
      <formula>LEN(TRIM(AM409))&gt;0</formula>
    </cfRule>
  </conditionalFormatting>
  <conditionalFormatting sqref="AN401">
    <cfRule type="notContainsBlanks" dxfId="1218" priority="2057">
      <formula>LEN(TRIM(AN401))&gt;0</formula>
    </cfRule>
  </conditionalFormatting>
  <conditionalFormatting sqref="AK409">
    <cfRule type="notContainsBlanks" dxfId="1217" priority="2056">
      <formula>LEN(TRIM(AK409))&gt;0</formula>
    </cfRule>
  </conditionalFormatting>
  <conditionalFormatting sqref="AK411">
    <cfRule type="notContainsBlanks" dxfId="1216" priority="2055">
      <formula>LEN(TRIM(AK411))&gt;0</formula>
    </cfRule>
  </conditionalFormatting>
  <conditionalFormatting sqref="AK410">
    <cfRule type="notContainsBlanks" dxfId="1215" priority="2054">
      <formula>LEN(TRIM(AK410))&gt;0</formula>
    </cfRule>
  </conditionalFormatting>
  <conditionalFormatting sqref="F405:Y405 AB405:AI405">
    <cfRule type="expression" dxfId="1214" priority="2031">
      <formula>F405&lt;F404</formula>
    </cfRule>
  </conditionalFormatting>
  <conditionalFormatting sqref="F404:Y404 AB404:AI404">
    <cfRule type="expression" dxfId="1213" priority="2030">
      <formula>F405&lt;F404</formula>
    </cfRule>
  </conditionalFormatting>
  <conditionalFormatting sqref="J413:AG413 F409:Y409 AB409:AI409">
    <cfRule type="expression" dxfId="1212" priority="2029">
      <formula>F407&gt;F409</formula>
    </cfRule>
  </conditionalFormatting>
  <conditionalFormatting sqref="F407:Y407 AB407:AI407">
    <cfRule type="expression" dxfId="1211" priority="2028">
      <formula>F407&gt;F409</formula>
    </cfRule>
  </conditionalFormatting>
  <conditionalFormatting sqref="D377:AA377">
    <cfRule type="expression" dxfId="1210" priority="2027">
      <formula>D377&gt;D372</formula>
    </cfRule>
  </conditionalFormatting>
  <conditionalFormatting sqref="D372:AA372">
    <cfRule type="expression" dxfId="1209" priority="2026">
      <formula>D377&gt;D372</formula>
    </cfRule>
  </conditionalFormatting>
  <conditionalFormatting sqref="D376:AA376">
    <cfRule type="expression" dxfId="1208" priority="2024">
      <formula>D376&gt;SUM(D375,D374,D373)</formula>
    </cfRule>
  </conditionalFormatting>
  <conditionalFormatting sqref="D375:AA375">
    <cfRule type="expression" dxfId="1207" priority="2023">
      <formula>D376&gt;SUM(D375,D374,D373)</formula>
    </cfRule>
  </conditionalFormatting>
  <conditionalFormatting sqref="D374:AA374">
    <cfRule type="expression" dxfId="1206" priority="2022">
      <formula>D376&gt;SUM(D375,D374,D373)</formula>
    </cfRule>
  </conditionalFormatting>
  <conditionalFormatting sqref="D373:AA373">
    <cfRule type="expression" dxfId="1205" priority="2021">
      <formula>D376&gt;SUM(D375,D374,D373)</formula>
    </cfRule>
  </conditionalFormatting>
  <conditionalFormatting sqref="D357:Y357 AB357:AI357">
    <cfRule type="expression" dxfId="1204" priority="2020">
      <formula>D368&gt;D357</formula>
    </cfRule>
  </conditionalFormatting>
  <conditionalFormatting sqref="D368:Y368 AB368:AI368">
    <cfRule type="expression" dxfId="1203" priority="2019">
      <formula>D368&gt;D357</formula>
    </cfRule>
  </conditionalFormatting>
  <conditionalFormatting sqref="K289">
    <cfRule type="expression" dxfId="1202" priority="2018">
      <formula>K290&gt;K289</formula>
    </cfRule>
  </conditionalFormatting>
  <conditionalFormatting sqref="K319">
    <cfRule type="expression" dxfId="1201" priority="2017">
      <formula>K319&gt;K290</formula>
    </cfRule>
  </conditionalFormatting>
  <conditionalFormatting sqref="M319">
    <cfRule type="expression" dxfId="1200" priority="2016">
      <formula>M319&gt;M290</formula>
    </cfRule>
  </conditionalFormatting>
  <conditionalFormatting sqref="O319">
    <cfRule type="expression" dxfId="1199" priority="2015">
      <formula>O319&gt;O290</formula>
    </cfRule>
  </conditionalFormatting>
  <conditionalFormatting sqref="Q319">
    <cfRule type="expression" dxfId="1198" priority="2014">
      <formula>Q319&gt;Q290</formula>
    </cfRule>
  </conditionalFormatting>
  <conditionalFormatting sqref="S319">
    <cfRule type="expression" dxfId="1197" priority="2013">
      <formula>S319&gt;S290</formula>
    </cfRule>
  </conditionalFormatting>
  <conditionalFormatting sqref="U319">
    <cfRule type="expression" dxfId="1196" priority="2012">
      <formula>U319&gt;U290</formula>
    </cfRule>
  </conditionalFormatting>
  <conditionalFormatting sqref="W319">
    <cfRule type="expression" dxfId="1195" priority="2011">
      <formula>W319&gt;W290</formula>
    </cfRule>
  </conditionalFormatting>
  <conditionalFormatting sqref="Y319">
    <cfRule type="expression" dxfId="1194" priority="2010">
      <formula>Y319&gt;Y290</formula>
    </cfRule>
  </conditionalFormatting>
  <conditionalFormatting sqref="D18:AG18 AJ18">
    <cfRule type="cellIs" dxfId="1193" priority="2009" operator="equal">
      <formula>0</formula>
    </cfRule>
  </conditionalFormatting>
  <conditionalFormatting sqref="AK11">
    <cfRule type="notContainsBlanks" dxfId="1192" priority="2008">
      <formula>LEN(TRIM(AK11))&gt;0</formula>
    </cfRule>
  </conditionalFormatting>
  <conditionalFormatting sqref="AK12">
    <cfRule type="notContainsBlanks" dxfId="1191" priority="2007">
      <formula>LEN(TRIM(AK12))&gt;0</formula>
    </cfRule>
  </conditionalFormatting>
  <conditionalFormatting sqref="AK16">
    <cfRule type="notContainsBlanks" dxfId="1190" priority="2005">
      <formula>LEN(TRIM(AK16))&gt;0</formula>
    </cfRule>
  </conditionalFormatting>
  <conditionalFormatting sqref="AK15">
    <cfRule type="notContainsBlanks" dxfId="1189" priority="2004">
      <formula>LEN(TRIM(AK15))&gt;0</formula>
    </cfRule>
  </conditionalFormatting>
  <conditionalFormatting sqref="D14:AG14">
    <cfRule type="cellIs" dxfId="1188" priority="1988" operator="equal">
      <formula>0</formula>
    </cfRule>
  </conditionalFormatting>
  <conditionalFormatting sqref="AK14">
    <cfRule type="notContainsBlanks" dxfId="1187" priority="1987">
      <formula>LEN(TRIM(AK14))&gt;0</formula>
    </cfRule>
  </conditionalFormatting>
  <conditionalFormatting sqref="D14:AG14">
    <cfRule type="expression" dxfId="1186" priority="1986">
      <formula>D54&gt;D14</formula>
    </cfRule>
  </conditionalFormatting>
  <conditionalFormatting sqref="D54:AI54">
    <cfRule type="expression" dxfId="1185" priority="1985">
      <formula>D54&gt;D14</formula>
    </cfRule>
  </conditionalFormatting>
  <conditionalFormatting sqref="M207">
    <cfRule type="cellIs" dxfId="1184" priority="1967" operator="equal">
      <formula>0</formula>
    </cfRule>
  </conditionalFormatting>
  <conditionalFormatting sqref="M201">
    <cfRule type="expression" dxfId="1183" priority="1522">
      <formula>M200&lt;(M201+M202+M203)</formula>
    </cfRule>
    <cfRule type="expression" dxfId="1182" priority="1908">
      <formula>(M203+M202+M201)&gt;M199</formula>
    </cfRule>
  </conditionalFormatting>
  <conditionalFormatting sqref="M202">
    <cfRule type="expression" dxfId="1181" priority="1521">
      <formula>M200&lt;(M201+M202+M203)</formula>
    </cfRule>
    <cfRule type="expression" dxfId="1180" priority="1907">
      <formula>(M203+M202+M201)&gt;M199</formula>
    </cfRule>
  </conditionalFormatting>
  <conditionalFormatting sqref="M203">
    <cfRule type="expression" dxfId="1179" priority="1520">
      <formula>M200&lt;(M201+M202+M203)</formula>
    </cfRule>
    <cfRule type="expression" dxfId="1178" priority="1906">
      <formula>(M203+M202+M201)&gt;M199</formula>
    </cfRule>
  </conditionalFormatting>
  <conditionalFormatting sqref="AM232:AN232">
    <cfRule type="notContainsBlanks" dxfId="1177" priority="1827">
      <formula>LEN(TRIM(AM232))&gt;0</formula>
    </cfRule>
  </conditionalFormatting>
  <conditionalFormatting sqref="AJ233:AJ258">
    <cfRule type="cellIs" dxfId="1176" priority="1825" operator="equal">
      <formula>0</formula>
    </cfRule>
  </conditionalFormatting>
  <conditionalFormatting sqref="AM233:AN240">
    <cfRule type="notContainsBlanks" dxfId="1175" priority="1823">
      <formula>LEN(TRIM(AM233))&gt;0</formula>
    </cfRule>
  </conditionalFormatting>
  <conditionalFormatting sqref="AM241:AN241">
    <cfRule type="notContainsBlanks" dxfId="1174" priority="1814">
      <formula>LEN(TRIM(AM241))&gt;0</formula>
    </cfRule>
  </conditionalFormatting>
  <conditionalFormatting sqref="AM242:AN249">
    <cfRule type="notContainsBlanks" dxfId="1173" priority="1810">
      <formula>LEN(TRIM(AM242))&gt;0</formula>
    </cfRule>
  </conditionalFormatting>
  <conditionalFormatting sqref="AM250:AN250">
    <cfRule type="notContainsBlanks" dxfId="1172" priority="1801">
      <formula>LEN(TRIM(AM250))&gt;0</formula>
    </cfRule>
  </conditionalFormatting>
  <conditionalFormatting sqref="AM251:AN258">
    <cfRule type="notContainsBlanks" dxfId="1171" priority="1797">
      <formula>LEN(TRIM(AM251))&gt;0</formula>
    </cfRule>
  </conditionalFormatting>
  <conditionalFormatting sqref="D225:AG225">
    <cfRule type="cellIs" dxfId="1170" priority="1790" operator="equal">
      <formula>0</formula>
    </cfRule>
  </conditionalFormatting>
  <conditionalFormatting sqref="D259:AA260 AJ261 AJ259">
    <cfRule type="cellIs" dxfId="1169" priority="1789" operator="equal">
      <formula>0</formula>
    </cfRule>
  </conditionalFormatting>
  <conditionalFormatting sqref="D263:AA263">
    <cfRule type="expression" dxfId="1168" priority="1788">
      <formula>D263&gt;D259</formula>
    </cfRule>
  </conditionalFormatting>
  <conditionalFormatting sqref="D259:AA259">
    <cfRule type="expression" dxfId="1167" priority="1787">
      <formula>D263&gt;D259</formula>
    </cfRule>
  </conditionalFormatting>
  <conditionalFormatting sqref="AJ232">
    <cfRule type="cellIs" dxfId="1166" priority="1786" operator="equal">
      <formula>0</formula>
    </cfRule>
  </conditionalFormatting>
  <conditionalFormatting sqref="AJ12:AJ13">
    <cfRule type="cellIs" dxfId="1165" priority="1784" operator="equal">
      <formula>0</formula>
    </cfRule>
  </conditionalFormatting>
  <conditionalFormatting sqref="AJ14">
    <cfRule type="cellIs" dxfId="1164" priority="1783" operator="equal">
      <formula>0</formula>
    </cfRule>
  </conditionalFormatting>
  <conditionalFormatting sqref="AJ15:AJ17">
    <cfRule type="cellIs" dxfId="1163" priority="1782" operator="equal">
      <formula>0</formula>
    </cfRule>
  </conditionalFormatting>
  <conditionalFormatting sqref="D224:AG224">
    <cfRule type="expression" dxfId="1162" priority="1780">
      <formula>D224&gt;D223</formula>
    </cfRule>
  </conditionalFormatting>
  <conditionalFormatting sqref="D223:AG223">
    <cfRule type="expression" dxfId="1161" priority="1779">
      <formula>D224&gt;D223</formula>
    </cfRule>
  </conditionalFormatting>
  <conditionalFormatting sqref="D225:AG225">
    <cfRule type="expression" dxfId="1160" priority="1778">
      <formula>D225&gt;D224</formula>
    </cfRule>
  </conditionalFormatting>
  <conditionalFormatting sqref="D224:AG224">
    <cfRule type="expression" dxfId="1159" priority="1777">
      <formula>D225&gt;D224</formula>
    </cfRule>
  </conditionalFormatting>
  <conditionalFormatting sqref="D260:AA260">
    <cfRule type="expression" dxfId="1158" priority="1776">
      <formula>D260&gt;D259</formula>
    </cfRule>
  </conditionalFormatting>
  <conditionalFormatting sqref="D259:AA259">
    <cfRule type="expression" dxfId="1157" priority="1775">
      <formula>D260&gt;D259</formula>
    </cfRule>
  </conditionalFormatting>
  <conditionalFormatting sqref="AK226">
    <cfRule type="notContainsBlanks" dxfId="1156" priority="1774">
      <formula>LEN(TRIM(AK226))&gt;0</formula>
    </cfRule>
  </conditionalFormatting>
  <conditionalFormatting sqref="AL232">
    <cfRule type="notContainsBlanks" dxfId="1155" priority="1773">
      <formula>LEN(TRIM(AL232))&gt;0</formula>
    </cfRule>
  </conditionalFormatting>
  <conditionalFormatting sqref="AL241">
    <cfRule type="notContainsBlanks" dxfId="1154" priority="1772">
      <formula>LEN(TRIM(AL241))&gt;0</formula>
    </cfRule>
  </conditionalFormatting>
  <conditionalFormatting sqref="AL250">
    <cfRule type="notContainsBlanks" dxfId="1153" priority="1771">
      <formula>LEN(TRIM(AL250))&gt;0</formula>
    </cfRule>
  </conditionalFormatting>
  <conditionalFormatting sqref="D227:AG227">
    <cfRule type="expression" dxfId="1152" priority="1770">
      <formula>D227&gt;D226</formula>
    </cfRule>
  </conditionalFormatting>
  <conditionalFormatting sqref="D226:AG226">
    <cfRule type="expression" dxfId="1151" priority="1769">
      <formula>D227&gt;D226</formula>
    </cfRule>
  </conditionalFormatting>
  <conditionalFormatting sqref="AK223">
    <cfRule type="notContainsBlanks" dxfId="1150" priority="1768">
      <formula>LEN(TRIM(AK223))&gt;0</formula>
    </cfRule>
  </conditionalFormatting>
  <conditionalFormatting sqref="AK228">
    <cfRule type="notContainsBlanks" dxfId="1149" priority="1767">
      <formula>LEN(TRIM(AK228))&gt;0</formula>
    </cfRule>
  </conditionalFormatting>
  <conditionalFormatting sqref="D229:AG229">
    <cfRule type="expression" dxfId="1148" priority="1766">
      <formula>D229&gt;D228</formula>
    </cfRule>
  </conditionalFormatting>
  <conditionalFormatting sqref="D228:AG228">
    <cfRule type="expression" dxfId="1147" priority="1765">
      <formula>D229&gt;D228</formula>
    </cfRule>
  </conditionalFormatting>
  <conditionalFormatting sqref="AK233:AK234 AK236 AK238:AK240">
    <cfRule type="notContainsBlanks" dxfId="1146" priority="1764">
      <formula>LEN(TRIM(AK233))&gt;0</formula>
    </cfRule>
  </conditionalFormatting>
  <conditionalFormatting sqref="AK235">
    <cfRule type="notContainsBlanks" dxfId="1145" priority="1763">
      <formula>LEN(TRIM(AK235))&gt;0</formula>
    </cfRule>
  </conditionalFormatting>
  <conditionalFormatting sqref="AK232">
    <cfRule type="notContainsBlanks" dxfId="1144" priority="1762">
      <formula>LEN(TRIM(AK232))&gt;0</formula>
    </cfRule>
  </conditionalFormatting>
  <conditionalFormatting sqref="AK237">
    <cfRule type="notContainsBlanks" dxfId="1143" priority="1761">
      <formula>LEN(TRIM(AK237))&gt;0</formula>
    </cfRule>
  </conditionalFormatting>
  <conditionalFormatting sqref="AK242:AK243 AK245 AK247:AK249">
    <cfRule type="notContainsBlanks" dxfId="1142" priority="1760">
      <formula>LEN(TRIM(AK242))&gt;0</formula>
    </cfRule>
  </conditionalFormatting>
  <conditionalFormatting sqref="AK244">
    <cfRule type="notContainsBlanks" dxfId="1141" priority="1759">
      <formula>LEN(TRIM(AK244))&gt;0</formula>
    </cfRule>
  </conditionalFormatting>
  <conditionalFormatting sqref="AK241">
    <cfRule type="notContainsBlanks" dxfId="1140" priority="1758">
      <formula>LEN(TRIM(AK241))&gt;0</formula>
    </cfRule>
  </conditionalFormatting>
  <conditionalFormatting sqref="AK246">
    <cfRule type="notContainsBlanks" dxfId="1139" priority="1757">
      <formula>LEN(TRIM(AK246))&gt;0</formula>
    </cfRule>
  </conditionalFormatting>
  <conditionalFormatting sqref="AK251:AK252 AK254 AK256:AK258">
    <cfRule type="notContainsBlanks" dxfId="1138" priority="1756">
      <formula>LEN(TRIM(AK251))&gt;0</formula>
    </cfRule>
  </conditionalFormatting>
  <conditionalFormatting sqref="AK253">
    <cfRule type="notContainsBlanks" dxfId="1137" priority="1755">
      <formula>LEN(TRIM(AK253))&gt;0</formula>
    </cfRule>
  </conditionalFormatting>
  <conditionalFormatting sqref="AK250">
    <cfRule type="notContainsBlanks" dxfId="1136" priority="1754">
      <formula>LEN(TRIM(AK250))&gt;0</formula>
    </cfRule>
  </conditionalFormatting>
  <conditionalFormatting sqref="AK255">
    <cfRule type="notContainsBlanks" dxfId="1135" priority="1753">
      <formula>LEN(TRIM(AK255))&gt;0</formula>
    </cfRule>
  </conditionalFormatting>
  <conditionalFormatting sqref="D232:AG232">
    <cfRule type="cellIs" dxfId="1134" priority="1752" operator="equal">
      <formula>0</formula>
    </cfRule>
  </conditionalFormatting>
  <conditionalFormatting sqref="D234:AG234">
    <cfRule type="cellIs" dxfId="1133" priority="1751" operator="equal">
      <formula>0</formula>
    </cfRule>
  </conditionalFormatting>
  <conditionalFormatting sqref="D233:AG233">
    <cfRule type="expression" dxfId="1132" priority="1750">
      <formula>D233&gt;D232</formula>
    </cfRule>
  </conditionalFormatting>
  <conditionalFormatting sqref="D232:AG232">
    <cfRule type="expression" dxfId="1131" priority="1749">
      <formula>D233&gt;D232</formula>
    </cfRule>
  </conditionalFormatting>
  <conditionalFormatting sqref="D234:AG234">
    <cfRule type="expression" dxfId="1130" priority="1748">
      <formula>D234&gt;D233</formula>
    </cfRule>
  </conditionalFormatting>
  <conditionalFormatting sqref="D233:AG233">
    <cfRule type="expression" dxfId="1129" priority="1747">
      <formula>D234&gt;D233</formula>
    </cfRule>
  </conditionalFormatting>
  <conditionalFormatting sqref="D236:AG236">
    <cfRule type="expression" dxfId="1128" priority="1746">
      <formula>D236&gt;D235</formula>
    </cfRule>
  </conditionalFormatting>
  <conditionalFormatting sqref="D235:AG235">
    <cfRule type="expression" dxfId="1127" priority="1745">
      <formula>D236&gt;D235</formula>
    </cfRule>
  </conditionalFormatting>
  <conditionalFormatting sqref="D238:AG238">
    <cfRule type="expression" dxfId="1126" priority="1744">
      <formula>D238&gt;D237</formula>
    </cfRule>
  </conditionalFormatting>
  <conditionalFormatting sqref="D237:AG237">
    <cfRule type="expression" dxfId="1125" priority="1743">
      <formula>D238&gt;D237</formula>
    </cfRule>
  </conditionalFormatting>
  <conditionalFormatting sqref="D243:AG243">
    <cfRule type="cellIs" dxfId="1124" priority="1741" operator="equal">
      <formula>0</formula>
    </cfRule>
  </conditionalFormatting>
  <conditionalFormatting sqref="D242:AG242">
    <cfRule type="expression" dxfId="1123" priority="1740">
      <formula>D242&gt;D241</formula>
    </cfRule>
  </conditionalFormatting>
  <conditionalFormatting sqref="D241:AG241">
    <cfRule type="expression" dxfId="1122" priority="1739">
      <formula>D242&gt;D241</formula>
    </cfRule>
  </conditionalFormatting>
  <conditionalFormatting sqref="D243:AG243">
    <cfRule type="expression" dxfId="1121" priority="1738">
      <formula>D243&gt;D242</formula>
    </cfRule>
  </conditionalFormatting>
  <conditionalFormatting sqref="D242:AG242">
    <cfRule type="expression" dxfId="1120" priority="1737">
      <formula>D243&gt;D242</formula>
    </cfRule>
  </conditionalFormatting>
  <conditionalFormatting sqref="D245:AG245">
    <cfRule type="expression" dxfId="1119" priority="1736">
      <formula>D245&gt;D244</formula>
    </cfRule>
  </conditionalFormatting>
  <conditionalFormatting sqref="D244:AG244">
    <cfRule type="expression" dxfId="1118" priority="1735">
      <formula>D245&gt;D244</formula>
    </cfRule>
  </conditionalFormatting>
  <conditionalFormatting sqref="D247:AG247">
    <cfRule type="expression" dxfId="1117" priority="1734">
      <formula>D247&gt;D246</formula>
    </cfRule>
  </conditionalFormatting>
  <conditionalFormatting sqref="D246:AG246">
    <cfRule type="expression" dxfId="1116" priority="1733">
      <formula>D247&gt;D246</formula>
    </cfRule>
  </conditionalFormatting>
  <conditionalFormatting sqref="D250:AG250">
    <cfRule type="cellIs" dxfId="1115" priority="1732" operator="equal">
      <formula>0</formula>
    </cfRule>
  </conditionalFormatting>
  <conditionalFormatting sqref="D252:AG252">
    <cfRule type="cellIs" dxfId="1114" priority="1731" operator="equal">
      <formula>0</formula>
    </cfRule>
  </conditionalFormatting>
  <conditionalFormatting sqref="D251:AG251">
    <cfRule type="expression" dxfId="1113" priority="1730">
      <formula>D251&gt;D250</formula>
    </cfRule>
  </conditionalFormatting>
  <conditionalFormatting sqref="D250:AG250">
    <cfRule type="expression" dxfId="1112" priority="1729">
      <formula>D251&gt;D250</formula>
    </cfRule>
  </conditionalFormatting>
  <conditionalFormatting sqref="D252:AG252">
    <cfRule type="expression" dxfId="1111" priority="1728">
      <formula>D252&gt;D251</formula>
    </cfRule>
  </conditionalFormatting>
  <conditionalFormatting sqref="D251:AG251">
    <cfRule type="expression" dxfId="1110" priority="1727">
      <formula>D252&gt;D251</formula>
    </cfRule>
  </conditionalFormatting>
  <conditionalFormatting sqref="D254:AG254">
    <cfRule type="expression" dxfId="1109" priority="1726">
      <formula>D254&gt;D253</formula>
    </cfRule>
  </conditionalFormatting>
  <conditionalFormatting sqref="D253:AG253">
    <cfRule type="expression" dxfId="1108" priority="1725">
      <formula>D254&gt;D253</formula>
    </cfRule>
  </conditionalFormatting>
  <conditionalFormatting sqref="D256:AG256">
    <cfRule type="expression" dxfId="1107" priority="1724">
      <formula>D256&gt;D255</formula>
    </cfRule>
  </conditionalFormatting>
  <conditionalFormatting sqref="D255:AG255">
    <cfRule type="expression" dxfId="1106" priority="1723">
      <formula>D256&gt;D255</formula>
    </cfRule>
  </conditionalFormatting>
  <conditionalFormatting sqref="K267 M267 O267 Q267 S267 U267 W267 Y267 AA267">
    <cfRule type="expression" dxfId="1105" priority="1722">
      <formula>K267&gt;K266</formula>
    </cfRule>
  </conditionalFormatting>
  <conditionalFormatting sqref="D269:AA269">
    <cfRule type="expression" dxfId="1104" priority="1721">
      <formula>D269&gt;D268</formula>
    </cfRule>
  </conditionalFormatting>
  <conditionalFormatting sqref="K266 M266 O266 Q266 S266 U266 W266 Y266 AA266">
    <cfRule type="expression" dxfId="1103" priority="1720">
      <formula>K266&gt;K259</formula>
    </cfRule>
  </conditionalFormatting>
  <conditionalFormatting sqref="D259:AA259">
    <cfRule type="expression" dxfId="1102" priority="1719">
      <formula>D266&gt;D259</formula>
    </cfRule>
  </conditionalFormatting>
  <conditionalFormatting sqref="D365:Y365 AB365:AI365">
    <cfRule type="expression" dxfId="1101" priority="1718">
      <formula>D365&gt;D361</formula>
    </cfRule>
  </conditionalFormatting>
  <conditionalFormatting sqref="AL356:AL369">
    <cfRule type="notContainsBlanks" dxfId="1100" priority="1717">
      <formula>LEN(TRIM(AL356))&gt;0</formula>
    </cfRule>
  </conditionalFormatting>
  <conditionalFormatting sqref="D369:AI369">
    <cfRule type="expression" dxfId="1099" priority="1716">
      <formula>D369&gt;D366</formula>
    </cfRule>
  </conditionalFormatting>
  <conditionalFormatting sqref="D366:Y366 AB366:AI366">
    <cfRule type="expression" dxfId="1098" priority="1715">
      <formula>D369&gt;D366</formula>
    </cfRule>
  </conditionalFormatting>
  <conditionalFormatting sqref="AL301:AL309">
    <cfRule type="notContainsBlanks" dxfId="1097" priority="1714">
      <formula>LEN(TRIM(AL301))&gt;0</formula>
    </cfRule>
  </conditionalFormatting>
  <conditionalFormatting sqref="AN301:AN309">
    <cfRule type="notContainsBlanks" dxfId="1096" priority="1710">
      <formula>LEN(TRIM(AN301))&gt;0</formula>
    </cfRule>
  </conditionalFormatting>
  <conditionalFormatting sqref="AJ11">
    <cfRule type="cellIs" dxfId="1095" priority="1705" operator="equal">
      <formula>0</formula>
    </cfRule>
  </conditionalFormatting>
  <conditionalFormatting sqref="AJ11">
    <cfRule type="cellIs" dxfId="1094" priority="1703" operator="equal">
      <formula>0</formula>
    </cfRule>
  </conditionalFormatting>
  <conditionalFormatting sqref="D261:AA262">
    <cfRule type="cellIs" dxfId="1093" priority="1701" operator="equal">
      <formula>0</formula>
    </cfRule>
  </conditionalFormatting>
  <conditionalFormatting sqref="D261:AA261">
    <cfRule type="expression" dxfId="1092" priority="1700">
      <formula>D265&gt;D261</formula>
    </cfRule>
  </conditionalFormatting>
  <conditionalFormatting sqref="D262:AA262">
    <cfRule type="expression" dxfId="1091" priority="1699">
      <formula>D262&gt;D261</formula>
    </cfRule>
  </conditionalFormatting>
  <conditionalFormatting sqref="D261:AA261">
    <cfRule type="expression" dxfId="1090" priority="1698">
      <formula>D262&gt;D261</formula>
    </cfRule>
  </conditionalFormatting>
  <conditionalFormatting sqref="D261:AA261">
    <cfRule type="expression" dxfId="1089" priority="1697">
      <formula>D268&gt;D261</formula>
    </cfRule>
  </conditionalFormatting>
  <conditionalFormatting sqref="S295">
    <cfRule type="expression" dxfId="1088" priority="1696">
      <formula>S296&gt;S295</formula>
    </cfRule>
  </conditionalFormatting>
  <conditionalFormatting sqref="U295">
    <cfRule type="expression" dxfId="1087" priority="1695">
      <formula>U296&gt;U295</formula>
    </cfRule>
  </conditionalFormatting>
  <conditionalFormatting sqref="W295">
    <cfRule type="expression" dxfId="1086" priority="1694">
      <formula>W296&gt;W295</formula>
    </cfRule>
  </conditionalFormatting>
  <conditionalFormatting sqref="Y295">
    <cfRule type="expression" dxfId="1085" priority="1693">
      <formula>Y296&gt;Y295</formula>
    </cfRule>
  </conditionalFormatting>
  <conditionalFormatting sqref="O296">
    <cfRule type="expression" dxfId="1084" priority="1692">
      <formula>O296&gt;O295</formula>
    </cfRule>
  </conditionalFormatting>
  <conditionalFormatting sqref="O296">
    <cfRule type="expression" dxfId="1083" priority="1690">
      <formula>O322&gt;O296</formula>
    </cfRule>
  </conditionalFormatting>
  <conditionalFormatting sqref="O296">
    <cfRule type="expression" dxfId="1082" priority="1691">
      <formula>O296&gt;O295</formula>
    </cfRule>
  </conditionalFormatting>
  <conditionalFormatting sqref="M296">
    <cfRule type="expression" dxfId="1081" priority="1689">
      <formula>M296&gt;M295</formula>
    </cfRule>
  </conditionalFormatting>
  <conditionalFormatting sqref="M296">
    <cfRule type="expression" dxfId="1080" priority="1687">
      <formula>M322&gt;M296</formula>
    </cfRule>
  </conditionalFormatting>
  <conditionalFormatting sqref="M296">
    <cfRule type="expression" dxfId="1079" priority="1688">
      <formula>M296&gt;M295</formula>
    </cfRule>
  </conditionalFormatting>
  <conditionalFormatting sqref="K296">
    <cfRule type="expression" dxfId="1078" priority="1686">
      <formula>K296&gt;K295</formula>
    </cfRule>
  </conditionalFormatting>
  <conditionalFormatting sqref="K296">
    <cfRule type="expression" dxfId="1077" priority="1684">
      <formula>K322&gt;K296</formula>
    </cfRule>
  </conditionalFormatting>
  <conditionalFormatting sqref="K296">
    <cfRule type="expression" dxfId="1076" priority="1685">
      <formula>K296&gt;K295</formula>
    </cfRule>
  </conditionalFormatting>
  <conditionalFormatting sqref="S296">
    <cfRule type="expression" dxfId="1075" priority="1683">
      <formula>S296&gt;S295</formula>
    </cfRule>
  </conditionalFormatting>
  <conditionalFormatting sqref="S296">
    <cfRule type="expression" dxfId="1074" priority="1681">
      <formula>S322&gt;S296</formula>
    </cfRule>
  </conditionalFormatting>
  <conditionalFormatting sqref="S296">
    <cfRule type="expression" dxfId="1073" priority="1682">
      <formula>S296&gt;S295</formula>
    </cfRule>
  </conditionalFormatting>
  <conditionalFormatting sqref="U296">
    <cfRule type="expression" dxfId="1072" priority="1680">
      <formula>U296&gt;U295</formula>
    </cfRule>
  </conditionalFormatting>
  <conditionalFormatting sqref="U296">
    <cfRule type="expression" dxfId="1071" priority="1678">
      <formula>U322&gt;U296</formula>
    </cfRule>
  </conditionalFormatting>
  <conditionalFormatting sqref="U296">
    <cfRule type="expression" dxfId="1070" priority="1679">
      <formula>U296&gt;U295</formula>
    </cfRule>
  </conditionalFormatting>
  <conditionalFormatting sqref="W296">
    <cfRule type="expression" dxfId="1069" priority="1677">
      <formula>W296&gt;W295</formula>
    </cfRule>
  </conditionalFormatting>
  <conditionalFormatting sqref="W296">
    <cfRule type="expression" dxfId="1068" priority="1675">
      <formula>W322&gt;W296</formula>
    </cfRule>
  </conditionalFormatting>
  <conditionalFormatting sqref="W296">
    <cfRule type="expression" dxfId="1067" priority="1676">
      <formula>W296&gt;W295</formula>
    </cfRule>
  </conditionalFormatting>
  <conditionalFormatting sqref="Y296">
    <cfRule type="expression" dxfId="1066" priority="1674">
      <formula>Y296&gt;Y295</formula>
    </cfRule>
  </conditionalFormatting>
  <conditionalFormatting sqref="Y296">
    <cfRule type="expression" dxfId="1065" priority="1672">
      <formula>Y322&gt;Y296</formula>
    </cfRule>
  </conditionalFormatting>
  <conditionalFormatting sqref="Y296">
    <cfRule type="expression" dxfId="1064" priority="1673">
      <formula>Y296&gt;Y295</formula>
    </cfRule>
  </conditionalFormatting>
  <conditionalFormatting sqref="D365:Y365 AB365:AI365">
    <cfRule type="expression" dxfId="1063" priority="1671">
      <formula>D365&gt;D358</formula>
    </cfRule>
  </conditionalFormatting>
  <conditionalFormatting sqref="D358:Y358 AB358:AI358">
    <cfRule type="expression" dxfId="1062" priority="1670">
      <formula>D365&gt;D358</formula>
    </cfRule>
  </conditionalFormatting>
  <conditionalFormatting sqref="AN356:AN369">
    <cfRule type="notContainsBlanks" dxfId="1061" priority="1669">
      <formula>LEN(TRIM(AN356))&gt;0</formula>
    </cfRule>
  </conditionalFormatting>
  <conditionalFormatting sqref="D356:Y356 AB356:AI356">
    <cfRule type="expression" dxfId="1060" priority="1668">
      <formula>D356&gt;D367</formula>
    </cfRule>
  </conditionalFormatting>
  <conditionalFormatting sqref="D367:Y367 AB367:AI367">
    <cfRule type="expression" dxfId="1059" priority="1667">
      <formula>D356&gt;D367</formula>
    </cfRule>
  </conditionalFormatting>
  <conditionalFormatting sqref="D357:Y357 AB357:AI357">
    <cfRule type="expression" dxfId="1058" priority="1666">
      <formula>D357&gt;D368</formula>
    </cfRule>
  </conditionalFormatting>
  <conditionalFormatting sqref="D368:Y368 AB368:AI368">
    <cfRule type="expression" dxfId="1057" priority="1665">
      <formula>D357&gt;D368</formula>
    </cfRule>
  </conditionalFormatting>
  <conditionalFormatting sqref="K327">
    <cfRule type="expression" dxfId="1056" priority="1664">
      <formula>K327&gt;K294+K292</formula>
    </cfRule>
  </conditionalFormatting>
  <conditionalFormatting sqref="M327">
    <cfRule type="expression" dxfId="1055" priority="1663">
      <formula>M327&gt;M294+M292</formula>
    </cfRule>
  </conditionalFormatting>
  <conditionalFormatting sqref="O327">
    <cfRule type="expression" dxfId="1054" priority="1662">
      <formula>O327&gt;O294+O292</formula>
    </cfRule>
  </conditionalFormatting>
  <conditionalFormatting sqref="Q327">
    <cfRule type="expression" dxfId="1053" priority="1661">
      <formula>Q327&gt;Q294+Q292</formula>
    </cfRule>
  </conditionalFormatting>
  <conditionalFormatting sqref="S327">
    <cfRule type="expression" dxfId="1052" priority="1660">
      <formula>S327&gt;S294+S292</formula>
    </cfRule>
  </conditionalFormatting>
  <conditionalFormatting sqref="U327">
    <cfRule type="expression" dxfId="1051" priority="1659">
      <formula>U327&gt;U294+U292</formula>
    </cfRule>
  </conditionalFormatting>
  <conditionalFormatting sqref="W327">
    <cfRule type="expression" dxfId="1050" priority="1658">
      <formula>W327&gt;W294+W292</formula>
    </cfRule>
  </conditionalFormatting>
  <conditionalFormatting sqref="Y327">
    <cfRule type="expression" dxfId="1049" priority="1657">
      <formula>Y327&gt;Y294+Y292</formula>
    </cfRule>
  </conditionalFormatting>
  <conditionalFormatting sqref="K294">
    <cfRule type="expression" dxfId="1048" priority="1656">
      <formula>K327&gt;K294+K292</formula>
    </cfRule>
  </conditionalFormatting>
  <conditionalFormatting sqref="M294">
    <cfRule type="expression" dxfId="1047" priority="1655">
      <formula>M327&gt;M294+M292</formula>
    </cfRule>
  </conditionalFormatting>
  <conditionalFormatting sqref="O294">
    <cfRule type="expression" dxfId="1046" priority="1654">
      <formula>O327&gt;O294+O292</formula>
    </cfRule>
  </conditionalFormatting>
  <conditionalFormatting sqref="Q294">
    <cfRule type="expression" dxfId="1045" priority="1653">
      <formula>Q327&gt;Q294+Q292</formula>
    </cfRule>
  </conditionalFormatting>
  <conditionalFormatting sqref="S294">
    <cfRule type="expression" dxfId="1044" priority="1652">
      <formula>S327&gt;S294+S292</formula>
    </cfRule>
  </conditionalFormatting>
  <conditionalFormatting sqref="U294">
    <cfRule type="expression" dxfId="1043" priority="1651">
      <formula>U327&gt;U294+U292</formula>
    </cfRule>
  </conditionalFormatting>
  <conditionalFormatting sqref="W294">
    <cfRule type="expression" dxfId="1042" priority="1650">
      <formula>W327&gt;W294+W292</formula>
    </cfRule>
  </conditionalFormatting>
  <conditionalFormatting sqref="Y294">
    <cfRule type="expression" dxfId="1041" priority="1649">
      <formula>Y327&gt;Y294+Y292</formula>
    </cfRule>
  </conditionalFormatting>
  <conditionalFormatting sqref="M292">
    <cfRule type="expression" dxfId="1040" priority="1644">
      <formula>M327&gt;M294+M292</formula>
    </cfRule>
    <cfRule type="expression" dxfId="1039" priority="1647">
      <formula>M320&gt;M292</formula>
    </cfRule>
  </conditionalFormatting>
  <conditionalFormatting sqref="M292">
    <cfRule type="expression" dxfId="1038" priority="1646">
      <formula>M320&gt;M292</formula>
    </cfRule>
  </conditionalFormatting>
  <conditionalFormatting sqref="M292">
    <cfRule type="expression" dxfId="1037" priority="1645">
      <formula>M292&gt;M291</formula>
    </cfRule>
  </conditionalFormatting>
  <conditionalFormatting sqref="O292">
    <cfRule type="expression" dxfId="1036" priority="1640">
      <formula>O327&gt;O294+O292</formula>
    </cfRule>
    <cfRule type="expression" dxfId="1035" priority="1643">
      <formula>O320&gt;O292</formula>
    </cfRule>
  </conditionalFormatting>
  <conditionalFormatting sqref="O292">
    <cfRule type="expression" dxfId="1034" priority="1642">
      <formula>O320&gt;O292</formula>
    </cfRule>
  </conditionalFormatting>
  <conditionalFormatting sqref="O292">
    <cfRule type="expression" dxfId="1033" priority="1641">
      <formula>O292&gt;O291</formula>
    </cfRule>
  </conditionalFormatting>
  <conditionalFormatting sqref="Q292">
    <cfRule type="expression" dxfId="1032" priority="1636">
      <formula>Q327&gt;Q294+Q292</formula>
    </cfRule>
    <cfRule type="expression" dxfId="1031" priority="1639">
      <formula>Q320&gt;Q292</formula>
    </cfRule>
  </conditionalFormatting>
  <conditionalFormatting sqref="Q292">
    <cfRule type="expression" dxfId="1030" priority="1638">
      <formula>Q320&gt;Q292</formula>
    </cfRule>
  </conditionalFormatting>
  <conditionalFormatting sqref="Q292">
    <cfRule type="expression" dxfId="1029" priority="1637">
      <formula>Q292&gt;Q291</formula>
    </cfRule>
  </conditionalFormatting>
  <conditionalFormatting sqref="S292">
    <cfRule type="expression" dxfId="1028" priority="1632">
      <formula>S327&gt;S294+S292</formula>
    </cfRule>
    <cfRule type="expression" dxfId="1027" priority="1635">
      <formula>S320&gt;S292</formula>
    </cfRule>
  </conditionalFormatting>
  <conditionalFormatting sqref="S292">
    <cfRule type="expression" dxfId="1026" priority="1634">
      <formula>S320&gt;S292</formula>
    </cfRule>
  </conditionalFormatting>
  <conditionalFormatting sqref="S292">
    <cfRule type="expression" dxfId="1025" priority="1633">
      <formula>S292&gt;S291</formula>
    </cfRule>
  </conditionalFormatting>
  <conditionalFormatting sqref="U292">
    <cfRule type="expression" dxfId="1024" priority="1628">
      <formula>U327&gt;U294+U292</formula>
    </cfRule>
    <cfRule type="expression" dxfId="1023" priority="1631">
      <formula>U320&gt;U292</formula>
    </cfRule>
  </conditionalFormatting>
  <conditionalFormatting sqref="U292">
    <cfRule type="expression" dxfId="1022" priority="1630">
      <formula>U320&gt;U292</formula>
    </cfRule>
  </conditionalFormatting>
  <conditionalFormatting sqref="U292">
    <cfRule type="expression" dxfId="1021" priority="1629">
      <formula>U292&gt;U291</formula>
    </cfRule>
  </conditionalFormatting>
  <conditionalFormatting sqref="W292">
    <cfRule type="expression" dxfId="1020" priority="1624">
      <formula>W327&gt;W294+W292</formula>
    </cfRule>
    <cfRule type="expression" dxfId="1019" priority="1627">
      <formula>W320&gt;W292</formula>
    </cfRule>
  </conditionalFormatting>
  <conditionalFormatting sqref="W292">
    <cfRule type="expression" dxfId="1018" priority="1626">
      <formula>W320&gt;W292</formula>
    </cfRule>
  </conditionalFormatting>
  <conditionalFormatting sqref="W292">
    <cfRule type="expression" dxfId="1017" priority="1625">
      <formula>W292&gt;W291</formula>
    </cfRule>
  </conditionalFormatting>
  <conditionalFormatting sqref="Y292">
    <cfRule type="expression" dxfId="1016" priority="1620">
      <formula>Y327&gt;Y294+Y292</formula>
    </cfRule>
    <cfRule type="expression" dxfId="1015" priority="1623">
      <formula>Y320&gt;Y292</formula>
    </cfRule>
  </conditionalFormatting>
  <conditionalFormatting sqref="Y292">
    <cfRule type="expression" dxfId="1014" priority="1622">
      <formula>Y320&gt;Y292</formula>
    </cfRule>
  </conditionalFormatting>
  <conditionalFormatting sqref="Y292">
    <cfRule type="expression" dxfId="1013" priority="1621">
      <formula>Y292&gt;Y291</formula>
    </cfRule>
  </conditionalFormatting>
  <conditionalFormatting sqref="J112:AA112">
    <cfRule type="cellIs" dxfId="1012" priority="1619" operator="equal">
      <formula>0</formula>
    </cfRule>
  </conditionalFormatting>
  <conditionalFormatting sqref="AJ10">
    <cfRule type="cellIs" dxfId="1011" priority="1618" operator="equal">
      <formula>0</formula>
    </cfRule>
  </conditionalFormatting>
  <conditionalFormatting sqref="AJ8:AJ9">
    <cfRule type="cellIs" dxfId="1010" priority="1617" operator="equal">
      <formula>0</formula>
    </cfRule>
  </conditionalFormatting>
  <conditionalFormatting sqref="AJ413">
    <cfRule type="cellIs" dxfId="1009" priority="1615" operator="equal">
      <formula>0</formula>
    </cfRule>
  </conditionalFormatting>
  <conditionalFormatting sqref="AM413">
    <cfRule type="notContainsBlanks" dxfId="1008" priority="1616">
      <formula>LEN(TRIM(AM413))&gt;0</formula>
    </cfRule>
  </conditionalFormatting>
  <conditionalFormatting sqref="AK413">
    <cfRule type="notContainsBlanks" dxfId="1007" priority="1613">
      <formula>LEN(TRIM(AK413))&gt;0</formula>
    </cfRule>
  </conditionalFormatting>
  <conditionalFormatting sqref="J116:AA116">
    <cfRule type="expression" dxfId="1006" priority="1610">
      <formula>J117&gt;J116</formula>
    </cfRule>
  </conditionalFormatting>
  <conditionalFormatting sqref="D339:Y339">
    <cfRule type="expression" dxfId="1005" priority="1609">
      <formula>D339&gt;D331</formula>
    </cfRule>
  </conditionalFormatting>
  <conditionalFormatting sqref="D331:AI331">
    <cfRule type="expression" dxfId="1004" priority="1608">
      <formula>D339&gt;D331</formula>
    </cfRule>
  </conditionalFormatting>
  <conditionalFormatting sqref="D309:E309">
    <cfRule type="expression" dxfId="1003" priority="1607">
      <formula>D309&lt;&gt;D331</formula>
    </cfRule>
  </conditionalFormatting>
  <conditionalFormatting sqref="D331:E331">
    <cfRule type="expression" dxfId="1002" priority="1606">
      <formula>D309&lt;&gt;D331</formula>
    </cfRule>
  </conditionalFormatting>
  <conditionalFormatting sqref="J124:AA124">
    <cfRule type="expression" dxfId="1001" priority="1598">
      <formula>J124&gt;J123</formula>
    </cfRule>
  </conditionalFormatting>
  <conditionalFormatting sqref="J123:AA123">
    <cfRule type="expression" dxfId="1000" priority="1597">
      <formula>J124&gt;J123</formula>
    </cfRule>
  </conditionalFormatting>
  <conditionalFormatting sqref="J126:AA126">
    <cfRule type="expression" dxfId="999" priority="1596">
      <formula>J126&gt;(J124-J125)</formula>
    </cfRule>
  </conditionalFormatting>
  <conditionalFormatting sqref="J124:AA124">
    <cfRule type="expression" dxfId="998" priority="1595">
      <formula>J126&gt;(J124-J125)</formula>
    </cfRule>
  </conditionalFormatting>
  <conditionalFormatting sqref="M207">
    <cfRule type="expression" dxfId="997" priority="1593">
      <formula>M208&gt;M207</formula>
    </cfRule>
  </conditionalFormatting>
  <conditionalFormatting sqref="O207">
    <cfRule type="cellIs" dxfId="996" priority="1592" operator="equal">
      <formula>0</formula>
    </cfRule>
  </conditionalFormatting>
  <conditionalFormatting sqref="O207">
    <cfRule type="expression" dxfId="995" priority="1590">
      <formula>O208&gt;O207</formula>
    </cfRule>
  </conditionalFormatting>
  <conditionalFormatting sqref="Q207">
    <cfRule type="cellIs" dxfId="994" priority="1589" operator="equal">
      <formula>0</formula>
    </cfRule>
  </conditionalFormatting>
  <conditionalFormatting sqref="Q207">
    <cfRule type="expression" dxfId="993" priority="1587">
      <formula>Q208&gt;Q207</formula>
    </cfRule>
  </conditionalFormatting>
  <conditionalFormatting sqref="S207">
    <cfRule type="cellIs" dxfId="992" priority="1586" operator="equal">
      <formula>0</formula>
    </cfRule>
  </conditionalFormatting>
  <conditionalFormatting sqref="S207">
    <cfRule type="expression" dxfId="991" priority="1584">
      <formula>S208&gt;S207</formula>
    </cfRule>
  </conditionalFormatting>
  <conditionalFormatting sqref="U207">
    <cfRule type="cellIs" dxfId="990" priority="1583" operator="equal">
      <formula>0</formula>
    </cfRule>
  </conditionalFormatting>
  <conditionalFormatting sqref="U207">
    <cfRule type="expression" dxfId="989" priority="1581">
      <formula>U208&gt;U207</formula>
    </cfRule>
  </conditionalFormatting>
  <conditionalFormatting sqref="W207">
    <cfRule type="cellIs" dxfId="988" priority="1580" operator="equal">
      <formula>0</formula>
    </cfRule>
  </conditionalFormatting>
  <conditionalFormatting sqref="W207">
    <cfRule type="expression" dxfId="987" priority="1578">
      <formula>W208&gt;W207</formula>
    </cfRule>
  </conditionalFormatting>
  <conditionalFormatting sqref="Y207">
    <cfRule type="cellIs" dxfId="986" priority="1577" operator="equal">
      <formula>0</formula>
    </cfRule>
  </conditionalFormatting>
  <conditionalFormatting sqref="Y207">
    <cfRule type="expression" dxfId="985" priority="1575">
      <formula>Y208&gt;Y207</formula>
    </cfRule>
  </conditionalFormatting>
  <conditionalFormatting sqref="AC207 AE207 AG207 AI207">
    <cfRule type="cellIs" dxfId="984" priority="1574" operator="equal">
      <formula>0</formula>
    </cfRule>
  </conditionalFormatting>
  <conditionalFormatting sqref="AC207 AE207 AG207 AI207">
    <cfRule type="expression" dxfId="983" priority="1572">
      <formula>AC208&gt;AC207</formula>
    </cfRule>
  </conditionalFormatting>
  <conditionalFormatting sqref="M215">
    <cfRule type="cellIs" dxfId="982" priority="1571" operator="equal">
      <formula>0</formula>
    </cfRule>
  </conditionalFormatting>
  <conditionalFormatting sqref="M215">
    <cfRule type="expression" dxfId="981" priority="1569">
      <formula>M216&gt;M215</formula>
    </cfRule>
  </conditionalFormatting>
  <conditionalFormatting sqref="O215">
    <cfRule type="cellIs" dxfId="980" priority="1568" operator="equal">
      <formula>0</formula>
    </cfRule>
  </conditionalFormatting>
  <conditionalFormatting sqref="O215">
    <cfRule type="expression" dxfId="979" priority="1566">
      <formula>O216&gt;O215</formula>
    </cfRule>
  </conditionalFormatting>
  <conditionalFormatting sqref="Q215">
    <cfRule type="cellIs" dxfId="978" priority="1565" operator="equal">
      <formula>0</formula>
    </cfRule>
  </conditionalFormatting>
  <conditionalFormatting sqref="Q215">
    <cfRule type="expression" dxfId="977" priority="1563">
      <formula>Q216&gt;Q215</formula>
    </cfRule>
  </conditionalFormatting>
  <conditionalFormatting sqref="S215">
    <cfRule type="cellIs" dxfId="976" priority="1562" operator="equal">
      <formula>0</formula>
    </cfRule>
  </conditionalFormatting>
  <conditionalFormatting sqref="S215">
    <cfRule type="expression" dxfId="975" priority="1560">
      <formula>S216&gt;S215</formula>
    </cfRule>
  </conditionalFormatting>
  <conditionalFormatting sqref="U215">
    <cfRule type="cellIs" dxfId="974" priority="1559" operator="equal">
      <formula>0</formula>
    </cfRule>
  </conditionalFormatting>
  <conditionalFormatting sqref="U215">
    <cfRule type="expression" dxfId="973" priority="1557">
      <formula>U216&gt;U215</formula>
    </cfRule>
  </conditionalFormatting>
  <conditionalFormatting sqref="W215">
    <cfRule type="cellIs" dxfId="972" priority="1556" operator="equal">
      <formula>0</formula>
    </cfRule>
  </conditionalFormatting>
  <conditionalFormatting sqref="W215">
    <cfRule type="expression" dxfId="971" priority="1554">
      <formula>W216&gt;W215</formula>
    </cfRule>
  </conditionalFormatting>
  <conditionalFormatting sqref="Y215">
    <cfRule type="cellIs" dxfId="970" priority="1553" operator="equal">
      <formula>0</formula>
    </cfRule>
  </conditionalFormatting>
  <conditionalFormatting sqref="Y215">
    <cfRule type="expression" dxfId="969" priority="1551">
      <formula>Y216&gt;Y215</formula>
    </cfRule>
  </conditionalFormatting>
  <conditionalFormatting sqref="AC215 AE215 AG215 AI215">
    <cfRule type="cellIs" dxfId="968" priority="1550" operator="equal">
      <formula>0</formula>
    </cfRule>
  </conditionalFormatting>
  <conditionalFormatting sqref="AC215 AE215 AG215 AI215">
    <cfRule type="expression" dxfId="967" priority="1548">
      <formula>AC216&gt;AC215</formula>
    </cfRule>
  </conditionalFormatting>
  <conditionalFormatting sqref="M199:M200">
    <cfRule type="cellIs" dxfId="966" priority="1547" operator="equal">
      <formula>0</formula>
    </cfRule>
  </conditionalFormatting>
  <conditionalFormatting sqref="M200">
    <cfRule type="expression" dxfId="965" priority="1523">
      <formula>M200&lt;(M201+M202+M203)</formula>
    </cfRule>
    <cfRule type="expression" dxfId="964" priority="1546">
      <formula>M200&gt;M199</formula>
    </cfRule>
  </conditionalFormatting>
  <conditionalFormatting sqref="M199">
    <cfRule type="expression" dxfId="963" priority="1545">
      <formula>M200&gt;M199</formula>
    </cfRule>
  </conditionalFormatting>
  <conditionalFormatting sqref="O199">
    <cfRule type="cellIs" dxfId="962" priority="1544" operator="equal">
      <formula>0</formula>
    </cfRule>
  </conditionalFormatting>
  <conditionalFormatting sqref="O199">
    <cfRule type="expression" dxfId="961" priority="1542">
      <formula>O200&gt;O199</formula>
    </cfRule>
  </conditionalFormatting>
  <conditionalFormatting sqref="Q199">
    <cfRule type="cellIs" dxfId="960" priority="1541" operator="equal">
      <formula>0</formula>
    </cfRule>
  </conditionalFormatting>
  <conditionalFormatting sqref="Q199">
    <cfRule type="expression" dxfId="959" priority="1539">
      <formula>Q200&gt;Q199</formula>
    </cfRule>
  </conditionalFormatting>
  <conditionalFormatting sqref="S199">
    <cfRule type="cellIs" dxfId="958" priority="1538" operator="equal">
      <formula>0</formula>
    </cfRule>
  </conditionalFormatting>
  <conditionalFormatting sqref="S199">
    <cfRule type="expression" dxfId="957" priority="1536">
      <formula>S200&gt;S199</formula>
    </cfRule>
  </conditionalFormatting>
  <conditionalFormatting sqref="U199">
    <cfRule type="cellIs" dxfId="956" priority="1535" operator="equal">
      <formula>0</formula>
    </cfRule>
  </conditionalFormatting>
  <conditionalFormatting sqref="U199">
    <cfRule type="expression" dxfId="955" priority="1533">
      <formula>U200&gt;U199</formula>
    </cfRule>
  </conditionalFormatting>
  <conditionalFormatting sqref="W199">
    <cfRule type="cellIs" dxfId="954" priority="1532" operator="equal">
      <formula>0</formula>
    </cfRule>
  </conditionalFormatting>
  <conditionalFormatting sqref="W199">
    <cfRule type="expression" dxfId="953" priority="1530">
      <formula>W200&gt;W199</formula>
    </cfRule>
  </conditionalFormatting>
  <conditionalFormatting sqref="Y199">
    <cfRule type="cellIs" dxfId="952" priority="1529" operator="equal">
      <formula>0</formula>
    </cfRule>
  </conditionalFormatting>
  <conditionalFormatting sqref="Y199">
    <cfRule type="expression" dxfId="951" priority="1527">
      <formula>Y200&gt;Y199</formula>
    </cfRule>
  </conditionalFormatting>
  <conditionalFormatting sqref="AC199 AE199 AG199 AI199">
    <cfRule type="cellIs" dxfId="950" priority="1526" operator="equal">
      <formula>0</formula>
    </cfRule>
  </conditionalFormatting>
  <conditionalFormatting sqref="AC199 AE199 AG199 AI199">
    <cfRule type="expression" dxfId="949" priority="1524">
      <formula>AC200&gt;AC199</formula>
    </cfRule>
  </conditionalFormatting>
  <conditionalFormatting sqref="O201">
    <cfRule type="expression" dxfId="948" priority="1513">
      <formula>O200&lt;(O201+O202+O203)</formula>
    </cfRule>
    <cfRule type="expression" dxfId="947" priority="1519">
      <formula>(O203+O202+O201)&gt;O199</formula>
    </cfRule>
  </conditionalFormatting>
  <conditionalFormatting sqref="O202">
    <cfRule type="expression" dxfId="946" priority="1512">
      <formula>O200&lt;(O201+O202+O203)</formula>
    </cfRule>
    <cfRule type="expression" dxfId="945" priority="1518">
      <formula>(O203+O202+O201)&gt;O199</formula>
    </cfRule>
  </conditionalFormatting>
  <conditionalFormatting sqref="O203">
    <cfRule type="expression" dxfId="944" priority="1511">
      <formula>O200&lt;(O201+O202+O203)</formula>
    </cfRule>
    <cfRule type="expression" dxfId="943" priority="1517">
      <formula>(O203+O202+O201)&gt;O199</formula>
    </cfRule>
  </conditionalFormatting>
  <conditionalFormatting sqref="O200">
    <cfRule type="cellIs" dxfId="942" priority="1516" operator="equal">
      <formula>0</formula>
    </cfRule>
  </conditionalFormatting>
  <conditionalFormatting sqref="O200">
    <cfRule type="expression" dxfId="941" priority="1514">
      <formula>O200&lt;(O201+O202+O203)</formula>
    </cfRule>
    <cfRule type="expression" dxfId="940" priority="1515">
      <formula>O200&gt;O199</formula>
    </cfRule>
  </conditionalFormatting>
  <conditionalFormatting sqref="Q201">
    <cfRule type="expression" dxfId="939" priority="1504">
      <formula>Q200&lt;(Q201+Q202+Q203)</formula>
    </cfRule>
    <cfRule type="expression" dxfId="938" priority="1510">
      <formula>(Q203+Q202+Q201)&gt;Q199</formula>
    </cfRule>
  </conditionalFormatting>
  <conditionalFormatting sqref="Q202">
    <cfRule type="expression" dxfId="937" priority="1503">
      <formula>Q200&lt;(Q201+Q202+Q203)</formula>
    </cfRule>
    <cfRule type="expression" dxfId="936" priority="1509">
      <formula>(Q203+Q202+Q201)&gt;Q199</formula>
    </cfRule>
  </conditionalFormatting>
  <conditionalFormatting sqref="Q203">
    <cfRule type="expression" dxfId="935" priority="1502">
      <formula>Q200&lt;(Q201+Q202+Q203)</formula>
    </cfRule>
    <cfRule type="expression" dxfId="934" priority="1508">
      <formula>(Q203+Q202+Q201)&gt;Q199</formula>
    </cfRule>
  </conditionalFormatting>
  <conditionalFormatting sqref="Q200">
    <cfRule type="cellIs" dxfId="933" priority="1507" operator="equal">
      <formula>0</formula>
    </cfRule>
  </conditionalFormatting>
  <conditionalFormatting sqref="Q200">
    <cfRule type="expression" dxfId="932" priority="1505">
      <formula>Q200&lt;(Q201+Q202+Q203)</formula>
    </cfRule>
    <cfRule type="expression" dxfId="931" priority="1506">
      <formula>Q200&gt;Q199</formula>
    </cfRule>
  </conditionalFormatting>
  <conditionalFormatting sqref="S201">
    <cfRule type="expression" dxfId="930" priority="1495">
      <formula>S200&lt;(S201+S202+S203)</formula>
    </cfRule>
    <cfRule type="expression" dxfId="929" priority="1501">
      <formula>(S203+S202+S201)&gt;S199</formula>
    </cfRule>
  </conditionalFormatting>
  <conditionalFormatting sqref="S202">
    <cfRule type="expression" dxfId="928" priority="1494">
      <formula>S200&lt;(S201+S202+S203)</formula>
    </cfRule>
    <cfRule type="expression" dxfId="927" priority="1500">
      <formula>(S203+S202+S201)&gt;S199</formula>
    </cfRule>
  </conditionalFormatting>
  <conditionalFormatting sqref="S203">
    <cfRule type="expression" dxfId="926" priority="1493">
      <formula>S200&lt;(S201+S202+S203)</formula>
    </cfRule>
    <cfRule type="expression" dxfId="925" priority="1499">
      <formula>(S203+S202+S201)&gt;S199</formula>
    </cfRule>
  </conditionalFormatting>
  <conditionalFormatting sqref="S200">
    <cfRule type="cellIs" dxfId="924" priority="1498" operator="equal">
      <formula>0</formula>
    </cfRule>
  </conditionalFormatting>
  <conditionalFormatting sqref="S200">
    <cfRule type="expression" dxfId="923" priority="1496">
      <formula>S200&lt;(S201+S202+S203)</formula>
    </cfRule>
    <cfRule type="expression" dxfId="922" priority="1497">
      <formula>S200&gt;S199</formula>
    </cfRule>
  </conditionalFormatting>
  <conditionalFormatting sqref="U201">
    <cfRule type="expression" dxfId="921" priority="1486">
      <formula>U200&lt;(U201+U202+U203)</formula>
    </cfRule>
    <cfRule type="expression" dxfId="920" priority="1492">
      <formula>(U203+U202+U201)&gt;U199</formula>
    </cfRule>
  </conditionalFormatting>
  <conditionalFormatting sqref="U202">
    <cfRule type="expression" dxfId="919" priority="1485">
      <formula>U200&lt;(U201+U202+U203)</formula>
    </cfRule>
    <cfRule type="expression" dxfId="918" priority="1491">
      <formula>(U203+U202+U201)&gt;U199</formula>
    </cfRule>
  </conditionalFormatting>
  <conditionalFormatting sqref="U203">
    <cfRule type="expression" dxfId="917" priority="1484">
      <formula>U200&lt;(U201+U202+U203)</formula>
    </cfRule>
    <cfRule type="expression" dxfId="916" priority="1490">
      <formula>(U203+U202+U201)&gt;U199</formula>
    </cfRule>
  </conditionalFormatting>
  <conditionalFormatting sqref="U200">
    <cfRule type="cellIs" dxfId="915" priority="1489" operator="equal">
      <formula>0</formula>
    </cfRule>
  </conditionalFormatting>
  <conditionalFormatting sqref="U200">
    <cfRule type="expression" dxfId="914" priority="1487">
      <formula>U200&lt;(U201+U202+U203)</formula>
    </cfRule>
    <cfRule type="expression" dxfId="913" priority="1488">
      <formula>U200&gt;U199</formula>
    </cfRule>
  </conditionalFormatting>
  <conditionalFormatting sqref="W201">
    <cfRule type="expression" dxfId="912" priority="1477">
      <formula>W200&lt;(W201+W202+W203)</formula>
    </cfRule>
    <cfRule type="expression" dxfId="911" priority="1483">
      <formula>(W203+W202+W201)&gt;W199</formula>
    </cfRule>
  </conditionalFormatting>
  <conditionalFormatting sqref="W202">
    <cfRule type="expression" dxfId="910" priority="1476">
      <formula>W200&lt;(W201+W202+W203)</formula>
    </cfRule>
    <cfRule type="expression" dxfId="909" priority="1482">
      <formula>(W203+W202+W201)&gt;W199</formula>
    </cfRule>
  </conditionalFormatting>
  <conditionalFormatting sqref="W203">
    <cfRule type="expression" dxfId="908" priority="1475">
      <formula>W200&lt;(W201+W202+W203)</formula>
    </cfRule>
    <cfRule type="expression" dxfId="907" priority="1481">
      <formula>(W203+W202+W201)&gt;W199</formula>
    </cfRule>
  </conditionalFormatting>
  <conditionalFormatting sqref="W200">
    <cfRule type="cellIs" dxfId="906" priority="1480" operator="equal">
      <formula>0</formula>
    </cfRule>
  </conditionalFormatting>
  <conditionalFormatting sqref="W200">
    <cfRule type="expression" dxfId="905" priority="1478">
      <formula>W200&lt;(W201+W202+W203)</formula>
    </cfRule>
    <cfRule type="expression" dxfId="904" priority="1479">
      <formula>W200&gt;W199</formula>
    </cfRule>
  </conditionalFormatting>
  <conditionalFormatting sqref="Y201">
    <cfRule type="expression" dxfId="903" priority="1468">
      <formula>Y200&lt;(Y201+Y202+Y203)</formula>
    </cfRule>
    <cfRule type="expression" dxfId="902" priority="1474">
      <formula>(Y203+Y202+Y201)&gt;Y199</formula>
    </cfRule>
  </conditionalFormatting>
  <conditionalFormatting sqref="Y202">
    <cfRule type="expression" dxfId="901" priority="1467">
      <formula>Y200&lt;(Y201+Y202+Y203)</formula>
    </cfRule>
    <cfRule type="expression" dxfId="900" priority="1473">
      <formula>(Y203+Y202+Y201)&gt;Y199</formula>
    </cfRule>
  </conditionalFormatting>
  <conditionalFormatting sqref="Y203">
    <cfRule type="expression" dxfId="899" priority="1466">
      <formula>Y200&lt;(Y201+Y202+Y203)</formula>
    </cfRule>
    <cfRule type="expression" dxfId="898" priority="1472">
      <formula>(Y203+Y202+Y201)&gt;Y199</formula>
    </cfRule>
  </conditionalFormatting>
  <conditionalFormatting sqref="Y200">
    <cfRule type="cellIs" dxfId="897" priority="1471" operator="equal">
      <formula>0</formula>
    </cfRule>
  </conditionalFormatting>
  <conditionalFormatting sqref="Y200">
    <cfRule type="expression" dxfId="896" priority="1469">
      <formula>Y200&lt;(Y201+Y202+Y203)</formula>
    </cfRule>
    <cfRule type="expression" dxfId="895" priority="1470">
      <formula>Y200&gt;Y199</formula>
    </cfRule>
  </conditionalFormatting>
  <conditionalFormatting sqref="AC201 AE201 AG201 AI201">
    <cfRule type="expression" dxfId="894" priority="1459">
      <formula>AC200&lt;(AC201+AC202+AC203)</formula>
    </cfRule>
    <cfRule type="expression" dxfId="893" priority="1465">
      <formula>(AC203+AC202+AC201)&gt;AC199</formula>
    </cfRule>
  </conditionalFormatting>
  <conditionalFormatting sqref="AC202 AE202 AG202 AI202">
    <cfRule type="expression" dxfId="892" priority="1458">
      <formula>AC200&lt;(AC201+AC202+AC203)</formula>
    </cfRule>
    <cfRule type="expression" dxfId="891" priority="1464">
      <formula>(AC203+AC202+AC201)&gt;AC199</formula>
    </cfRule>
  </conditionalFormatting>
  <conditionalFormatting sqref="AC203 AE203 AG203 AI203">
    <cfRule type="expression" dxfId="890" priority="1457">
      <formula>AC200&lt;(AC201+AC202+AC203)</formula>
    </cfRule>
    <cfRule type="expression" dxfId="889" priority="1463">
      <formula>(AC203+AC202+AC201)&gt;AC199</formula>
    </cfRule>
  </conditionalFormatting>
  <conditionalFormatting sqref="AC200 AE200 AG200 AI200">
    <cfRule type="cellIs" dxfId="888" priority="1462" operator="equal">
      <formula>0</formula>
    </cfRule>
  </conditionalFormatting>
  <conditionalFormatting sqref="AC200 AE200 AG200 AI200">
    <cfRule type="expression" dxfId="887" priority="1460">
      <formula>AC200&lt;(AC201+AC202+AC203)</formula>
    </cfRule>
    <cfRule type="expression" dxfId="886" priority="1461">
      <formula>AC200&gt;AC199</formula>
    </cfRule>
  </conditionalFormatting>
  <conditionalFormatting sqref="M209">
    <cfRule type="expression" dxfId="885" priority="1450">
      <formula>M208&lt;(M209+M210+M211)</formula>
    </cfRule>
    <cfRule type="expression" dxfId="884" priority="1456">
      <formula>(M211+M210+M209)&gt;M207</formula>
    </cfRule>
  </conditionalFormatting>
  <conditionalFormatting sqref="M210">
    <cfRule type="expression" dxfId="883" priority="1449">
      <formula>M208&lt;(M209+M210+M211)</formula>
    </cfRule>
    <cfRule type="expression" dxfId="882" priority="1455">
      <formula>(M211+M210+M209)&gt;M207</formula>
    </cfRule>
  </conditionalFormatting>
  <conditionalFormatting sqref="M211">
    <cfRule type="expression" dxfId="881" priority="1448">
      <formula>M208&lt;(M209+M210+M211)</formula>
    </cfRule>
    <cfRule type="expression" dxfId="880" priority="1454">
      <formula>(M211+M210+M209)&gt;M207</formula>
    </cfRule>
  </conditionalFormatting>
  <conditionalFormatting sqref="M208">
    <cfRule type="cellIs" dxfId="879" priority="1453" operator="equal">
      <formula>0</formula>
    </cfRule>
  </conditionalFormatting>
  <conditionalFormatting sqref="M208">
    <cfRule type="expression" dxfId="878" priority="1451">
      <formula>M208&lt;(M209+M210+M211)</formula>
    </cfRule>
    <cfRule type="expression" dxfId="877" priority="1452">
      <formula>M208&gt;M207</formula>
    </cfRule>
  </conditionalFormatting>
  <conditionalFormatting sqref="O209">
    <cfRule type="expression" dxfId="876" priority="1441">
      <formula>O208&lt;(O209+O210+O211)</formula>
    </cfRule>
    <cfRule type="expression" dxfId="875" priority="1447">
      <formula>(O211+O210+O209)&gt;O207</formula>
    </cfRule>
  </conditionalFormatting>
  <conditionalFormatting sqref="O210">
    <cfRule type="expression" dxfId="874" priority="1440">
      <formula>O208&lt;(O209+O210+O211)</formula>
    </cfRule>
    <cfRule type="expression" dxfId="873" priority="1446">
      <formula>(O211+O210+O209)&gt;O207</formula>
    </cfRule>
  </conditionalFormatting>
  <conditionalFormatting sqref="O211">
    <cfRule type="expression" dxfId="872" priority="1439">
      <formula>O208&lt;(O209+O210+O211)</formula>
    </cfRule>
    <cfRule type="expression" dxfId="871" priority="1445">
      <formula>(O211+O210+O209)&gt;O207</formula>
    </cfRule>
  </conditionalFormatting>
  <conditionalFormatting sqref="O208">
    <cfRule type="cellIs" dxfId="870" priority="1444" operator="equal">
      <formula>0</formula>
    </cfRule>
  </conditionalFormatting>
  <conditionalFormatting sqref="O208">
    <cfRule type="expression" dxfId="869" priority="1442">
      <formula>O208&lt;(O209+O210+O211)</formula>
    </cfRule>
    <cfRule type="expression" dxfId="868" priority="1443">
      <formula>O208&gt;O207</formula>
    </cfRule>
  </conditionalFormatting>
  <conditionalFormatting sqref="Q209">
    <cfRule type="expression" dxfId="867" priority="1432">
      <formula>Q208&lt;(Q209+Q210+Q211)</formula>
    </cfRule>
    <cfRule type="expression" dxfId="866" priority="1438">
      <formula>(Q211+Q210+Q209)&gt;Q207</formula>
    </cfRule>
  </conditionalFormatting>
  <conditionalFormatting sqref="Q210">
    <cfRule type="expression" dxfId="865" priority="1431">
      <formula>Q208&lt;(Q209+Q210+Q211)</formula>
    </cfRule>
    <cfRule type="expression" dxfId="864" priority="1437">
      <formula>(Q211+Q210+Q209)&gt;Q207</formula>
    </cfRule>
  </conditionalFormatting>
  <conditionalFormatting sqref="Q211">
    <cfRule type="expression" dxfId="863" priority="1430">
      <formula>Q208&lt;(Q209+Q210+Q211)</formula>
    </cfRule>
    <cfRule type="expression" dxfId="862" priority="1436">
      <formula>(Q211+Q210+Q209)&gt;Q207</formula>
    </cfRule>
  </conditionalFormatting>
  <conditionalFormatting sqref="Q208">
    <cfRule type="cellIs" dxfId="861" priority="1435" operator="equal">
      <formula>0</formula>
    </cfRule>
  </conditionalFormatting>
  <conditionalFormatting sqref="Q208">
    <cfRule type="expression" dxfId="860" priority="1433">
      <formula>Q208&lt;(Q209+Q210+Q211)</formula>
    </cfRule>
    <cfRule type="expression" dxfId="859" priority="1434">
      <formula>Q208&gt;Q207</formula>
    </cfRule>
  </conditionalFormatting>
  <conditionalFormatting sqref="S209">
    <cfRule type="expression" dxfId="858" priority="1423">
      <formula>S208&lt;(S209+S210+S211)</formula>
    </cfRule>
    <cfRule type="expression" dxfId="857" priority="1429">
      <formula>(S211+S210+S209)&gt;S207</formula>
    </cfRule>
  </conditionalFormatting>
  <conditionalFormatting sqref="S210">
    <cfRule type="expression" dxfId="856" priority="1422">
      <formula>S208&lt;(S209+S210+S211)</formula>
    </cfRule>
    <cfRule type="expression" dxfId="855" priority="1428">
      <formula>(S211+S210+S209)&gt;S207</formula>
    </cfRule>
  </conditionalFormatting>
  <conditionalFormatting sqref="S211">
    <cfRule type="expression" dxfId="854" priority="1421">
      <formula>S208&lt;(S209+S210+S211)</formula>
    </cfRule>
    <cfRule type="expression" dxfId="853" priority="1427">
      <formula>(S211+S210+S209)&gt;S207</formula>
    </cfRule>
  </conditionalFormatting>
  <conditionalFormatting sqref="S208">
    <cfRule type="cellIs" dxfId="852" priority="1426" operator="equal">
      <formula>0</formula>
    </cfRule>
  </conditionalFormatting>
  <conditionalFormatting sqref="S208">
    <cfRule type="expression" dxfId="851" priority="1424">
      <formula>S208&lt;(S209+S210+S211)</formula>
    </cfRule>
    <cfRule type="expression" dxfId="850" priority="1425">
      <formula>S208&gt;S207</formula>
    </cfRule>
  </conditionalFormatting>
  <conditionalFormatting sqref="U209">
    <cfRule type="expression" dxfId="849" priority="1414">
      <formula>U208&lt;(U209+U210+U211)</formula>
    </cfRule>
    <cfRule type="expression" dxfId="848" priority="1420">
      <formula>(U211+U210+U209)&gt;U207</formula>
    </cfRule>
  </conditionalFormatting>
  <conditionalFormatting sqref="U210">
    <cfRule type="expression" dxfId="847" priority="1413">
      <formula>U208&lt;(U209+U210+U211)</formula>
    </cfRule>
    <cfRule type="expression" dxfId="846" priority="1419">
      <formula>(U211+U210+U209)&gt;U207</formula>
    </cfRule>
  </conditionalFormatting>
  <conditionalFormatting sqref="U211">
    <cfRule type="expression" dxfId="845" priority="1412">
      <formula>U208&lt;(U209+U210+U211)</formula>
    </cfRule>
    <cfRule type="expression" dxfId="844" priority="1418">
      <formula>(U211+U210+U209)&gt;U207</formula>
    </cfRule>
  </conditionalFormatting>
  <conditionalFormatting sqref="U208">
    <cfRule type="cellIs" dxfId="843" priority="1417" operator="equal">
      <formula>0</formula>
    </cfRule>
  </conditionalFormatting>
  <conditionalFormatting sqref="U208">
    <cfRule type="expression" dxfId="842" priority="1415">
      <formula>U208&lt;(U209+U210+U211)</formula>
    </cfRule>
    <cfRule type="expression" dxfId="841" priority="1416">
      <formula>U208&gt;U207</formula>
    </cfRule>
  </conditionalFormatting>
  <conditionalFormatting sqref="W209">
    <cfRule type="expression" dxfId="840" priority="1405">
      <formula>W208&lt;(W209+W210+W211)</formula>
    </cfRule>
    <cfRule type="expression" dxfId="839" priority="1411">
      <formula>(W211+W210+W209)&gt;W207</formula>
    </cfRule>
  </conditionalFormatting>
  <conditionalFormatting sqref="W210">
    <cfRule type="expression" dxfId="838" priority="1404">
      <formula>W208&lt;(W209+W210+W211)</formula>
    </cfRule>
    <cfRule type="expression" dxfId="837" priority="1410">
      <formula>(W211+W210+W209)&gt;W207</formula>
    </cfRule>
  </conditionalFormatting>
  <conditionalFormatting sqref="W211">
    <cfRule type="expression" dxfId="836" priority="1403">
      <formula>W208&lt;(W209+W210+W211)</formula>
    </cfRule>
    <cfRule type="expression" dxfId="835" priority="1409">
      <formula>(W211+W210+W209)&gt;W207</formula>
    </cfRule>
  </conditionalFormatting>
  <conditionalFormatting sqref="W208">
    <cfRule type="cellIs" dxfId="834" priority="1408" operator="equal">
      <formula>0</formula>
    </cfRule>
  </conditionalFormatting>
  <conditionalFormatting sqref="W208">
    <cfRule type="expression" dxfId="833" priority="1406">
      <formula>W208&lt;(W209+W210+W211)</formula>
    </cfRule>
    <cfRule type="expression" dxfId="832" priority="1407">
      <formula>W208&gt;W207</formula>
    </cfRule>
  </conditionalFormatting>
  <conditionalFormatting sqref="Y209">
    <cfRule type="expression" dxfId="831" priority="1396">
      <formula>Y208&lt;(Y209+Y210+Y211)</formula>
    </cfRule>
    <cfRule type="expression" dxfId="830" priority="1402">
      <formula>(Y211+Y210+Y209)&gt;Y207</formula>
    </cfRule>
  </conditionalFormatting>
  <conditionalFormatting sqref="Y210">
    <cfRule type="expression" dxfId="829" priority="1395">
      <formula>Y208&lt;(Y209+Y210+Y211)</formula>
    </cfRule>
    <cfRule type="expression" dxfId="828" priority="1401">
      <formula>(Y211+Y210+Y209)&gt;Y207</formula>
    </cfRule>
  </conditionalFormatting>
  <conditionalFormatting sqref="Y211">
    <cfRule type="expression" dxfId="827" priority="1394">
      <formula>Y208&lt;(Y209+Y210+Y211)</formula>
    </cfRule>
    <cfRule type="expression" dxfId="826" priority="1400">
      <formula>(Y211+Y210+Y209)&gt;Y207</formula>
    </cfRule>
  </conditionalFormatting>
  <conditionalFormatting sqref="Y208">
    <cfRule type="cellIs" dxfId="825" priority="1399" operator="equal">
      <formula>0</formula>
    </cfRule>
  </conditionalFormatting>
  <conditionalFormatting sqref="Y208">
    <cfRule type="expression" dxfId="824" priority="1397">
      <formula>Y208&lt;(Y209+Y210+Y211)</formula>
    </cfRule>
    <cfRule type="expression" dxfId="823" priority="1398">
      <formula>Y208&gt;Y207</formula>
    </cfRule>
  </conditionalFormatting>
  <conditionalFormatting sqref="AC209 AE209 AG209 AI209">
    <cfRule type="expression" dxfId="822" priority="1387">
      <formula>AC208&lt;(AC209+AC210+AC211)</formula>
    </cfRule>
    <cfRule type="expression" dxfId="821" priority="1393">
      <formula>(AC211+AC210+AC209)&gt;AC207</formula>
    </cfRule>
  </conditionalFormatting>
  <conditionalFormatting sqref="AC210 AE210 AG210 AI210">
    <cfRule type="expression" dxfId="820" priority="1386">
      <formula>AC208&lt;(AC209+AC210+AC211)</formula>
    </cfRule>
    <cfRule type="expression" dxfId="819" priority="1392">
      <formula>(AC211+AC210+AC209)&gt;AC207</formula>
    </cfRule>
  </conditionalFormatting>
  <conditionalFormatting sqref="AC211 AE211 AG211 AI211">
    <cfRule type="expression" dxfId="818" priority="1385">
      <formula>AC208&lt;(AC209+AC210+AC211)</formula>
    </cfRule>
    <cfRule type="expression" dxfId="817" priority="1391">
      <formula>(AC211+AC210+AC209)&gt;AC207</formula>
    </cfRule>
  </conditionalFormatting>
  <conditionalFormatting sqref="AC208 AE208 AG208 AI208">
    <cfRule type="cellIs" dxfId="816" priority="1390" operator="equal">
      <formula>0</formula>
    </cfRule>
  </conditionalFormatting>
  <conditionalFormatting sqref="AC208 AE208 AG208 AI208">
    <cfRule type="expression" dxfId="815" priority="1388">
      <formula>AC208&lt;(AC209+AC210+AC211)</formula>
    </cfRule>
    <cfRule type="expression" dxfId="814" priority="1389">
      <formula>AC208&gt;AC207</formula>
    </cfRule>
  </conditionalFormatting>
  <conditionalFormatting sqref="M217">
    <cfRule type="expression" dxfId="813" priority="1378">
      <formula>M216&lt;(M217+M218+M219)</formula>
    </cfRule>
    <cfRule type="expression" dxfId="812" priority="1384">
      <formula>(M219+M218+M217)&gt;M215</formula>
    </cfRule>
  </conditionalFormatting>
  <conditionalFormatting sqref="M218">
    <cfRule type="expression" dxfId="811" priority="1377">
      <formula>M216&lt;(M217+M218+M219)</formula>
    </cfRule>
    <cfRule type="expression" dxfId="810" priority="1383">
      <formula>(M219+M218+M217)&gt;M215</formula>
    </cfRule>
  </conditionalFormatting>
  <conditionalFormatting sqref="M219">
    <cfRule type="expression" dxfId="809" priority="1376">
      <formula>M216&lt;(M217+M218+M219)</formula>
    </cfRule>
    <cfRule type="expression" dxfId="808" priority="1382">
      <formula>(M219+M218+M217)&gt;M215</formula>
    </cfRule>
  </conditionalFormatting>
  <conditionalFormatting sqref="M216">
    <cfRule type="cellIs" dxfId="807" priority="1381" operator="equal">
      <formula>0</formula>
    </cfRule>
  </conditionalFormatting>
  <conditionalFormatting sqref="M216">
    <cfRule type="expression" dxfId="806" priority="1379">
      <formula>M216&lt;(M217+M218+M219)</formula>
    </cfRule>
    <cfRule type="expression" dxfId="805" priority="1380">
      <formula>M216&gt;M215</formula>
    </cfRule>
  </conditionalFormatting>
  <conditionalFormatting sqref="O217">
    <cfRule type="expression" dxfId="804" priority="1369">
      <formula>O216&lt;(O217+O218+O219)</formula>
    </cfRule>
    <cfRule type="expression" dxfId="803" priority="1375">
      <formula>(O219+O218+O217)&gt;O215</formula>
    </cfRule>
  </conditionalFormatting>
  <conditionalFormatting sqref="O218">
    <cfRule type="expression" dxfId="802" priority="1368">
      <formula>O216&lt;(O217+O218+O219)</formula>
    </cfRule>
    <cfRule type="expression" dxfId="801" priority="1374">
      <formula>(O219+O218+O217)&gt;O215</formula>
    </cfRule>
  </conditionalFormatting>
  <conditionalFormatting sqref="O219">
    <cfRule type="expression" dxfId="800" priority="1367">
      <formula>O216&lt;(O217+O218+O219)</formula>
    </cfRule>
    <cfRule type="expression" dxfId="799" priority="1373">
      <formula>(O219+O218+O217)&gt;O215</formula>
    </cfRule>
  </conditionalFormatting>
  <conditionalFormatting sqref="O216">
    <cfRule type="cellIs" dxfId="798" priority="1372" operator="equal">
      <formula>0</formula>
    </cfRule>
  </conditionalFormatting>
  <conditionalFormatting sqref="O216">
    <cfRule type="expression" dxfId="797" priority="1370">
      <formula>O216&lt;(O217+O218+O219)</formula>
    </cfRule>
    <cfRule type="expression" dxfId="796" priority="1371">
      <formula>O216&gt;O215</formula>
    </cfRule>
  </conditionalFormatting>
  <conditionalFormatting sqref="Q217">
    <cfRule type="expression" dxfId="795" priority="1360">
      <formula>Q216&lt;(Q217+Q218+Q219)</formula>
    </cfRule>
    <cfRule type="expression" dxfId="794" priority="1366">
      <formula>(Q219+Q218+Q217)&gt;Q215</formula>
    </cfRule>
  </conditionalFormatting>
  <conditionalFormatting sqref="Q218">
    <cfRule type="expression" dxfId="793" priority="1359">
      <formula>Q216&lt;(Q217+Q218+Q219)</formula>
    </cfRule>
    <cfRule type="expression" dxfId="792" priority="1365">
      <formula>(Q219+Q218+Q217)&gt;Q215</formula>
    </cfRule>
  </conditionalFormatting>
  <conditionalFormatting sqref="Q219">
    <cfRule type="expression" dxfId="791" priority="1358">
      <formula>Q216&lt;(Q217+Q218+Q219)</formula>
    </cfRule>
    <cfRule type="expression" dxfId="790" priority="1364">
      <formula>(Q219+Q218+Q217)&gt;Q215</formula>
    </cfRule>
  </conditionalFormatting>
  <conditionalFormatting sqref="Q216">
    <cfRule type="cellIs" dxfId="789" priority="1363" operator="equal">
      <formula>0</formula>
    </cfRule>
  </conditionalFormatting>
  <conditionalFormatting sqref="Q216">
    <cfRule type="expression" dxfId="788" priority="1361">
      <formula>Q216&lt;(Q217+Q218+Q219)</formula>
    </cfRule>
    <cfRule type="expression" dxfId="787" priority="1362">
      <formula>Q216&gt;Q215</formula>
    </cfRule>
  </conditionalFormatting>
  <conditionalFormatting sqref="S217">
    <cfRule type="expression" dxfId="786" priority="1351">
      <formula>S216&lt;(S217+S218+S219)</formula>
    </cfRule>
    <cfRule type="expression" dxfId="785" priority="1357">
      <formula>(S219+S218+S217)&gt;S215</formula>
    </cfRule>
  </conditionalFormatting>
  <conditionalFormatting sqref="S218">
    <cfRule type="expression" dxfId="784" priority="1350">
      <formula>S216&lt;(S217+S218+S219)</formula>
    </cfRule>
    <cfRule type="expression" dxfId="783" priority="1356">
      <formula>(S219+S218+S217)&gt;S215</formula>
    </cfRule>
  </conditionalFormatting>
  <conditionalFormatting sqref="S219">
    <cfRule type="expression" dxfId="782" priority="1349">
      <formula>S216&lt;(S217+S218+S219)</formula>
    </cfRule>
    <cfRule type="expression" dxfId="781" priority="1355">
      <formula>(S219+S218+S217)&gt;S215</formula>
    </cfRule>
  </conditionalFormatting>
  <conditionalFormatting sqref="S216">
    <cfRule type="cellIs" dxfId="780" priority="1354" operator="equal">
      <formula>0</formula>
    </cfRule>
  </conditionalFormatting>
  <conditionalFormatting sqref="S216">
    <cfRule type="expression" dxfId="779" priority="1352">
      <formula>S216&lt;(S217+S218+S219)</formula>
    </cfRule>
    <cfRule type="expression" dxfId="778" priority="1353">
      <formula>S216&gt;S215</formula>
    </cfRule>
  </conditionalFormatting>
  <conditionalFormatting sqref="U217">
    <cfRule type="expression" dxfId="777" priority="1342">
      <formula>U216&lt;(U217+U218+U219)</formula>
    </cfRule>
    <cfRule type="expression" dxfId="776" priority="1348">
      <formula>(U219+U218+U217)&gt;U215</formula>
    </cfRule>
  </conditionalFormatting>
  <conditionalFormatting sqref="U218">
    <cfRule type="expression" dxfId="775" priority="1341">
      <formula>U216&lt;(U217+U218+U219)</formula>
    </cfRule>
    <cfRule type="expression" dxfId="774" priority="1347">
      <formula>(U219+U218+U217)&gt;U215</formula>
    </cfRule>
  </conditionalFormatting>
  <conditionalFormatting sqref="U219">
    <cfRule type="expression" dxfId="773" priority="1340">
      <formula>U216&lt;(U217+U218+U219)</formula>
    </cfRule>
    <cfRule type="expression" dxfId="772" priority="1346">
      <formula>(U219+U218+U217)&gt;U215</formula>
    </cfRule>
  </conditionalFormatting>
  <conditionalFormatting sqref="U216">
    <cfRule type="cellIs" dxfId="771" priority="1345" operator="equal">
      <formula>0</formula>
    </cfRule>
  </conditionalFormatting>
  <conditionalFormatting sqref="U216">
    <cfRule type="expression" dxfId="770" priority="1343">
      <formula>U216&lt;(U217+U218+U219)</formula>
    </cfRule>
    <cfRule type="expression" dxfId="769" priority="1344">
      <formula>U216&gt;U215</formula>
    </cfRule>
  </conditionalFormatting>
  <conditionalFormatting sqref="W217">
    <cfRule type="expression" dxfId="768" priority="1333">
      <formula>W216&lt;(W217+W218+W219)</formula>
    </cfRule>
    <cfRule type="expression" dxfId="767" priority="1339">
      <formula>(W219+W218+W217)&gt;W215</formula>
    </cfRule>
  </conditionalFormatting>
  <conditionalFormatting sqref="W218">
    <cfRule type="expression" dxfId="766" priority="1332">
      <formula>W216&lt;(W217+W218+W219)</formula>
    </cfRule>
    <cfRule type="expression" dxfId="765" priority="1338">
      <formula>(W219+W218+W217)&gt;W215</formula>
    </cfRule>
  </conditionalFormatting>
  <conditionalFormatting sqref="W219">
    <cfRule type="expression" dxfId="764" priority="1331">
      <formula>W216&lt;(W217+W218+W219)</formula>
    </cfRule>
    <cfRule type="expression" dxfId="763" priority="1337">
      <formula>(W219+W218+W217)&gt;W215</formula>
    </cfRule>
  </conditionalFormatting>
  <conditionalFormatting sqref="W216">
    <cfRule type="cellIs" dxfId="762" priority="1336" operator="equal">
      <formula>0</formula>
    </cfRule>
  </conditionalFormatting>
  <conditionalFormatting sqref="W216">
    <cfRule type="expression" dxfId="761" priority="1334">
      <formula>W216&lt;(W217+W218+W219)</formula>
    </cfRule>
    <cfRule type="expression" dxfId="760" priority="1335">
      <formula>W216&gt;W215</formula>
    </cfRule>
  </conditionalFormatting>
  <conditionalFormatting sqref="Y217">
    <cfRule type="expression" dxfId="759" priority="1324">
      <formula>Y216&lt;(Y217+Y218+Y219)</formula>
    </cfRule>
    <cfRule type="expression" dxfId="758" priority="1330">
      <formula>(Y219+Y218+Y217)&gt;Y215</formula>
    </cfRule>
  </conditionalFormatting>
  <conditionalFormatting sqref="Y218">
    <cfRule type="expression" dxfId="757" priority="1323">
      <formula>Y216&lt;(Y217+Y218+Y219)</formula>
    </cfRule>
    <cfRule type="expression" dxfId="756" priority="1329">
      <formula>(Y219+Y218+Y217)&gt;Y215</formula>
    </cfRule>
  </conditionalFormatting>
  <conditionalFormatting sqref="Y219">
    <cfRule type="expression" dxfId="755" priority="1322">
      <formula>Y216&lt;(Y217+Y218+Y219)</formula>
    </cfRule>
    <cfRule type="expression" dxfId="754" priority="1328">
      <formula>(Y219+Y218+Y217)&gt;Y215</formula>
    </cfRule>
  </conditionalFormatting>
  <conditionalFormatting sqref="Y216">
    <cfRule type="cellIs" dxfId="753" priority="1327" operator="equal">
      <formula>0</formula>
    </cfRule>
  </conditionalFormatting>
  <conditionalFormatting sqref="Y216">
    <cfRule type="expression" dxfId="752" priority="1325">
      <formula>Y216&lt;(Y217+Y218+Y219)</formula>
    </cfRule>
    <cfRule type="expression" dxfId="751" priority="1326">
      <formula>Y216&gt;Y215</formula>
    </cfRule>
  </conditionalFormatting>
  <conditionalFormatting sqref="AC217 AE217 AG217 AI217">
    <cfRule type="expression" dxfId="750" priority="1315">
      <formula>AC216&lt;(AC217+AC218+AC219)</formula>
    </cfRule>
    <cfRule type="expression" dxfId="749" priority="1321">
      <formula>(AC219+AC218+AC217)&gt;AC215</formula>
    </cfRule>
  </conditionalFormatting>
  <conditionalFormatting sqref="AC218 AE218 AG218 AI218">
    <cfRule type="expression" dxfId="748" priority="1314">
      <formula>AC216&lt;(AC217+AC218+AC219)</formula>
    </cfRule>
    <cfRule type="expression" dxfId="747" priority="1320">
      <formula>(AC219+AC218+AC217)&gt;AC215</formula>
    </cfRule>
  </conditionalFormatting>
  <conditionalFormatting sqref="AC219 AE219 AG219 AI219">
    <cfRule type="expression" dxfId="746" priority="1313">
      <formula>AC216&lt;(AC217+AC218+AC219)</formula>
    </cfRule>
    <cfRule type="expression" dxfId="745" priority="1319">
      <formula>(AC219+AC218+AC217)&gt;AC215</formula>
    </cfRule>
  </conditionalFormatting>
  <conditionalFormatting sqref="AC216 AE216 AG216 AI216">
    <cfRule type="cellIs" dxfId="744" priority="1318" operator="equal">
      <formula>0</formula>
    </cfRule>
  </conditionalFormatting>
  <conditionalFormatting sqref="AC216 AE216 AG216 AI216">
    <cfRule type="expression" dxfId="743" priority="1316">
      <formula>AC216&lt;(AC217+AC218+AC219)</formula>
    </cfRule>
    <cfRule type="expression" dxfId="742" priority="1317">
      <formula>AC216&gt;AC215</formula>
    </cfRule>
  </conditionalFormatting>
  <conditionalFormatting sqref="F44:Y44 AB44:AI44">
    <cfRule type="cellIs" dxfId="741" priority="1311" operator="equal">
      <formula>0</formula>
    </cfRule>
  </conditionalFormatting>
  <conditionalFormatting sqref="J139:AA139">
    <cfRule type="expression" dxfId="740" priority="3256">
      <formula>J137&gt;J139</formula>
    </cfRule>
  </conditionalFormatting>
  <conditionalFormatting sqref="AK66:AK67">
    <cfRule type="notContainsBlanks" dxfId="739" priority="1309">
      <formula>LEN(TRIM(AK66))&gt;0</formula>
    </cfRule>
  </conditionalFormatting>
  <conditionalFormatting sqref="AM70">
    <cfRule type="notContainsBlanks" dxfId="738" priority="1307">
      <formula>LEN(TRIM(AM70))&gt;0</formula>
    </cfRule>
  </conditionalFormatting>
  <conditionalFormatting sqref="AM66:AM67 AM70:AM71">
    <cfRule type="notContainsBlanks" dxfId="737" priority="1306">
      <formula>LEN(TRIM(AM66))&gt;0</formula>
    </cfRule>
  </conditionalFormatting>
  <conditionalFormatting sqref="AL66">
    <cfRule type="notContainsBlanks" dxfId="736" priority="1310">
      <formula>LEN(TRIM(AL66))&gt;0</formula>
    </cfRule>
  </conditionalFormatting>
  <conditionalFormatting sqref="AJ66:AJ67">
    <cfRule type="cellIs" dxfId="735" priority="1300" operator="equal">
      <formula>0</formula>
    </cfRule>
  </conditionalFormatting>
  <conditionalFormatting sqref="AK76:AK77">
    <cfRule type="notContainsBlanks" dxfId="734" priority="1297">
      <formula>LEN(TRIM(AK76))&gt;0</formula>
    </cfRule>
  </conditionalFormatting>
  <conditionalFormatting sqref="AM74">
    <cfRule type="notContainsBlanks" dxfId="733" priority="1296">
      <formula>LEN(TRIM(AM74))&gt;0</formula>
    </cfRule>
  </conditionalFormatting>
  <conditionalFormatting sqref="AM74:AM77">
    <cfRule type="notContainsBlanks" dxfId="732" priority="1295">
      <formula>LEN(TRIM(AM74))&gt;0</formula>
    </cfRule>
  </conditionalFormatting>
  <conditionalFormatting sqref="AK80:AK81">
    <cfRule type="notContainsBlanks" dxfId="731" priority="1289">
      <formula>LEN(TRIM(AK80))&gt;0</formula>
    </cfRule>
  </conditionalFormatting>
  <conditionalFormatting sqref="AM78">
    <cfRule type="notContainsBlanks" dxfId="730" priority="1288">
      <formula>LEN(TRIM(AM78))&gt;0</formula>
    </cfRule>
  </conditionalFormatting>
  <conditionalFormatting sqref="AM78:AM81">
    <cfRule type="notContainsBlanks" dxfId="729" priority="1287">
      <formula>LEN(TRIM(AM78))&gt;0</formula>
    </cfRule>
  </conditionalFormatting>
  <conditionalFormatting sqref="AK88:AK89">
    <cfRule type="notContainsBlanks" dxfId="728" priority="1280">
      <formula>LEN(TRIM(AK88))&gt;0</formula>
    </cfRule>
  </conditionalFormatting>
  <conditionalFormatting sqref="AM86">
    <cfRule type="notContainsBlanks" dxfId="727" priority="1279">
      <formula>LEN(TRIM(AM86))&gt;0</formula>
    </cfRule>
  </conditionalFormatting>
  <conditionalFormatting sqref="AM86:AM89">
    <cfRule type="notContainsBlanks" dxfId="726" priority="1278">
      <formula>LEN(TRIM(AM86))&gt;0</formula>
    </cfRule>
  </conditionalFormatting>
  <conditionalFormatting sqref="AK92:AK93">
    <cfRule type="notContainsBlanks" dxfId="725" priority="1271">
      <formula>LEN(TRIM(AK92))&gt;0</formula>
    </cfRule>
  </conditionalFormatting>
  <conditionalFormatting sqref="AM90">
    <cfRule type="notContainsBlanks" dxfId="724" priority="1270">
      <formula>LEN(TRIM(AM90))&gt;0</formula>
    </cfRule>
  </conditionalFormatting>
  <conditionalFormatting sqref="AM90:AM93">
    <cfRule type="notContainsBlanks" dxfId="723" priority="1269">
      <formula>LEN(TRIM(AM90))&gt;0</formula>
    </cfRule>
  </conditionalFormatting>
  <conditionalFormatting sqref="AK96:AK97">
    <cfRule type="notContainsBlanks" dxfId="722" priority="1262">
      <formula>LEN(TRIM(AK96))&gt;0</formula>
    </cfRule>
  </conditionalFormatting>
  <conditionalFormatting sqref="AM94">
    <cfRule type="notContainsBlanks" dxfId="721" priority="1261">
      <formula>LEN(TRIM(AM94))&gt;0</formula>
    </cfRule>
  </conditionalFormatting>
  <conditionalFormatting sqref="AM94:AM97">
    <cfRule type="notContainsBlanks" dxfId="720" priority="1260">
      <formula>LEN(TRIM(AM94))&gt;0</formula>
    </cfRule>
  </conditionalFormatting>
  <conditionalFormatting sqref="AK100:AK101">
    <cfRule type="notContainsBlanks" dxfId="719" priority="1253">
      <formula>LEN(TRIM(AK100))&gt;0</formula>
    </cfRule>
  </conditionalFormatting>
  <conditionalFormatting sqref="AM98">
    <cfRule type="notContainsBlanks" dxfId="718" priority="1252">
      <formula>LEN(TRIM(AM98))&gt;0</formula>
    </cfRule>
  </conditionalFormatting>
  <conditionalFormatting sqref="AM98:AM101">
    <cfRule type="notContainsBlanks" dxfId="717" priority="1251">
      <formula>LEN(TRIM(AM98))&gt;0</formula>
    </cfRule>
  </conditionalFormatting>
  <conditionalFormatting sqref="AK104:AK105">
    <cfRule type="notContainsBlanks" dxfId="716" priority="1244">
      <formula>LEN(TRIM(AK104))&gt;0</formula>
    </cfRule>
  </conditionalFormatting>
  <conditionalFormatting sqref="AM102">
    <cfRule type="notContainsBlanks" dxfId="715" priority="1243">
      <formula>LEN(TRIM(AM102))&gt;0</formula>
    </cfRule>
  </conditionalFormatting>
  <conditionalFormatting sqref="AM102:AM105">
    <cfRule type="notContainsBlanks" dxfId="714" priority="1242">
      <formula>LEN(TRIM(AM102))&gt;0</formula>
    </cfRule>
  </conditionalFormatting>
  <conditionalFormatting sqref="AK84:AK85">
    <cfRule type="notContainsBlanks" dxfId="713" priority="1217">
      <formula>LEN(TRIM(AK84))&gt;0</formula>
    </cfRule>
  </conditionalFormatting>
  <conditionalFormatting sqref="AM82">
    <cfRule type="notContainsBlanks" dxfId="712" priority="1216">
      <formula>LEN(TRIM(AM82))&gt;0</formula>
    </cfRule>
  </conditionalFormatting>
  <conditionalFormatting sqref="AM82:AM85">
    <cfRule type="notContainsBlanks" dxfId="711" priority="1215">
      <formula>LEN(TRIM(AM82))&gt;0</formula>
    </cfRule>
  </conditionalFormatting>
  <conditionalFormatting sqref="AJ74:AJ77">
    <cfRule type="cellIs" dxfId="710" priority="1195" operator="equal">
      <formula>0</formula>
    </cfRule>
  </conditionalFormatting>
  <conditionalFormatting sqref="AJ78:AJ81">
    <cfRule type="cellIs" dxfId="709" priority="1194" operator="equal">
      <formula>0</formula>
    </cfRule>
  </conditionalFormatting>
  <conditionalFormatting sqref="F52:Y52 AB52:AI52">
    <cfRule type="expression" dxfId="708" priority="1208">
      <formula>F53&gt;F52</formula>
    </cfRule>
  </conditionalFormatting>
  <conditionalFormatting sqref="AK106:AK107">
    <cfRule type="notContainsBlanks" dxfId="707" priority="1206">
      <formula>LEN(TRIM(AK106))&gt;0</formula>
    </cfRule>
  </conditionalFormatting>
  <conditionalFormatting sqref="AM106">
    <cfRule type="notContainsBlanks" dxfId="706" priority="1205">
      <formula>LEN(TRIM(AM106))&gt;0</formula>
    </cfRule>
  </conditionalFormatting>
  <conditionalFormatting sqref="AM106:AM107">
    <cfRule type="notContainsBlanks" dxfId="705" priority="1204">
      <formula>LEN(TRIM(AM106))&gt;0</formula>
    </cfRule>
  </conditionalFormatting>
  <conditionalFormatting sqref="AJ94:AJ97">
    <cfRule type="cellIs" dxfId="704" priority="1190" operator="equal">
      <formula>0</formula>
    </cfRule>
  </conditionalFormatting>
  <conditionalFormatting sqref="AJ98:AJ107">
    <cfRule type="cellIs" dxfId="703" priority="1189" operator="equal">
      <formula>0</formula>
    </cfRule>
  </conditionalFormatting>
  <conditionalFormatting sqref="AJ70:AJ71">
    <cfRule type="cellIs" dxfId="702" priority="1196" operator="equal">
      <formula>0</formula>
    </cfRule>
  </conditionalFormatting>
  <conditionalFormatting sqref="AJ82:AJ85">
    <cfRule type="cellIs" dxfId="701" priority="1193" operator="equal">
      <formula>0</formula>
    </cfRule>
  </conditionalFormatting>
  <conditionalFormatting sqref="AJ86:AJ89">
    <cfRule type="cellIs" dxfId="700" priority="1192" operator="equal">
      <formula>0</formula>
    </cfRule>
  </conditionalFormatting>
  <conditionalFormatting sqref="AJ90:AJ93">
    <cfRule type="cellIs" dxfId="699" priority="1191" operator="equal">
      <formula>0</formula>
    </cfRule>
  </conditionalFormatting>
  <conditionalFormatting sqref="Z340:AA355">
    <cfRule type="cellIs" dxfId="698" priority="1175" operator="equal">
      <formula>0</formula>
    </cfRule>
  </conditionalFormatting>
  <conditionalFormatting sqref="AJ51:AJ52">
    <cfRule type="cellIs" dxfId="697" priority="1187" operator="equal">
      <formula>0</formula>
    </cfRule>
  </conditionalFormatting>
  <conditionalFormatting sqref="AJ53">
    <cfRule type="cellIs" dxfId="696" priority="1186" operator="equal">
      <formula>0</formula>
    </cfRule>
  </conditionalFormatting>
  <conditionalFormatting sqref="M314">
    <cfRule type="expression" dxfId="695" priority="1172">
      <formula>M314&gt;M331</formula>
    </cfRule>
    <cfRule type="expression" dxfId="694" priority="1173">
      <formula>M314&gt;M331 &amp; EXACT($I$3,"1") &amp; EXACT($E$3,"1")</formula>
    </cfRule>
  </conditionalFormatting>
  <conditionalFormatting sqref="O314">
    <cfRule type="expression" dxfId="693" priority="1170">
      <formula>O314&gt;O331</formula>
    </cfRule>
    <cfRule type="expression" dxfId="692" priority="1171">
      <formula>O314&gt;O331 &amp; EXACT($I$3,"1") &amp; EXACT($E$3,"1")</formula>
    </cfRule>
  </conditionalFormatting>
  <conditionalFormatting sqref="Q314">
    <cfRule type="expression" dxfId="691" priority="1168">
      <formula>Q314&gt;Q331</formula>
    </cfRule>
    <cfRule type="expression" dxfId="690" priority="1169">
      <formula>Q314&gt;Q331 &amp; EXACT($I$3,"1") &amp; EXACT($E$3,"1")</formula>
    </cfRule>
  </conditionalFormatting>
  <conditionalFormatting sqref="S314">
    <cfRule type="expression" dxfId="689" priority="1166">
      <formula>S314&gt;S331</formula>
    </cfRule>
    <cfRule type="expression" dxfId="688" priority="1167">
      <formula>S314&gt;S331 &amp; EXACT($I$3,"1") &amp; EXACT($E$3,"1")</formula>
    </cfRule>
  </conditionalFormatting>
  <conditionalFormatting sqref="U314">
    <cfRule type="expression" dxfId="687" priority="1164">
      <formula>U314&gt;U331</formula>
    </cfRule>
    <cfRule type="expression" dxfId="686" priority="1165">
      <formula>U314&gt;U331 &amp; EXACT($I$3,"1") &amp; EXACT($E$3,"1")</formula>
    </cfRule>
  </conditionalFormatting>
  <conditionalFormatting sqref="W314">
    <cfRule type="expression" dxfId="685" priority="1162">
      <formula>W314&gt;W331</formula>
    </cfRule>
    <cfRule type="expression" dxfId="684" priority="1163">
      <formula>W314&gt;W331 &amp; EXACT($I$3,"1") &amp; EXACT($E$3,"1")</formula>
    </cfRule>
  </conditionalFormatting>
  <conditionalFormatting sqref="Y314">
    <cfRule type="expression" dxfId="683" priority="1160">
      <formula>Y314&gt;Y331</formula>
    </cfRule>
    <cfRule type="expression" dxfId="682" priority="1161">
      <formula>Y314&gt;Y331 &amp; EXACT($I$3,"1") &amp; EXACT($E$3,"1")</formula>
    </cfRule>
  </conditionalFormatting>
  <conditionalFormatting sqref="K331">
    <cfRule type="expression" dxfId="681" priority="1159">
      <formula>K314&gt;K331</formula>
    </cfRule>
  </conditionalFormatting>
  <conditionalFormatting sqref="M331">
    <cfRule type="expression" dxfId="680" priority="1158">
      <formula>M314&gt;M331</formula>
    </cfRule>
  </conditionalFormatting>
  <conditionalFormatting sqref="O331">
    <cfRule type="expression" dxfId="679" priority="1157">
      <formula>O314&gt;O331</formula>
    </cfRule>
  </conditionalFormatting>
  <conditionalFormatting sqref="Q331">
    <cfRule type="expression" dxfId="678" priority="1156">
      <formula>Q314&gt;Q331</formula>
    </cfRule>
  </conditionalFormatting>
  <conditionalFormatting sqref="S331">
    <cfRule type="expression" dxfId="677" priority="1155">
      <formula>S314&gt;S331</formula>
    </cfRule>
  </conditionalFormatting>
  <conditionalFormatting sqref="U331">
    <cfRule type="expression" dxfId="676" priority="1154">
      <formula>U314&gt;U331</formula>
    </cfRule>
  </conditionalFormatting>
  <conditionalFormatting sqref="W331">
    <cfRule type="expression" dxfId="675" priority="1153">
      <formula>W314&gt;W331</formula>
    </cfRule>
  </conditionalFormatting>
  <conditionalFormatting sqref="Y331">
    <cfRule type="expression" dxfId="674" priority="1152">
      <formula>Y314&gt;Y331</formula>
    </cfRule>
  </conditionalFormatting>
  <conditionalFormatting sqref="AA331:AI331">
    <cfRule type="expression" dxfId="673" priority="1151">
      <formula>AA314&gt;AA331</formula>
    </cfRule>
  </conditionalFormatting>
  <conditionalFormatting sqref="AK418:AK419">
    <cfRule type="notContainsBlanks" dxfId="672" priority="1148">
      <formula>LEN(TRIM(AK418))&gt;0</formula>
    </cfRule>
  </conditionalFormatting>
  <conditionalFormatting sqref="AM418">
    <cfRule type="notContainsBlanks" dxfId="671" priority="1147">
      <formula>LEN(TRIM(AM418))&gt;0</formula>
    </cfRule>
  </conditionalFormatting>
  <conditionalFormatting sqref="AJ418">
    <cfRule type="cellIs" dxfId="670" priority="1145" operator="equal">
      <formula>0</formula>
    </cfRule>
  </conditionalFormatting>
  <conditionalFormatting sqref="AJ419">
    <cfRule type="cellIs" dxfId="669" priority="1144" operator="equal">
      <formula>0</formula>
    </cfRule>
  </conditionalFormatting>
  <conditionalFormatting sqref="AJ417">
    <cfRule type="cellIs" dxfId="668" priority="1143" operator="equal">
      <formula>0</formula>
    </cfRule>
  </conditionalFormatting>
  <conditionalFormatting sqref="AM420">
    <cfRule type="notContainsBlanks" dxfId="667" priority="1138">
      <formula>LEN(TRIM(AM420))&gt;0</formula>
    </cfRule>
  </conditionalFormatting>
  <conditionalFormatting sqref="AK420">
    <cfRule type="notContainsBlanks" dxfId="666" priority="1137">
      <formula>LEN(TRIM(AK420))&gt;0</formula>
    </cfRule>
  </conditionalFormatting>
  <conditionalFormatting sqref="AJ420">
    <cfRule type="cellIs" dxfId="665" priority="1136" operator="equal">
      <formula>0</formula>
    </cfRule>
  </conditionalFormatting>
  <conditionalFormatting sqref="AM421">
    <cfRule type="notContainsBlanks" dxfId="664" priority="1133">
      <formula>LEN(TRIM(AM421))&gt;0</formula>
    </cfRule>
  </conditionalFormatting>
  <conditionalFormatting sqref="AK421">
    <cfRule type="notContainsBlanks" dxfId="663" priority="1132">
      <formula>LEN(TRIM(AK421))&gt;0</formula>
    </cfRule>
  </conditionalFormatting>
  <conditionalFormatting sqref="AJ421">
    <cfRule type="cellIs" dxfId="662" priority="1131" operator="equal">
      <formula>0</formula>
    </cfRule>
  </conditionalFormatting>
  <conditionalFormatting sqref="AM422:AM424">
    <cfRule type="notContainsBlanks" dxfId="661" priority="1123">
      <formula>LEN(TRIM(AM422))&gt;0</formula>
    </cfRule>
  </conditionalFormatting>
  <conditionalFormatting sqref="AK423:AK424">
    <cfRule type="notContainsBlanks" dxfId="660" priority="1122">
      <formula>LEN(TRIM(AK423))&gt;0</formula>
    </cfRule>
  </conditionalFormatting>
  <conditionalFormatting sqref="AM423">
    <cfRule type="notContainsBlanks" dxfId="659" priority="1121">
      <formula>LEN(TRIM(AM423))&gt;0</formula>
    </cfRule>
  </conditionalFormatting>
  <conditionalFormatting sqref="AM425">
    <cfRule type="notContainsBlanks" dxfId="658" priority="1115">
      <formula>LEN(TRIM(AM425))&gt;0</formula>
    </cfRule>
  </conditionalFormatting>
  <conditionalFormatting sqref="AK425">
    <cfRule type="notContainsBlanks" dxfId="657" priority="1114">
      <formula>LEN(TRIM(AK425))&gt;0</formula>
    </cfRule>
  </conditionalFormatting>
  <conditionalFormatting sqref="AM426">
    <cfRule type="notContainsBlanks" dxfId="656" priority="1110">
      <formula>LEN(TRIM(AM426))&gt;0</formula>
    </cfRule>
  </conditionalFormatting>
  <conditionalFormatting sqref="AK426">
    <cfRule type="notContainsBlanks" dxfId="655" priority="1109">
      <formula>LEN(TRIM(AK426))&gt;0</formula>
    </cfRule>
  </conditionalFormatting>
  <conditionalFormatting sqref="AM427:AM429">
    <cfRule type="notContainsBlanks" dxfId="654" priority="1100">
      <formula>LEN(TRIM(AM427))&gt;0</formula>
    </cfRule>
  </conditionalFormatting>
  <conditionalFormatting sqref="AK428:AK429">
    <cfRule type="notContainsBlanks" dxfId="653" priority="1099">
      <formula>LEN(TRIM(AK428))&gt;0</formula>
    </cfRule>
  </conditionalFormatting>
  <conditionalFormatting sqref="AM428">
    <cfRule type="notContainsBlanks" dxfId="652" priority="1098">
      <formula>LEN(TRIM(AM428))&gt;0</formula>
    </cfRule>
  </conditionalFormatting>
  <conditionalFormatting sqref="AM430">
    <cfRule type="notContainsBlanks" dxfId="651" priority="1092">
      <formula>LEN(TRIM(AM430))&gt;0</formula>
    </cfRule>
  </conditionalFormatting>
  <conditionalFormatting sqref="AK430">
    <cfRule type="notContainsBlanks" dxfId="650" priority="1091">
      <formula>LEN(TRIM(AK430))&gt;0</formula>
    </cfRule>
  </conditionalFormatting>
  <conditionalFormatting sqref="AM431">
    <cfRule type="notContainsBlanks" dxfId="649" priority="1087">
      <formula>LEN(TRIM(AM431))&gt;0</formula>
    </cfRule>
  </conditionalFormatting>
  <conditionalFormatting sqref="AK431">
    <cfRule type="notContainsBlanks" dxfId="648" priority="1086">
      <formula>LEN(TRIM(AK431))&gt;0</formula>
    </cfRule>
  </conditionalFormatting>
  <conditionalFormatting sqref="AM432:AM434">
    <cfRule type="notContainsBlanks" dxfId="647" priority="1077">
      <formula>LEN(TRIM(AM432))&gt;0</formula>
    </cfRule>
  </conditionalFormatting>
  <conditionalFormatting sqref="AK433:AK434">
    <cfRule type="notContainsBlanks" dxfId="646" priority="1076">
      <formula>LEN(TRIM(AK433))&gt;0</formula>
    </cfRule>
  </conditionalFormatting>
  <conditionalFormatting sqref="AM433">
    <cfRule type="notContainsBlanks" dxfId="645" priority="1075">
      <formula>LEN(TRIM(AM433))&gt;0</formula>
    </cfRule>
  </conditionalFormatting>
  <conditionalFormatting sqref="AM435">
    <cfRule type="notContainsBlanks" dxfId="644" priority="1069">
      <formula>LEN(TRIM(AM435))&gt;0</formula>
    </cfRule>
  </conditionalFormatting>
  <conditionalFormatting sqref="AK435">
    <cfRule type="notContainsBlanks" dxfId="643" priority="1068">
      <formula>LEN(TRIM(AK435))&gt;0</formula>
    </cfRule>
  </conditionalFormatting>
  <conditionalFormatting sqref="AJ424">
    <cfRule type="cellIs" dxfId="642" priority="1055" operator="equal">
      <formula>0</formula>
    </cfRule>
  </conditionalFormatting>
  <conditionalFormatting sqref="AM436">
    <cfRule type="notContainsBlanks" dxfId="641" priority="1064">
      <formula>LEN(TRIM(AM436))&gt;0</formula>
    </cfRule>
  </conditionalFormatting>
  <conditionalFormatting sqref="AK436">
    <cfRule type="notContainsBlanks" dxfId="640" priority="1063">
      <formula>LEN(TRIM(AK436))&gt;0</formula>
    </cfRule>
  </conditionalFormatting>
  <conditionalFormatting sqref="AJ426">
    <cfRule type="cellIs" dxfId="639" priority="1050" operator="equal">
      <formula>0</formula>
    </cfRule>
  </conditionalFormatting>
  <conditionalFormatting sqref="AJ423">
    <cfRule type="cellIs" dxfId="638" priority="1056" operator="equal">
      <formula>0</formula>
    </cfRule>
  </conditionalFormatting>
  <conditionalFormatting sqref="AJ422">
    <cfRule type="cellIs" dxfId="637" priority="1054" operator="equal">
      <formula>0</formula>
    </cfRule>
  </conditionalFormatting>
  <conditionalFormatting sqref="AJ425">
    <cfRule type="cellIs" dxfId="636" priority="1052" operator="equal">
      <formula>0</formula>
    </cfRule>
  </conditionalFormatting>
  <conditionalFormatting sqref="AJ428">
    <cfRule type="cellIs" dxfId="635" priority="1044" operator="equal">
      <formula>0</formula>
    </cfRule>
  </conditionalFormatting>
  <conditionalFormatting sqref="AJ429">
    <cfRule type="cellIs" dxfId="634" priority="1043" operator="equal">
      <formula>0</formula>
    </cfRule>
  </conditionalFormatting>
  <conditionalFormatting sqref="AJ427">
    <cfRule type="cellIs" dxfId="633" priority="1042" operator="equal">
      <formula>0</formula>
    </cfRule>
  </conditionalFormatting>
  <conditionalFormatting sqref="AJ430">
    <cfRule type="cellIs" dxfId="632" priority="1040" operator="equal">
      <formula>0</formula>
    </cfRule>
  </conditionalFormatting>
  <conditionalFormatting sqref="AJ431">
    <cfRule type="cellIs" dxfId="631" priority="1038" operator="equal">
      <formula>0</formula>
    </cfRule>
  </conditionalFormatting>
  <conditionalFormatting sqref="AJ433">
    <cfRule type="cellIs" dxfId="630" priority="1032" operator="equal">
      <formula>0</formula>
    </cfRule>
  </conditionalFormatting>
  <conditionalFormatting sqref="AJ434">
    <cfRule type="cellIs" dxfId="629" priority="1031" operator="equal">
      <formula>0</formula>
    </cfRule>
  </conditionalFormatting>
  <conditionalFormatting sqref="AJ432">
    <cfRule type="cellIs" dxfId="628" priority="1030" operator="equal">
      <formula>0</formula>
    </cfRule>
  </conditionalFormatting>
  <conditionalFormatting sqref="AJ435">
    <cfRule type="cellIs" dxfId="627" priority="1028" operator="equal">
      <formula>0</formula>
    </cfRule>
  </conditionalFormatting>
  <conditionalFormatting sqref="AJ436">
    <cfRule type="cellIs" dxfId="626" priority="1026" operator="equal">
      <formula>0</formula>
    </cfRule>
  </conditionalFormatting>
  <conditionalFormatting sqref="AM437:AM439">
    <cfRule type="notContainsBlanks" dxfId="625" priority="1018">
      <formula>LEN(TRIM(AM437))&gt;0</formula>
    </cfRule>
  </conditionalFormatting>
  <conditionalFormatting sqref="AK438:AK439">
    <cfRule type="notContainsBlanks" dxfId="624" priority="1017">
      <formula>LEN(TRIM(AK438))&gt;0</formula>
    </cfRule>
  </conditionalFormatting>
  <conditionalFormatting sqref="AM438">
    <cfRule type="notContainsBlanks" dxfId="623" priority="1016">
      <formula>LEN(TRIM(AM438))&gt;0</formula>
    </cfRule>
  </conditionalFormatting>
  <conditionalFormatting sqref="AJ438">
    <cfRule type="cellIs" dxfId="622" priority="1015" operator="equal">
      <formula>0</formula>
    </cfRule>
  </conditionalFormatting>
  <conditionalFormatting sqref="AJ439">
    <cfRule type="cellIs" dxfId="621" priority="1014" operator="equal">
      <formula>0</formula>
    </cfRule>
  </conditionalFormatting>
  <conditionalFormatting sqref="AJ437">
    <cfRule type="cellIs" dxfId="620" priority="1013" operator="equal">
      <formula>0</formula>
    </cfRule>
  </conditionalFormatting>
  <conditionalFormatting sqref="AM440">
    <cfRule type="notContainsBlanks" dxfId="619" priority="1010">
      <formula>LEN(TRIM(AM440))&gt;0</formula>
    </cfRule>
  </conditionalFormatting>
  <conditionalFormatting sqref="AK440">
    <cfRule type="notContainsBlanks" dxfId="618" priority="1009">
      <formula>LEN(TRIM(AK440))&gt;0</formula>
    </cfRule>
  </conditionalFormatting>
  <conditionalFormatting sqref="AJ440">
    <cfRule type="cellIs" dxfId="617" priority="1008" operator="equal">
      <formula>0</formula>
    </cfRule>
  </conditionalFormatting>
  <conditionalFormatting sqref="AM441">
    <cfRule type="notContainsBlanks" dxfId="616" priority="1005">
      <formula>LEN(TRIM(AM441))&gt;0</formula>
    </cfRule>
  </conditionalFormatting>
  <conditionalFormatting sqref="AK441">
    <cfRule type="notContainsBlanks" dxfId="615" priority="1004">
      <formula>LEN(TRIM(AK441))&gt;0</formula>
    </cfRule>
  </conditionalFormatting>
  <conditionalFormatting sqref="AJ441">
    <cfRule type="cellIs" dxfId="614" priority="1003" operator="equal">
      <formula>0</formula>
    </cfRule>
  </conditionalFormatting>
  <conditionalFormatting sqref="AM442:AM444">
    <cfRule type="notContainsBlanks" dxfId="613" priority="995">
      <formula>LEN(TRIM(AM442))&gt;0</formula>
    </cfRule>
  </conditionalFormatting>
  <conditionalFormatting sqref="AK443:AK444">
    <cfRule type="notContainsBlanks" dxfId="612" priority="994">
      <formula>LEN(TRIM(AK443))&gt;0</formula>
    </cfRule>
  </conditionalFormatting>
  <conditionalFormatting sqref="AM443">
    <cfRule type="notContainsBlanks" dxfId="611" priority="993">
      <formula>LEN(TRIM(AM443))&gt;0</formula>
    </cfRule>
  </conditionalFormatting>
  <conditionalFormatting sqref="AM445">
    <cfRule type="notContainsBlanks" dxfId="610" priority="991">
      <formula>LEN(TRIM(AM445))&gt;0</formula>
    </cfRule>
  </conditionalFormatting>
  <conditionalFormatting sqref="AK445">
    <cfRule type="notContainsBlanks" dxfId="609" priority="990">
      <formula>LEN(TRIM(AK445))&gt;0</formula>
    </cfRule>
  </conditionalFormatting>
  <conditionalFormatting sqref="AM446">
    <cfRule type="notContainsBlanks" dxfId="608" priority="988">
      <formula>LEN(TRIM(AM446))&gt;0</formula>
    </cfRule>
  </conditionalFormatting>
  <conditionalFormatting sqref="AK446">
    <cfRule type="notContainsBlanks" dxfId="607" priority="987">
      <formula>LEN(TRIM(AK446))&gt;0</formula>
    </cfRule>
  </conditionalFormatting>
  <conditionalFormatting sqref="AM447:AM449">
    <cfRule type="notContainsBlanks" dxfId="606" priority="984">
      <formula>LEN(TRIM(AM447))&gt;0</formula>
    </cfRule>
  </conditionalFormatting>
  <conditionalFormatting sqref="AK448:AK449">
    <cfRule type="notContainsBlanks" dxfId="605" priority="983">
      <formula>LEN(TRIM(AK448))&gt;0</formula>
    </cfRule>
  </conditionalFormatting>
  <conditionalFormatting sqref="AM448">
    <cfRule type="notContainsBlanks" dxfId="604" priority="982">
      <formula>LEN(TRIM(AM448))&gt;0</formula>
    </cfRule>
  </conditionalFormatting>
  <conditionalFormatting sqref="AM450">
    <cfRule type="notContainsBlanks" dxfId="603" priority="980">
      <formula>LEN(TRIM(AM450))&gt;0</formula>
    </cfRule>
  </conditionalFormatting>
  <conditionalFormatting sqref="AK450">
    <cfRule type="notContainsBlanks" dxfId="602" priority="979">
      <formula>LEN(TRIM(AK450))&gt;0</formula>
    </cfRule>
  </conditionalFormatting>
  <conditionalFormatting sqref="AM451">
    <cfRule type="notContainsBlanks" dxfId="601" priority="977">
      <formula>LEN(TRIM(AM451))&gt;0</formula>
    </cfRule>
  </conditionalFormatting>
  <conditionalFormatting sqref="AK451">
    <cfRule type="notContainsBlanks" dxfId="600" priority="976">
      <formula>LEN(TRIM(AK451))&gt;0</formula>
    </cfRule>
  </conditionalFormatting>
  <conditionalFormatting sqref="AM452:AM454">
    <cfRule type="notContainsBlanks" dxfId="599" priority="973">
      <formula>LEN(TRIM(AM452))&gt;0</formula>
    </cfRule>
  </conditionalFormatting>
  <conditionalFormatting sqref="AK453:AK454">
    <cfRule type="notContainsBlanks" dxfId="598" priority="972">
      <formula>LEN(TRIM(AK453))&gt;0</formula>
    </cfRule>
  </conditionalFormatting>
  <conditionalFormatting sqref="AM453">
    <cfRule type="notContainsBlanks" dxfId="597" priority="971">
      <formula>LEN(TRIM(AM453))&gt;0</formula>
    </cfRule>
  </conditionalFormatting>
  <conditionalFormatting sqref="AM455">
    <cfRule type="notContainsBlanks" dxfId="596" priority="969">
      <formula>LEN(TRIM(AM455))&gt;0</formula>
    </cfRule>
  </conditionalFormatting>
  <conditionalFormatting sqref="AK455">
    <cfRule type="notContainsBlanks" dxfId="595" priority="968">
      <formula>LEN(TRIM(AK455))&gt;0</formula>
    </cfRule>
  </conditionalFormatting>
  <conditionalFormatting sqref="AJ444">
    <cfRule type="cellIs" dxfId="594" priority="963" operator="equal">
      <formula>0</formula>
    </cfRule>
  </conditionalFormatting>
  <conditionalFormatting sqref="AM456">
    <cfRule type="notContainsBlanks" dxfId="593" priority="966">
      <formula>LEN(TRIM(AM456))&gt;0</formula>
    </cfRule>
  </conditionalFormatting>
  <conditionalFormatting sqref="AK456">
    <cfRule type="notContainsBlanks" dxfId="592" priority="965">
      <formula>LEN(TRIM(AK456))&gt;0</formula>
    </cfRule>
  </conditionalFormatting>
  <conditionalFormatting sqref="AJ446">
    <cfRule type="cellIs" dxfId="591" priority="958" operator="equal">
      <formula>0</formula>
    </cfRule>
  </conditionalFormatting>
  <conditionalFormatting sqref="AJ443">
    <cfRule type="cellIs" dxfId="590" priority="964" operator="equal">
      <formula>0</formula>
    </cfRule>
  </conditionalFormatting>
  <conditionalFormatting sqref="AJ442">
    <cfRule type="cellIs" dxfId="589" priority="962" operator="equal">
      <formula>0</formula>
    </cfRule>
  </conditionalFormatting>
  <conditionalFormatting sqref="AJ445">
    <cfRule type="cellIs" dxfId="588" priority="960" operator="equal">
      <formula>0</formula>
    </cfRule>
  </conditionalFormatting>
  <conditionalFormatting sqref="AJ448">
    <cfRule type="cellIs" dxfId="587" priority="952" operator="equal">
      <formula>0</formula>
    </cfRule>
  </conditionalFormatting>
  <conditionalFormatting sqref="AJ449">
    <cfRule type="cellIs" dxfId="586" priority="951" operator="equal">
      <formula>0</formula>
    </cfRule>
  </conditionalFormatting>
  <conditionalFormatting sqref="AJ447">
    <cfRule type="cellIs" dxfId="585" priority="950" operator="equal">
      <formula>0</formula>
    </cfRule>
  </conditionalFormatting>
  <conditionalFormatting sqref="AJ450">
    <cfRule type="cellIs" dxfId="584" priority="948" operator="equal">
      <formula>0</formula>
    </cfRule>
  </conditionalFormatting>
  <conditionalFormatting sqref="AJ451">
    <cfRule type="cellIs" dxfId="583" priority="946" operator="equal">
      <formula>0</formula>
    </cfRule>
  </conditionalFormatting>
  <conditionalFormatting sqref="AJ453">
    <cfRule type="cellIs" dxfId="582" priority="940" operator="equal">
      <formula>0</formula>
    </cfRule>
  </conditionalFormatting>
  <conditionalFormatting sqref="AJ454">
    <cfRule type="cellIs" dxfId="581" priority="939" operator="equal">
      <formula>0</formula>
    </cfRule>
  </conditionalFormatting>
  <conditionalFormatting sqref="AJ452">
    <cfRule type="cellIs" dxfId="580" priority="938" operator="equal">
      <formula>0</formula>
    </cfRule>
  </conditionalFormatting>
  <conditionalFormatting sqref="AJ455">
    <cfRule type="cellIs" dxfId="579" priority="936" operator="equal">
      <formula>0</formula>
    </cfRule>
  </conditionalFormatting>
  <conditionalFormatting sqref="AJ456">
    <cfRule type="cellIs" dxfId="578" priority="934" operator="equal">
      <formula>0</formula>
    </cfRule>
  </conditionalFormatting>
  <conditionalFormatting sqref="AM457:AM459">
    <cfRule type="notContainsBlanks" dxfId="577" priority="926">
      <formula>LEN(TRIM(AM457))&gt;0</formula>
    </cfRule>
  </conditionalFormatting>
  <conditionalFormatting sqref="AK458:AK459">
    <cfRule type="notContainsBlanks" dxfId="576" priority="925">
      <formula>LEN(TRIM(AK458))&gt;0</formula>
    </cfRule>
  </conditionalFormatting>
  <conditionalFormatting sqref="AM458">
    <cfRule type="notContainsBlanks" dxfId="575" priority="924">
      <formula>LEN(TRIM(AM458))&gt;0</formula>
    </cfRule>
  </conditionalFormatting>
  <conditionalFormatting sqref="AJ458">
    <cfRule type="cellIs" dxfId="574" priority="923" operator="equal">
      <formula>0</formula>
    </cfRule>
  </conditionalFormatting>
  <conditionalFormatting sqref="AJ459">
    <cfRule type="cellIs" dxfId="573" priority="922" operator="equal">
      <formula>0</formula>
    </cfRule>
  </conditionalFormatting>
  <conditionalFormatting sqref="AJ457">
    <cfRule type="cellIs" dxfId="572" priority="921" operator="equal">
      <formula>0</formula>
    </cfRule>
  </conditionalFormatting>
  <conditionalFormatting sqref="AM460">
    <cfRule type="notContainsBlanks" dxfId="571" priority="918">
      <formula>LEN(TRIM(AM460))&gt;0</formula>
    </cfRule>
  </conditionalFormatting>
  <conditionalFormatting sqref="AK460">
    <cfRule type="notContainsBlanks" dxfId="570" priority="917">
      <formula>LEN(TRIM(AK460))&gt;0</formula>
    </cfRule>
  </conditionalFormatting>
  <conditionalFormatting sqref="AJ460">
    <cfRule type="cellIs" dxfId="569" priority="916" operator="equal">
      <formula>0</formula>
    </cfRule>
  </conditionalFormatting>
  <conditionalFormatting sqref="AM461">
    <cfRule type="notContainsBlanks" dxfId="568" priority="913">
      <formula>LEN(TRIM(AM461))&gt;0</formula>
    </cfRule>
  </conditionalFormatting>
  <conditionalFormatting sqref="AK461">
    <cfRule type="notContainsBlanks" dxfId="567" priority="912">
      <formula>LEN(TRIM(AK461))&gt;0</formula>
    </cfRule>
  </conditionalFormatting>
  <conditionalFormatting sqref="AJ461">
    <cfRule type="cellIs" dxfId="566" priority="911" operator="equal">
      <formula>0</formula>
    </cfRule>
  </conditionalFormatting>
  <conditionalFormatting sqref="AM462:AM464">
    <cfRule type="notContainsBlanks" dxfId="565" priority="903">
      <formula>LEN(TRIM(AM462))&gt;0</formula>
    </cfRule>
  </conditionalFormatting>
  <conditionalFormatting sqref="AK463:AK464">
    <cfRule type="notContainsBlanks" dxfId="564" priority="902">
      <formula>LEN(TRIM(AK463))&gt;0</formula>
    </cfRule>
  </conditionalFormatting>
  <conditionalFormatting sqref="AM463">
    <cfRule type="notContainsBlanks" dxfId="563" priority="901">
      <formula>LEN(TRIM(AM463))&gt;0</formula>
    </cfRule>
  </conditionalFormatting>
  <conditionalFormatting sqref="AM465">
    <cfRule type="notContainsBlanks" dxfId="562" priority="899">
      <formula>LEN(TRIM(AM465))&gt;0</formula>
    </cfRule>
  </conditionalFormatting>
  <conditionalFormatting sqref="AK465">
    <cfRule type="notContainsBlanks" dxfId="561" priority="898">
      <formula>LEN(TRIM(AK465))&gt;0</formula>
    </cfRule>
  </conditionalFormatting>
  <conditionalFormatting sqref="AM466">
    <cfRule type="notContainsBlanks" dxfId="560" priority="896">
      <formula>LEN(TRIM(AM466))&gt;0</formula>
    </cfRule>
  </conditionalFormatting>
  <conditionalFormatting sqref="AK466">
    <cfRule type="notContainsBlanks" dxfId="559" priority="895">
      <formula>LEN(TRIM(AK466))&gt;0</formula>
    </cfRule>
  </conditionalFormatting>
  <conditionalFormatting sqref="AM467:AM469">
    <cfRule type="notContainsBlanks" dxfId="558" priority="892">
      <formula>LEN(TRIM(AM467))&gt;0</formula>
    </cfRule>
  </conditionalFormatting>
  <conditionalFormatting sqref="AK468:AK469">
    <cfRule type="notContainsBlanks" dxfId="557" priority="891">
      <formula>LEN(TRIM(AK468))&gt;0</formula>
    </cfRule>
  </conditionalFormatting>
  <conditionalFormatting sqref="AM468">
    <cfRule type="notContainsBlanks" dxfId="556" priority="890">
      <formula>LEN(TRIM(AM468))&gt;0</formula>
    </cfRule>
  </conditionalFormatting>
  <conditionalFormatting sqref="AM470">
    <cfRule type="notContainsBlanks" dxfId="555" priority="888">
      <formula>LEN(TRIM(AM470))&gt;0</formula>
    </cfRule>
  </conditionalFormatting>
  <conditionalFormatting sqref="AK470">
    <cfRule type="notContainsBlanks" dxfId="554" priority="887">
      <formula>LEN(TRIM(AK470))&gt;0</formula>
    </cfRule>
  </conditionalFormatting>
  <conditionalFormatting sqref="AM471">
    <cfRule type="notContainsBlanks" dxfId="553" priority="885">
      <formula>LEN(TRIM(AM471))&gt;0</formula>
    </cfRule>
  </conditionalFormatting>
  <conditionalFormatting sqref="AK471">
    <cfRule type="notContainsBlanks" dxfId="552" priority="884">
      <formula>LEN(TRIM(AK471))&gt;0</formula>
    </cfRule>
  </conditionalFormatting>
  <conditionalFormatting sqref="AM472:AM474">
    <cfRule type="notContainsBlanks" dxfId="551" priority="881">
      <formula>LEN(TRIM(AM472))&gt;0</formula>
    </cfRule>
  </conditionalFormatting>
  <conditionalFormatting sqref="AK473:AK474">
    <cfRule type="notContainsBlanks" dxfId="550" priority="880">
      <formula>LEN(TRIM(AK473))&gt;0</formula>
    </cfRule>
  </conditionalFormatting>
  <conditionalFormatting sqref="AM473">
    <cfRule type="notContainsBlanks" dxfId="549" priority="879">
      <formula>LEN(TRIM(AM473))&gt;0</formula>
    </cfRule>
  </conditionalFormatting>
  <conditionalFormatting sqref="AM475">
    <cfRule type="notContainsBlanks" dxfId="548" priority="877">
      <formula>LEN(TRIM(AM475))&gt;0</formula>
    </cfRule>
  </conditionalFormatting>
  <conditionalFormatting sqref="AK475">
    <cfRule type="notContainsBlanks" dxfId="547" priority="876">
      <formula>LEN(TRIM(AK475))&gt;0</formula>
    </cfRule>
  </conditionalFormatting>
  <conditionalFormatting sqref="AJ464">
    <cfRule type="cellIs" dxfId="546" priority="871" operator="equal">
      <formula>0</formula>
    </cfRule>
  </conditionalFormatting>
  <conditionalFormatting sqref="AM476">
    <cfRule type="notContainsBlanks" dxfId="545" priority="874">
      <formula>LEN(TRIM(AM476))&gt;0</formula>
    </cfRule>
  </conditionalFormatting>
  <conditionalFormatting sqref="AK476">
    <cfRule type="notContainsBlanks" dxfId="544" priority="873">
      <formula>LEN(TRIM(AK476))&gt;0</formula>
    </cfRule>
  </conditionalFormatting>
  <conditionalFormatting sqref="AJ466">
    <cfRule type="cellIs" dxfId="543" priority="866" operator="equal">
      <formula>0</formula>
    </cfRule>
  </conditionalFormatting>
  <conditionalFormatting sqref="AJ463">
    <cfRule type="cellIs" dxfId="542" priority="872" operator="equal">
      <formula>0</formula>
    </cfRule>
  </conditionalFormatting>
  <conditionalFormatting sqref="AJ462">
    <cfRule type="cellIs" dxfId="541" priority="870" operator="equal">
      <formula>0</formula>
    </cfRule>
  </conditionalFormatting>
  <conditionalFormatting sqref="AJ465">
    <cfRule type="cellIs" dxfId="540" priority="868" operator="equal">
      <formula>0</formula>
    </cfRule>
  </conditionalFormatting>
  <conditionalFormatting sqref="AJ468">
    <cfRule type="cellIs" dxfId="539" priority="860" operator="equal">
      <formula>0</formula>
    </cfRule>
  </conditionalFormatting>
  <conditionalFormatting sqref="AJ469">
    <cfRule type="cellIs" dxfId="538" priority="859" operator="equal">
      <formula>0</formula>
    </cfRule>
  </conditionalFormatting>
  <conditionalFormatting sqref="AJ467">
    <cfRule type="cellIs" dxfId="537" priority="858" operator="equal">
      <formula>0</formula>
    </cfRule>
  </conditionalFormatting>
  <conditionalFormatting sqref="AJ470">
    <cfRule type="cellIs" dxfId="536" priority="856" operator="equal">
      <formula>0</formula>
    </cfRule>
  </conditionalFormatting>
  <conditionalFormatting sqref="AJ471">
    <cfRule type="cellIs" dxfId="535" priority="854" operator="equal">
      <formula>0</formula>
    </cfRule>
  </conditionalFormatting>
  <conditionalFormatting sqref="AJ473">
    <cfRule type="cellIs" dxfId="534" priority="848" operator="equal">
      <formula>0</formula>
    </cfRule>
  </conditionalFormatting>
  <conditionalFormatting sqref="AJ474">
    <cfRule type="cellIs" dxfId="533" priority="847" operator="equal">
      <formula>0</formula>
    </cfRule>
  </conditionalFormatting>
  <conditionalFormatting sqref="AJ472">
    <cfRule type="cellIs" dxfId="532" priority="846" operator="equal">
      <formula>0</formula>
    </cfRule>
  </conditionalFormatting>
  <conditionalFormatting sqref="AJ475">
    <cfRule type="cellIs" dxfId="531" priority="844" operator="equal">
      <formula>0</formula>
    </cfRule>
  </conditionalFormatting>
  <conditionalFormatting sqref="AJ476">
    <cfRule type="cellIs" dxfId="530" priority="842" operator="equal">
      <formula>0</formula>
    </cfRule>
  </conditionalFormatting>
  <conditionalFormatting sqref="AK477">
    <cfRule type="notContainsBlanks" dxfId="529" priority="834">
      <formula>LEN(TRIM(AK477))&gt;0</formula>
    </cfRule>
  </conditionalFormatting>
  <conditionalFormatting sqref="AM477:AM479">
    <cfRule type="notContainsBlanks" dxfId="528" priority="833">
      <formula>LEN(TRIM(AM477))&gt;0</formula>
    </cfRule>
  </conditionalFormatting>
  <conditionalFormatting sqref="AK478:AK479">
    <cfRule type="notContainsBlanks" dxfId="527" priority="832">
      <formula>LEN(TRIM(AK478))&gt;0</formula>
    </cfRule>
  </conditionalFormatting>
  <conditionalFormatting sqref="AM478">
    <cfRule type="notContainsBlanks" dxfId="526" priority="831">
      <formula>LEN(TRIM(AM478))&gt;0</formula>
    </cfRule>
  </conditionalFormatting>
  <conditionalFormatting sqref="AM480">
    <cfRule type="notContainsBlanks" dxfId="525" priority="829">
      <formula>LEN(TRIM(AM480))&gt;0</formula>
    </cfRule>
  </conditionalFormatting>
  <conditionalFormatting sqref="AK480">
    <cfRule type="notContainsBlanks" dxfId="524" priority="828">
      <formula>LEN(TRIM(AK480))&gt;0</formula>
    </cfRule>
  </conditionalFormatting>
  <conditionalFormatting sqref="AM481">
    <cfRule type="notContainsBlanks" dxfId="523" priority="826">
      <formula>LEN(TRIM(AM481))&gt;0</formula>
    </cfRule>
  </conditionalFormatting>
  <conditionalFormatting sqref="AK481">
    <cfRule type="notContainsBlanks" dxfId="522" priority="825">
      <formula>LEN(TRIM(AK481))&gt;0</formula>
    </cfRule>
  </conditionalFormatting>
  <conditionalFormatting sqref="AJ478">
    <cfRule type="cellIs" dxfId="521" priority="824" operator="equal">
      <formula>0</formula>
    </cfRule>
  </conditionalFormatting>
  <conditionalFormatting sqref="AJ479">
    <cfRule type="cellIs" dxfId="520" priority="823" operator="equal">
      <formula>0</formula>
    </cfRule>
  </conditionalFormatting>
  <conditionalFormatting sqref="AJ477">
    <cfRule type="cellIs" dxfId="519" priority="822" operator="equal">
      <formula>0</formula>
    </cfRule>
  </conditionalFormatting>
  <conditionalFormatting sqref="AJ480">
    <cfRule type="cellIs" dxfId="518" priority="820" operator="equal">
      <formula>0</formula>
    </cfRule>
  </conditionalFormatting>
  <conditionalFormatting sqref="AJ481">
    <cfRule type="cellIs" dxfId="517" priority="818" operator="equal">
      <formula>0</formula>
    </cfRule>
  </conditionalFormatting>
  <conditionalFormatting sqref="F477:AI480">
    <cfRule type="expression" dxfId="516" priority="814">
      <formula>F477=0</formula>
    </cfRule>
  </conditionalFormatting>
  <conditionalFormatting sqref="F481:AI481">
    <cfRule type="expression" dxfId="515" priority="756">
      <formula>F481=0</formula>
    </cfRule>
  </conditionalFormatting>
  <conditionalFormatting sqref="G457 I457 K457">
    <cfRule type="expression" dxfId="514" priority="702">
      <formula>G457=0</formula>
    </cfRule>
  </conditionalFormatting>
  <conditionalFormatting sqref="F457:K457">
    <cfRule type="cellIs" dxfId="513" priority="701" operator="equal">
      <formula>0</formula>
    </cfRule>
  </conditionalFormatting>
  <conditionalFormatting sqref="G461 I461 K461">
    <cfRule type="expression" dxfId="512" priority="700">
      <formula>G461=0</formula>
    </cfRule>
  </conditionalFormatting>
  <conditionalFormatting sqref="F461:K461">
    <cfRule type="cellIs" dxfId="511" priority="699" operator="equal">
      <formula>0</formula>
    </cfRule>
  </conditionalFormatting>
  <conditionalFormatting sqref="F417:AI417">
    <cfRule type="cellIs" dxfId="510" priority="669" operator="equal">
      <formula>0</formula>
    </cfRule>
  </conditionalFormatting>
  <conditionalFormatting sqref="AH341:AI341">
    <cfRule type="cellIs" dxfId="509" priority="633" operator="equal">
      <formula>0</formula>
    </cfRule>
  </conditionalFormatting>
  <conditionalFormatting sqref="AH354:AI354">
    <cfRule type="cellIs" dxfId="508" priority="632" operator="equal">
      <formula>0</formula>
    </cfRule>
  </conditionalFormatting>
  <conditionalFormatting sqref="AH354:AI354">
    <cfRule type="cellIs" dxfId="507" priority="631" operator="equal">
      <formula>0</formula>
    </cfRule>
  </conditionalFormatting>
  <conditionalFormatting sqref="AH341:AI341 AH354:AI354">
    <cfRule type="cellIs" dxfId="506" priority="630" operator="equal">
      <formula>0</formula>
    </cfRule>
  </conditionalFormatting>
  <conditionalFormatting sqref="AH392:AI392">
    <cfRule type="cellIs" dxfId="505" priority="629" operator="equal">
      <formula>0</formula>
    </cfRule>
  </conditionalFormatting>
  <conditionalFormatting sqref="AH354:AI354">
    <cfRule type="expression" dxfId="504" priority="628">
      <formula>AH354&lt;&gt;AH341</formula>
    </cfRule>
  </conditionalFormatting>
  <conditionalFormatting sqref="AH223:AI223">
    <cfRule type="cellIs" dxfId="503" priority="627" operator="equal">
      <formula>0</formula>
    </cfRule>
  </conditionalFormatting>
  <conditionalFormatting sqref="AH340:AI340">
    <cfRule type="cellIs" dxfId="502" priority="626" operator="equal">
      <formula>0</formula>
    </cfRule>
  </conditionalFormatting>
  <conditionalFormatting sqref="AH370:AI370">
    <cfRule type="cellIs" dxfId="501" priority="623" operator="equal">
      <formula>0</formula>
    </cfRule>
  </conditionalFormatting>
  <conditionalFormatting sqref="AH370:AI370">
    <cfRule type="cellIs" dxfId="500" priority="622" operator="equal">
      <formula>0</formula>
    </cfRule>
  </conditionalFormatting>
  <conditionalFormatting sqref="AH370:AI370">
    <cfRule type="cellIs" dxfId="499" priority="621" operator="equal">
      <formula>0</formula>
    </cfRule>
  </conditionalFormatting>
  <conditionalFormatting sqref="AH341:AI341">
    <cfRule type="expression" dxfId="498" priority="620">
      <formula>AH340&gt;AH341</formula>
    </cfRule>
  </conditionalFormatting>
  <conditionalFormatting sqref="AH413:AI413">
    <cfRule type="expression" dxfId="497" priority="619">
      <formula>AH413&gt;AH411</formula>
    </cfRule>
  </conditionalFormatting>
  <conditionalFormatting sqref="AH341:AI341">
    <cfRule type="expression" dxfId="496" priority="618">
      <formula>AH331&gt;AH341</formula>
    </cfRule>
  </conditionalFormatting>
  <conditionalFormatting sqref="AH342:AI347">
    <cfRule type="expression" dxfId="495" priority="617">
      <formula>AH332&gt;AH342</formula>
    </cfRule>
  </conditionalFormatting>
  <conditionalFormatting sqref="AH340:AI340">
    <cfRule type="expression" dxfId="494" priority="616">
      <formula>AH340&gt;AH341</formula>
    </cfRule>
  </conditionalFormatting>
  <conditionalFormatting sqref="AH354:AI354">
    <cfRule type="expression" dxfId="493" priority="615">
      <formula>AH354&lt;&gt;AH341</formula>
    </cfRule>
  </conditionalFormatting>
  <conditionalFormatting sqref="AH341:AI341">
    <cfRule type="expression" dxfId="492" priority="614">
      <formula>AH354&lt;&gt;AH341</formula>
    </cfRule>
  </conditionalFormatting>
  <conditionalFormatting sqref="AH341:AI341">
    <cfRule type="expression" dxfId="491" priority="613">
      <formula>AH324&gt;AH341</formula>
    </cfRule>
  </conditionalFormatting>
  <conditionalFormatting sqref="AH341:AI341">
    <cfRule type="expression" dxfId="490" priority="612">
      <formula>AH361&gt;AH341</formula>
    </cfRule>
  </conditionalFormatting>
  <conditionalFormatting sqref="AH341:AI341">
    <cfRule type="expression" dxfId="489" priority="611">
      <formula>SUM(AH167:AH168)&gt;AH341</formula>
    </cfRule>
  </conditionalFormatting>
  <conditionalFormatting sqref="AH393:AI399">
    <cfRule type="expression" dxfId="488" priority="609">
      <formula>AH393&gt;AH$387</formula>
    </cfRule>
  </conditionalFormatting>
  <conditionalFormatting sqref="AH387:AI387">
    <cfRule type="expression" dxfId="487" priority="608">
      <formula>AH393&gt;AH$387</formula>
    </cfRule>
  </conditionalFormatting>
  <conditionalFormatting sqref="AH413:AI413">
    <cfRule type="expression" dxfId="486" priority="607">
      <formula>AH411&gt;AH413</formula>
    </cfRule>
  </conditionalFormatting>
  <conditionalFormatting sqref="AH18:AI18">
    <cfRule type="cellIs" dxfId="485" priority="606" operator="equal">
      <formula>0</formula>
    </cfRule>
  </conditionalFormatting>
  <conditionalFormatting sqref="AH14:AI14">
    <cfRule type="cellIs" dxfId="484" priority="605" operator="equal">
      <formula>0</formula>
    </cfRule>
  </conditionalFormatting>
  <conditionalFormatting sqref="AH14:AI14">
    <cfRule type="expression" dxfId="483" priority="604">
      <formula>AH54&gt;AH14</formula>
    </cfRule>
  </conditionalFormatting>
  <conditionalFormatting sqref="AH225:AI225">
    <cfRule type="cellIs" dxfId="482" priority="603" operator="equal">
      <formula>0</formula>
    </cfRule>
  </conditionalFormatting>
  <conditionalFormatting sqref="AH224:AI224">
    <cfRule type="expression" dxfId="481" priority="602">
      <formula>AH224&gt;AH223</formula>
    </cfRule>
  </conditionalFormatting>
  <conditionalFormatting sqref="AH223:AI223">
    <cfRule type="expression" dxfId="480" priority="601">
      <formula>AH224&gt;AH223</formula>
    </cfRule>
  </conditionalFormatting>
  <conditionalFormatting sqref="AH225:AI225">
    <cfRule type="expression" dxfId="479" priority="600">
      <formula>AH225&gt;AH224</formula>
    </cfRule>
  </conditionalFormatting>
  <conditionalFormatting sqref="AH224:AI224">
    <cfRule type="expression" dxfId="478" priority="599">
      <formula>AH225&gt;AH224</formula>
    </cfRule>
  </conditionalFormatting>
  <conditionalFormatting sqref="AH227:AI227">
    <cfRule type="expression" dxfId="477" priority="598">
      <formula>AH227&gt;AH226</formula>
    </cfRule>
  </conditionalFormatting>
  <conditionalFormatting sqref="AH226:AI226">
    <cfRule type="expression" dxfId="476" priority="597">
      <formula>AH227&gt;AH226</formula>
    </cfRule>
  </conditionalFormatting>
  <conditionalFormatting sqref="AH229:AI229">
    <cfRule type="expression" dxfId="475" priority="596">
      <formula>AH229&gt;AH228</formula>
    </cfRule>
  </conditionalFormatting>
  <conditionalFormatting sqref="AH228:AI228">
    <cfRule type="expression" dxfId="474" priority="595">
      <formula>AH229&gt;AH228</formula>
    </cfRule>
  </conditionalFormatting>
  <conditionalFormatting sqref="AH232:AI232">
    <cfRule type="cellIs" dxfId="473" priority="594" operator="equal">
      <formula>0</formula>
    </cfRule>
  </conditionalFormatting>
  <conditionalFormatting sqref="AH234:AI234">
    <cfRule type="cellIs" dxfId="472" priority="593" operator="equal">
      <formula>0</formula>
    </cfRule>
  </conditionalFormatting>
  <conditionalFormatting sqref="AH233:AI233">
    <cfRule type="expression" dxfId="471" priority="592">
      <formula>AH233&gt;AH232</formula>
    </cfRule>
  </conditionalFormatting>
  <conditionalFormatting sqref="AH232:AI232">
    <cfRule type="expression" dxfId="470" priority="591">
      <formula>AH233&gt;AH232</formula>
    </cfRule>
  </conditionalFormatting>
  <conditionalFormatting sqref="AH234:AI234">
    <cfRule type="expression" dxfId="469" priority="590">
      <formula>AH234&gt;AH233</formula>
    </cfRule>
  </conditionalFormatting>
  <conditionalFormatting sqref="AH233:AI233">
    <cfRule type="expression" dxfId="468" priority="589">
      <formula>AH234&gt;AH233</formula>
    </cfRule>
  </conditionalFormatting>
  <conditionalFormatting sqref="AH236:AI236">
    <cfRule type="expression" dxfId="467" priority="588">
      <formula>AH236&gt;AH235</formula>
    </cfRule>
  </conditionalFormatting>
  <conditionalFormatting sqref="AH235:AI235">
    <cfRule type="expression" dxfId="466" priority="587">
      <formula>AH236&gt;AH235</formula>
    </cfRule>
  </conditionalFormatting>
  <conditionalFormatting sqref="AH238:AI238">
    <cfRule type="expression" dxfId="465" priority="586">
      <formula>AH238&gt;AH237</formula>
    </cfRule>
  </conditionalFormatting>
  <conditionalFormatting sqref="AH237:AI237">
    <cfRule type="expression" dxfId="464" priority="585">
      <formula>AH238&gt;AH237</formula>
    </cfRule>
  </conditionalFormatting>
  <conditionalFormatting sqref="AH243:AI243">
    <cfRule type="cellIs" dxfId="463" priority="584" operator="equal">
      <formula>0</formula>
    </cfRule>
  </conditionalFormatting>
  <conditionalFormatting sqref="AH242:AI242">
    <cfRule type="expression" dxfId="462" priority="583">
      <formula>AH242&gt;AH241</formula>
    </cfRule>
  </conditionalFormatting>
  <conditionalFormatting sqref="AH241:AI241">
    <cfRule type="expression" dxfId="461" priority="582">
      <formula>AH242&gt;AH241</formula>
    </cfRule>
  </conditionalFormatting>
  <conditionalFormatting sqref="AH243:AI243">
    <cfRule type="expression" dxfId="460" priority="581">
      <formula>AH243&gt;AH242</formula>
    </cfRule>
  </conditionalFormatting>
  <conditionalFormatting sqref="AH242:AI242">
    <cfRule type="expression" dxfId="459" priority="580">
      <formula>AH243&gt;AH242</formula>
    </cfRule>
  </conditionalFormatting>
  <conditionalFormatting sqref="AH245:AI245">
    <cfRule type="expression" dxfId="458" priority="579">
      <formula>AH245&gt;AH244</formula>
    </cfRule>
  </conditionalFormatting>
  <conditionalFormatting sqref="AH244:AI244">
    <cfRule type="expression" dxfId="457" priority="578">
      <formula>AH245&gt;AH244</formula>
    </cfRule>
  </conditionalFormatting>
  <conditionalFormatting sqref="AH247:AI247">
    <cfRule type="expression" dxfId="456" priority="577">
      <formula>AH247&gt;AH246</formula>
    </cfRule>
  </conditionalFormatting>
  <conditionalFormatting sqref="AH246:AI246">
    <cfRule type="expression" dxfId="455" priority="576">
      <formula>AH247&gt;AH246</formula>
    </cfRule>
  </conditionalFormatting>
  <conditionalFormatting sqref="AH250:AI250">
    <cfRule type="cellIs" dxfId="454" priority="575" operator="equal">
      <formula>0</formula>
    </cfRule>
  </conditionalFormatting>
  <conditionalFormatting sqref="AH252:AI252">
    <cfRule type="cellIs" dxfId="453" priority="574" operator="equal">
      <formula>0</formula>
    </cfRule>
  </conditionalFormatting>
  <conditionalFormatting sqref="AH251:AI251">
    <cfRule type="expression" dxfId="452" priority="573">
      <formula>AH251&gt;AH250</formula>
    </cfRule>
  </conditionalFormatting>
  <conditionalFormatting sqref="AH250:AI250">
    <cfRule type="expression" dxfId="451" priority="572">
      <formula>AH251&gt;AH250</formula>
    </cfRule>
  </conditionalFormatting>
  <conditionalFormatting sqref="AH252:AI252">
    <cfRule type="expression" dxfId="450" priority="571">
      <formula>AH252&gt;AH251</formula>
    </cfRule>
  </conditionalFormatting>
  <conditionalFormatting sqref="AH251:AI251">
    <cfRule type="expression" dxfId="449" priority="570">
      <formula>AH252&gt;AH251</formula>
    </cfRule>
  </conditionalFormatting>
  <conditionalFormatting sqref="AH254:AI254">
    <cfRule type="expression" dxfId="448" priority="569">
      <formula>AH254&gt;AH253</formula>
    </cfRule>
  </conditionalFormatting>
  <conditionalFormatting sqref="AH253:AI253">
    <cfRule type="expression" dxfId="447" priority="568">
      <formula>AH254&gt;AH253</formula>
    </cfRule>
  </conditionalFormatting>
  <conditionalFormatting sqref="AH256:AI256">
    <cfRule type="expression" dxfId="446" priority="567">
      <formula>AH256&gt;AH255</formula>
    </cfRule>
  </conditionalFormatting>
  <conditionalFormatting sqref="AH255:AI255">
    <cfRule type="expression" dxfId="445" priority="566">
      <formula>AH256&gt;AH255</formula>
    </cfRule>
  </conditionalFormatting>
  <conditionalFormatting sqref="AM68:AM69">
    <cfRule type="notContainsBlanks" dxfId="444" priority="563">
      <formula>LEN(TRIM(AM68))&gt;0</formula>
    </cfRule>
  </conditionalFormatting>
  <conditionalFormatting sqref="AL68">
    <cfRule type="notContainsBlanks" dxfId="443" priority="565">
      <formula>LEN(TRIM(AL68))&gt;0</formula>
    </cfRule>
  </conditionalFormatting>
  <conditionalFormatting sqref="AJ68:AJ69">
    <cfRule type="cellIs" dxfId="442" priority="562" operator="equal">
      <formula>0</formula>
    </cfRule>
  </conditionalFormatting>
  <conditionalFormatting sqref="AM72">
    <cfRule type="notContainsBlanks" dxfId="441" priority="560">
      <formula>LEN(TRIM(AM72))&gt;0</formula>
    </cfRule>
  </conditionalFormatting>
  <conditionalFormatting sqref="AM72:AM73">
    <cfRule type="notContainsBlanks" dxfId="440" priority="559">
      <formula>LEN(TRIM(AM72))&gt;0</formula>
    </cfRule>
  </conditionalFormatting>
  <conditionalFormatting sqref="AJ72:AJ73">
    <cfRule type="cellIs" dxfId="439" priority="558" operator="equal">
      <formula>0</formula>
    </cfRule>
  </conditionalFormatting>
  <conditionalFormatting sqref="L68:AA68">
    <cfRule type="expression" dxfId="438" priority="557">
      <formula>L68&gt;L66</formula>
    </cfRule>
  </conditionalFormatting>
  <conditionalFormatting sqref="L66:AA66">
    <cfRule type="expression" dxfId="437" priority="556">
      <formula>L68&gt;L66</formula>
    </cfRule>
  </conditionalFormatting>
  <conditionalFormatting sqref="L67:AA67">
    <cfRule type="expression" dxfId="436" priority="555">
      <formula>L69&gt;L67</formula>
    </cfRule>
  </conditionalFormatting>
  <conditionalFormatting sqref="L69:AA69">
    <cfRule type="expression" dxfId="435" priority="554">
      <formula>L69&gt;L67</formula>
    </cfRule>
  </conditionalFormatting>
  <conditionalFormatting sqref="L72:AA72">
    <cfRule type="expression" dxfId="434" priority="553">
      <formula>L72&gt;L70</formula>
    </cfRule>
  </conditionalFormatting>
  <conditionalFormatting sqref="L70:AA70">
    <cfRule type="expression" dxfId="433" priority="552">
      <formula>L72&gt;L70</formula>
    </cfRule>
  </conditionalFormatting>
  <conditionalFormatting sqref="L71:AA71">
    <cfRule type="expression" dxfId="432" priority="551">
      <formula>L73&gt;L71</formula>
    </cfRule>
  </conditionalFormatting>
  <conditionalFormatting sqref="L73:AA73">
    <cfRule type="expression" dxfId="431" priority="550">
      <formula>L73&gt;L71</formula>
    </cfRule>
  </conditionalFormatting>
  <conditionalFormatting sqref="L76:AA76">
    <cfRule type="expression" dxfId="430" priority="549">
      <formula>L76&gt;L74</formula>
    </cfRule>
  </conditionalFormatting>
  <conditionalFormatting sqref="L74:AA74">
    <cfRule type="expression" dxfId="429" priority="548">
      <formula>L76&gt;L74</formula>
    </cfRule>
  </conditionalFormatting>
  <conditionalFormatting sqref="L75:AA75">
    <cfRule type="expression" dxfId="428" priority="547">
      <formula>L77&gt;L75</formula>
    </cfRule>
  </conditionalFormatting>
  <conditionalFormatting sqref="L77:AA77">
    <cfRule type="expression" dxfId="427" priority="546">
      <formula>L77&gt;L75</formula>
    </cfRule>
  </conditionalFormatting>
  <conditionalFormatting sqref="M80">
    <cfRule type="expression" dxfId="426" priority="545">
      <formula>M80&gt;M78</formula>
    </cfRule>
  </conditionalFormatting>
  <conditionalFormatting sqref="M78">
    <cfRule type="expression" dxfId="425" priority="544">
      <formula>M80&gt;M78</formula>
    </cfRule>
  </conditionalFormatting>
  <conditionalFormatting sqref="M79">
    <cfRule type="expression" dxfId="424" priority="543">
      <formula>M81&gt;M79</formula>
    </cfRule>
  </conditionalFormatting>
  <conditionalFormatting sqref="M81">
    <cfRule type="expression" dxfId="423" priority="542">
      <formula>M81&gt;M79</formula>
    </cfRule>
  </conditionalFormatting>
  <conditionalFormatting sqref="O80">
    <cfRule type="expression" dxfId="422" priority="541">
      <formula>O80&gt;O78</formula>
    </cfRule>
  </conditionalFormatting>
  <conditionalFormatting sqref="O78">
    <cfRule type="expression" dxfId="421" priority="540">
      <formula>O80&gt;O78</formula>
    </cfRule>
  </conditionalFormatting>
  <conditionalFormatting sqref="O79">
    <cfRule type="expression" dxfId="420" priority="539">
      <formula>O81&gt;O79</formula>
    </cfRule>
  </conditionalFormatting>
  <conditionalFormatting sqref="O81">
    <cfRule type="expression" dxfId="419" priority="538">
      <formula>O81&gt;O79</formula>
    </cfRule>
  </conditionalFormatting>
  <conditionalFormatting sqref="Q80">
    <cfRule type="expression" dxfId="418" priority="537">
      <formula>Q80&gt;Q78</formula>
    </cfRule>
  </conditionalFormatting>
  <conditionalFormatting sqref="Q78">
    <cfRule type="expression" dxfId="417" priority="536">
      <formula>Q80&gt;Q78</formula>
    </cfRule>
  </conditionalFormatting>
  <conditionalFormatting sqref="Q79">
    <cfRule type="expression" dxfId="416" priority="535">
      <formula>Q81&gt;Q79</formula>
    </cfRule>
  </conditionalFormatting>
  <conditionalFormatting sqref="Q81">
    <cfRule type="expression" dxfId="415" priority="534">
      <formula>Q81&gt;Q79</formula>
    </cfRule>
  </conditionalFormatting>
  <conditionalFormatting sqref="S80">
    <cfRule type="expression" dxfId="414" priority="533">
      <formula>S80&gt;S78</formula>
    </cfRule>
  </conditionalFormatting>
  <conditionalFormatting sqref="S78">
    <cfRule type="expression" dxfId="413" priority="532">
      <formula>S80&gt;S78</formula>
    </cfRule>
  </conditionalFormatting>
  <conditionalFormatting sqref="S79">
    <cfRule type="expression" dxfId="412" priority="531">
      <formula>S81&gt;S79</formula>
    </cfRule>
  </conditionalFormatting>
  <conditionalFormatting sqref="S81">
    <cfRule type="expression" dxfId="411" priority="530">
      <formula>S81&gt;S79</formula>
    </cfRule>
  </conditionalFormatting>
  <conditionalFormatting sqref="U80">
    <cfRule type="expression" dxfId="410" priority="529">
      <formula>U80&gt;U78</formula>
    </cfRule>
  </conditionalFormatting>
  <conditionalFormatting sqref="U78">
    <cfRule type="expression" dxfId="409" priority="528">
      <formula>U80&gt;U78</formula>
    </cfRule>
  </conditionalFormatting>
  <conditionalFormatting sqref="U79">
    <cfRule type="expression" dxfId="408" priority="527">
      <formula>U81&gt;U79</formula>
    </cfRule>
  </conditionalFormatting>
  <conditionalFormatting sqref="U81">
    <cfRule type="expression" dxfId="407" priority="526">
      <formula>U81&gt;U79</formula>
    </cfRule>
  </conditionalFormatting>
  <conditionalFormatting sqref="W80">
    <cfRule type="expression" dxfId="406" priority="525">
      <formula>W80&gt;W78</formula>
    </cfRule>
  </conditionalFormatting>
  <conditionalFormatting sqref="W78">
    <cfRule type="expression" dxfId="405" priority="524">
      <formula>W80&gt;W78</formula>
    </cfRule>
  </conditionalFormatting>
  <conditionalFormatting sqref="W79">
    <cfRule type="expression" dxfId="404" priority="523">
      <formula>W81&gt;W79</formula>
    </cfRule>
  </conditionalFormatting>
  <conditionalFormatting sqref="W81">
    <cfRule type="expression" dxfId="403" priority="522">
      <formula>W81&gt;W79</formula>
    </cfRule>
  </conditionalFormatting>
  <conditionalFormatting sqref="Y80">
    <cfRule type="expression" dxfId="402" priority="521">
      <formula>Y80&gt;Y78</formula>
    </cfRule>
  </conditionalFormatting>
  <conditionalFormatting sqref="Y78">
    <cfRule type="expression" dxfId="401" priority="520">
      <formula>Y80&gt;Y78</formula>
    </cfRule>
  </conditionalFormatting>
  <conditionalFormatting sqref="Y79">
    <cfRule type="expression" dxfId="400" priority="519">
      <formula>Y81&gt;Y79</formula>
    </cfRule>
  </conditionalFormatting>
  <conditionalFormatting sqref="Y81">
    <cfRule type="expression" dxfId="399" priority="518">
      <formula>Y81&gt;Y79</formula>
    </cfRule>
  </conditionalFormatting>
  <conditionalFormatting sqref="AA80">
    <cfRule type="expression" dxfId="398" priority="517">
      <formula>AA80&gt;AA78</formula>
    </cfRule>
  </conditionalFormatting>
  <conditionalFormatting sqref="AA78">
    <cfRule type="expression" dxfId="397" priority="516">
      <formula>AA80&gt;AA78</formula>
    </cfRule>
  </conditionalFormatting>
  <conditionalFormatting sqref="AA79">
    <cfRule type="expression" dxfId="396" priority="515">
      <formula>AA81&gt;AA79</formula>
    </cfRule>
  </conditionalFormatting>
  <conditionalFormatting sqref="AA81">
    <cfRule type="expression" dxfId="395" priority="514">
      <formula>AA81&gt;AA79</formula>
    </cfRule>
  </conditionalFormatting>
  <conditionalFormatting sqref="M84">
    <cfRule type="expression" dxfId="394" priority="513">
      <formula>M84&gt;M82</formula>
    </cfRule>
  </conditionalFormatting>
  <conditionalFormatting sqref="M82">
    <cfRule type="expression" dxfId="393" priority="512">
      <formula>M84&gt;M82</formula>
    </cfRule>
  </conditionalFormatting>
  <conditionalFormatting sqref="M83">
    <cfRule type="expression" dxfId="392" priority="511">
      <formula>M85&gt;M83</formula>
    </cfRule>
  </conditionalFormatting>
  <conditionalFormatting sqref="M85">
    <cfRule type="expression" dxfId="391" priority="510">
      <formula>M85&gt;M83</formula>
    </cfRule>
  </conditionalFormatting>
  <conditionalFormatting sqref="O84">
    <cfRule type="expression" dxfId="390" priority="509">
      <formula>O84&gt;O82</formula>
    </cfRule>
  </conditionalFormatting>
  <conditionalFormatting sqref="O82">
    <cfRule type="expression" dxfId="389" priority="508">
      <formula>O84&gt;O82</formula>
    </cfRule>
  </conditionalFormatting>
  <conditionalFormatting sqref="O83">
    <cfRule type="expression" dxfId="388" priority="507">
      <formula>O85&gt;O83</formula>
    </cfRule>
  </conditionalFormatting>
  <conditionalFormatting sqref="O85">
    <cfRule type="expression" dxfId="387" priority="506">
      <formula>O85&gt;O83</formula>
    </cfRule>
  </conditionalFormatting>
  <conditionalFormatting sqref="Q84">
    <cfRule type="expression" dxfId="386" priority="505">
      <formula>Q84&gt;Q82</formula>
    </cfRule>
  </conditionalFormatting>
  <conditionalFormatting sqref="Q82">
    <cfRule type="expression" dxfId="385" priority="504">
      <formula>Q84&gt;Q82</formula>
    </cfRule>
  </conditionalFormatting>
  <conditionalFormatting sqref="Q83">
    <cfRule type="expression" dxfId="384" priority="503">
      <formula>Q85&gt;Q83</formula>
    </cfRule>
  </conditionalFormatting>
  <conditionalFormatting sqref="Q85">
    <cfRule type="expression" dxfId="383" priority="502">
      <formula>Q85&gt;Q83</formula>
    </cfRule>
  </conditionalFormatting>
  <conditionalFormatting sqref="S84">
    <cfRule type="expression" dxfId="382" priority="501">
      <formula>S84&gt;S82</formula>
    </cfRule>
  </conditionalFormatting>
  <conditionalFormatting sqref="S82">
    <cfRule type="expression" dxfId="381" priority="500">
      <formula>S84&gt;S82</formula>
    </cfRule>
  </conditionalFormatting>
  <conditionalFormatting sqref="S83">
    <cfRule type="expression" dxfId="380" priority="499">
      <formula>S85&gt;S83</formula>
    </cfRule>
  </conditionalFormatting>
  <conditionalFormatting sqref="S85">
    <cfRule type="expression" dxfId="379" priority="498">
      <formula>S85&gt;S83</formula>
    </cfRule>
  </conditionalFormatting>
  <conditionalFormatting sqref="U84">
    <cfRule type="expression" dxfId="378" priority="497">
      <formula>U84&gt;U82</formula>
    </cfRule>
  </conditionalFormatting>
  <conditionalFormatting sqref="U82">
    <cfRule type="expression" dxfId="377" priority="496">
      <formula>U84&gt;U82</formula>
    </cfRule>
  </conditionalFormatting>
  <conditionalFormatting sqref="U83">
    <cfRule type="expression" dxfId="376" priority="495">
      <formula>U85&gt;U83</formula>
    </cfRule>
  </conditionalFormatting>
  <conditionalFormatting sqref="U85">
    <cfRule type="expression" dxfId="375" priority="494">
      <formula>U85&gt;U83</formula>
    </cfRule>
  </conditionalFormatting>
  <conditionalFormatting sqref="W84">
    <cfRule type="expression" dxfId="374" priority="493">
      <formula>W84&gt;W82</formula>
    </cfRule>
  </conditionalFormatting>
  <conditionalFormatting sqref="W82">
    <cfRule type="expression" dxfId="373" priority="492">
      <formula>W84&gt;W82</formula>
    </cfRule>
  </conditionalFormatting>
  <conditionalFormatting sqref="W83">
    <cfRule type="expression" dxfId="372" priority="491">
      <formula>W85&gt;W83</formula>
    </cfRule>
  </conditionalFormatting>
  <conditionalFormatting sqref="W85">
    <cfRule type="expression" dxfId="371" priority="490">
      <formula>W85&gt;W83</formula>
    </cfRule>
  </conditionalFormatting>
  <conditionalFormatting sqref="Y84">
    <cfRule type="expression" dxfId="370" priority="489">
      <formula>Y84&gt;Y82</formula>
    </cfRule>
  </conditionalFormatting>
  <conditionalFormatting sqref="Y82">
    <cfRule type="expression" dxfId="369" priority="488">
      <formula>Y84&gt;Y82</formula>
    </cfRule>
  </conditionalFormatting>
  <conditionalFormatting sqref="Y83">
    <cfRule type="expression" dxfId="368" priority="487">
      <formula>Y85&gt;Y83</formula>
    </cfRule>
  </conditionalFormatting>
  <conditionalFormatting sqref="Y85">
    <cfRule type="expression" dxfId="367" priority="486">
      <formula>Y85&gt;Y83</formula>
    </cfRule>
  </conditionalFormatting>
  <conditionalFormatting sqref="AA84">
    <cfRule type="expression" dxfId="366" priority="485">
      <formula>AA84&gt;AA82</formula>
    </cfRule>
  </conditionalFormatting>
  <conditionalFormatting sqref="AA82">
    <cfRule type="expression" dxfId="365" priority="484">
      <formula>AA84&gt;AA82</formula>
    </cfRule>
  </conditionalFormatting>
  <conditionalFormatting sqref="AA83">
    <cfRule type="expression" dxfId="364" priority="483">
      <formula>AA85&gt;AA83</formula>
    </cfRule>
  </conditionalFormatting>
  <conditionalFormatting sqref="AA85">
    <cfRule type="expression" dxfId="363" priority="482">
      <formula>AA85&gt;AA83</formula>
    </cfRule>
  </conditionalFormatting>
  <conditionalFormatting sqref="L88:AA88">
    <cfRule type="expression" dxfId="362" priority="481">
      <formula>L88&gt;L86</formula>
    </cfRule>
  </conditionalFormatting>
  <conditionalFormatting sqref="L86:AA86">
    <cfRule type="expression" dxfId="361" priority="480">
      <formula>L88&gt;L86</formula>
    </cfRule>
  </conditionalFormatting>
  <conditionalFormatting sqref="L87:AA87">
    <cfRule type="expression" dxfId="360" priority="479">
      <formula>L89&gt;L87</formula>
    </cfRule>
  </conditionalFormatting>
  <conditionalFormatting sqref="L89:AA89">
    <cfRule type="expression" dxfId="359" priority="478">
      <formula>L89&gt;L87</formula>
    </cfRule>
  </conditionalFormatting>
  <conditionalFormatting sqref="L92:AA92">
    <cfRule type="expression" dxfId="358" priority="477">
      <formula>L92&gt;L90</formula>
    </cfRule>
  </conditionalFormatting>
  <conditionalFormatting sqref="L90:AA90">
    <cfRule type="expression" dxfId="357" priority="476">
      <formula>L92&gt;L90</formula>
    </cfRule>
  </conditionalFormatting>
  <conditionalFormatting sqref="L91:AA91">
    <cfRule type="expression" dxfId="356" priority="475">
      <formula>L93&gt;L91</formula>
    </cfRule>
  </conditionalFormatting>
  <conditionalFormatting sqref="L93:AA93">
    <cfRule type="expression" dxfId="355" priority="474">
      <formula>L93&gt;L91</formula>
    </cfRule>
  </conditionalFormatting>
  <conditionalFormatting sqref="L96:AA96">
    <cfRule type="expression" dxfId="354" priority="473">
      <formula>L96&gt;L94</formula>
    </cfRule>
  </conditionalFormatting>
  <conditionalFormatting sqref="L94:AA94">
    <cfRule type="expression" dxfId="353" priority="472">
      <formula>L96&gt;L94</formula>
    </cfRule>
  </conditionalFormatting>
  <conditionalFormatting sqref="L95:AA95">
    <cfRule type="expression" dxfId="352" priority="471">
      <formula>L97&gt;L95</formula>
    </cfRule>
  </conditionalFormatting>
  <conditionalFormatting sqref="L97:AA97">
    <cfRule type="expression" dxfId="351" priority="470">
      <formula>L97&gt;L95</formula>
    </cfRule>
  </conditionalFormatting>
  <conditionalFormatting sqref="L100:AA100">
    <cfRule type="expression" dxfId="350" priority="469">
      <formula>L100&gt;L98</formula>
    </cfRule>
  </conditionalFormatting>
  <conditionalFormatting sqref="L98:AA98">
    <cfRule type="expression" dxfId="349" priority="468">
      <formula>L100&gt;L98</formula>
    </cfRule>
  </conditionalFormatting>
  <conditionalFormatting sqref="L99:AA99">
    <cfRule type="expression" dxfId="348" priority="467">
      <formula>L101&gt;L99</formula>
    </cfRule>
  </conditionalFormatting>
  <conditionalFormatting sqref="L101:AA101">
    <cfRule type="expression" dxfId="347" priority="466">
      <formula>L101&gt;L99</formula>
    </cfRule>
  </conditionalFormatting>
  <conditionalFormatting sqref="L104:AA104">
    <cfRule type="expression" dxfId="346" priority="465">
      <formula>L104&gt;L102</formula>
    </cfRule>
  </conditionalFormatting>
  <conditionalFormatting sqref="L102:AA102">
    <cfRule type="expression" dxfId="345" priority="464">
      <formula>L104&gt;L102</formula>
    </cfRule>
  </conditionalFormatting>
  <conditionalFormatting sqref="L103:AA103">
    <cfRule type="expression" dxfId="344" priority="463">
      <formula>L105&gt;L103</formula>
    </cfRule>
  </conditionalFormatting>
  <conditionalFormatting sqref="L105:AA105">
    <cfRule type="expression" dxfId="343" priority="462">
      <formula>L105&gt;L103</formula>
    </cfRule>
  </conditionalFormatting>
  <conditionalFormatting sqref="AK68:AK69">
    <cfRule type="notContainsBlanks" dxfId="342" priority="461">
      <formula>LEN(TRIM(AK68))&gt;0</formula>
    </cfRule>
  </conditionalFormatting>
  <conditionalFormatting sqref="AK70:AK71">
    <cfRule type="notContainsBlanks" dxfId="341" priority="460">
      <formula>LEN(TRIM(AK70))&gt;0</formula>
    </cfRule>
  </conditionalFormatting>
  <conditionalFormatting sqref="AK72:AK73">
    <cfRule type="notContainsBlanks" dxfId="340" priority="459">
      <formula>LEN(TRIM(AK72))&gt;0</formula>
    </cfRule>
  </conditionalFormatting>
  <conditionalFormatting sqref="AK74:AK75">
    <cfRule type="notContainsBlanks" dxfId="339" priority="458">
      <formula>LEN(TRIM(AK74))&gt;0</formula>
    </cfRule>
  </conditionalFormatting>
  <conditionalFormatting sqref="AK78:AK79">
    <cfRule type="notContainsBlanks" dxfId="338" priority="457">
      <formula>LEN(TRIM(AK78))&gt;0</formula>
    </cfRule>
  </conditionalFormatting>
  <conditionalFormatting sqref="AK82:AK83">
    <cfRule type="notContainsBlanks" dxfId="337" priority="456">
      <formula>LEN(TRIM(AK82))&gt;0</formula>
    </cfRule>
  </conditionalFormatting>
  <conditionalFormatting sqref="AK86:AK87">
    <cfRule type="notContainsBlanks" dxfId="336" priority="455">
      <formula>LEN(TRIM(AK86))&gt;0</formula>
    </cfRule>
  </conditionalFormatting>
  <conditionalFormatting sqref="AK90:AK91">
    <cfRule type="notContainsBlanks" dxfId="335" priority="454">
      <formula>LEN(TRIM(AK90))&gt;0</formula>
    </cfRule>
  </conditionalFormatting>
  <conditionalFormatting sqref="AK94:AK95">
    <cfRule type="notContainsBlanks" dxfId="334" priority="453">
      <formula>LEN(TRIM(AK94))&gt;0</formula>
    </cfRule>
  </conditionalFormatting>
  <conditionalFormatting sqref="AK98:AK99">
    <cfRule type="notContainsBlanks" dxfId="333" priority="452">
      <formula>LEN(TRIM(AK98))&gt;0</formula>
    </cfRule>
  </conditionalFormatting>
  <conditionalFormatting sqref="AK102:AK103">
    <cfRule type="notContainsBlanks" dxfId="332" priority="451">
      <formula>LEN(TRIM(AK102))&gt;0</formula>
    </cfRule>
  </conditionalFormatting>
  <conditionalFormatting sqref="K150 M150 O150 Q150 S150 U150 W150 Y150 AA150">
    <cfRule type="expression" dxfId="331" priority="3264">
      <formula>(K147+K148+K150)&gt;K140</formula>
    </cfRule>
  </conditionalFormatting>
  <conditionalFormatting sqref="F472">
    <cfRule type="cellIs" dxfId="330" priority="450" operator="equal">
      <formula>0</formula>
    </cfRule>
  </conditionalFormatting>
  <conditionalFormatting sqref="F467 L467 N467 P467 R467 T467 V467 X467 Z467 J467 H467 AB467 AD467 AF467 AH467">
    <cfRule type="cellIs" dxfId="329" priority="449" operator="equal">
      <formula>0</formula>
    </cfRule>
  </conditionalFormatting>
  <conditionalFormatting sqref="AJ127">
    <cfRule type="cellIs" dxfId="328" priority="448" operator="equal">
      <formula>0</formula>
    </cfRule>
  </conditionalFormatting>
  <conditionalFormatting sqref="J127:AA127">
    <cfRule type="cellIs" dxfId="327" priority="447" operator="equal">
      <formula>0</formula>
    </cfRule>
  </conditionalFormatting>
  <conditionalFormatting sqref="F418:Y418 AB418:AI418">
    <cfRule type="expression" dxfId="326" priority="440">
      <formula>F417&lt;&gt;F418+F419+F420+F421</formula>
    </cfRule>
  </conditionalFormatting>
  <conditionalFormatting sqref="F417:AI417">
    <cfRule type="expression" dxfId="325" priority="439">
      <formula>F417&lt;&gt;F418+F419+F420+F421</formula>
    </cfRule>
  </conditionalFormatting>
  <conditionalFormatting sqref="F419:Y419 AB419:AI419">
    <cfRule type="expression" dxfId="324" priority="438">
      <formula>F417&lt;&gt;F418+F419+F420+F421</formula>
    </cfRule>
  </conditionalFormatting>
  <conditionalFormatting sqref="F420:Y420 AB420:AI420">
    <cfRule type="expression" dxfId="323" priority="437">
      <formula>F417&lt;&gt;F418+F419+F420+F421</formula>
    </cfRule>
  </conditionalFormatting>
  <conditionalFormatting sqref="F421:Y421 AB421:AI421">
    <cfRule type="expression" dxfId="322" priority="436">
      <formula>F417&lt;&gt;F418+F419+F420+F421</formula>
    </cfRule>
  </conditionalFormatting>
  <conditionalFormatting sqref="F422:AI422">
    <cfRule type="cellIs" dxfId="321" priority="435" operator="equal">
      <formula>0</formula>
    </cfRule>
  </conditionalFormatting>
  <conditionalFormatting sqref="F423:Y423 AB423:AI423">
    <cfRule type="expression" dxfId="320" priority="434">
      <formula>F422&lt;&gt;F423+F424+F425+F426</formula>
    </cfRule>
  </conditionalFormatting>
  <conditionalFormatting sqref="F422:AI422">
    <cfRule type="expression" dxfId="319" priority="433">
      <formula>F422&lt;&gt;F423+F424+F425+F426</formula>
    </cfRule>
  </conditionalFormatting>
  <conditionalFormatting sqref="F424:Y424 AB424:AI424">
    <cfRule type="expression" dxfId="318" priority="432">
      <formula>F422&lt;&gt;F423+F424+F425+F426</formula>
    </cfRule>
  </conditionalFormatting>
  <conditionalFormatting sqref="F425:Y425 AB425:AI425">
    <cfRule type="expression" dxfId="317" priority="431">
      <formula>F422&lt;&gt;F423+F424+F425+F426</formula>
    </cfRule>
  </conditionalFormatting>
  <conditionalFormatting sqref="F426:Y426 AB426:AI426">
    <cfRule type="expression" dxfId="316" priority="430">
      <formula>F422&lt;&gt;F423+F424+F425+F426</formula>
    </cfRule>
  </conditionalFormatting>
  <conditionalFormatting sqref="F427:AI427">
    <cfRule type="cellIs" dxfId="315" priority="429" operator="equal">
      <formula>0</formula>
    </cfRule>
  </conditionalFormatting>
  <conditionalFormatting sqref="F428:Y428 AB428:AI428">
    <cfRule type="expression" dxfId="314" priority="428">
      <formula>F427&lt;&gt;F428+F429+F430+F431</formula>
    </cfRule>
  </conditionalFormatting>
  <conditionalFormatting sqref="F427:AI427">
    <cfRule type="expression" dxfId="313" priority="427">
      <formula>F427&lt;&gt;F428+F429+F430+F431</formula>
    </cfRule>
  </conditionalFormatting>
  <conditionalFormatting sqref="F429:Y429 AB429:AI429">
    <cfRule type="expression" dxfId="312" priority="426">
      <formula>F427&lt;&gt;F428+F429+F430+F431</formula>
    </cfRule>
  </conditionalFormatting>
  <conditionalFormatting sqref="F430:Y430 AB430:AI430">
    <cfRule type="expression" dxfId="311" priority="425">
      <formula>F427&lt;&gt;F428+F429+F430+F431</formula>
    </cfRule>
  </conditionalFormatting>
  <conditionalFormatting sqref="F431:Y431 AB431:AI431">
    <cfRule type="expression" dxfId="310" priority="424">
      <formula>F427&lt;&gt;F428+F429+F430+F431</formula>
    </cfRule>
  </conditionalFormatting>
  <conditionalFormatting sqref="F432:AI432">
    <cfRule type="cellIs" dxfId="309" priority="417" operator="equal">
      <formula>0</formula>
    </cfRule>
  </conditionalFormatting>
  <conditionalFormatting sqref="F433:Y433 AB433:AI433">
    <cfRule type="expression" dxfId="308" priority="416">
      <formula>F432&lt;&gt;F433+F434+F435+F436</formula>
    </cfRule>
  </conditionalFormatting>
  <conditionalFormatting sqref="F432:AI432">
    <cfRule type="expression" dxfId="307" priority="415">
      <formula>F432&lt;&gt;F433+F434+F435+F436</formula>
    </cfRule>
  </conditionalFormatting>
  <conditionalFormatting sqref="F434:Y434 AB434:AI434">
    <cfRule type="expression" dxfId="306" priority="414">
      <formula>F432&lt;&gt;F433+F434+F435+F436</formula>
    </cfRule>
  </conditionalFormatting>
  <conditionalFormatting sqref="F435:Y435 AB435:AI435">
    <cfRule type="expression" dxfId="305" priority="413">
      <formula>F432&lt;&gt;F433+F434+F435+F436</formula>
    </cfRule>
  </conditionalFormatting>
  <conditionalFormatting sqref="F436:Y436 AB436:AI436">
    <cfRule type="expression" dxfId="304" priority="412">
      <formula>F432&lt;&gt;F433+F434+F435+F436</formula>
    </cfRule>
  </conditionalFormatting>
  <conditionalFormatting sqref="F437:AI437">
    <cfRule type="cellIs" dxfId="303" priority="411" operator="equal">
      <formula>0</formula>
    </cfRule>
  </conditionalFormatting>
  <conditionalFormatting sqref="F438:Y438 AB438:AI438">
    <cfRule type="expression" dxfId="302" priority="410">
      <formula>F437&lt;&gt;F438+F439+F440+F441</formula>
    </cfRule>
  </conditionalFormatting>
  <conditionalFormatting sqref="F437:AI437">
    <cfRule type="expression" dxfId="301" priority="409">
      <formula>F437&lt;&gt;F438+F439+F440+F441</formula>
    </cfRule>
  </conditionalFormatting>
  <conditionalFormatting sqref="F439:Y439 AB439:AI439">
    <cfRule type="expression" dxfId="300" priority="408">
      <formula>F437&lt;&gt;F438+F439+F440+F441</formula>
    </cfRule>
  </conditionalFormatting>
  <conditionalFormatting sqref="F440:Y440 AB440:AI440">
    <cfRule type="expression" dxfId="299" priority="407">
      <formula>F437&lt;&gt;F438+F439+F440+F441</formula>
    </cfRule>
  </conditionalFormatting>
  <conditionalFormatting sqref="F441:Y441 AB441:AI441">
    <cfRule type="expression" dxfId="298" priority="406">
      <formula>F437&lt;&gt;F438+F439+F440+F441</formula>
    </cfRule>
  </conditionalFormatting>
  <conditionalFormatting sqref="F442:AI442">
    <cfRule type="cellIs" dxfId="297" priority="405" operator="equal">
      <formula>0</formula>
    </cfRule>
  </conditionalFormatting>
  <conditionalFormatting sqref="F443:Y443 AB443:AI443">
    <cfRule type="expression" dxfId="296" priority="404">
      <formula>F442&lt;&gt;F443+F444+F445+F446</formula>
    </cfRule>
  </conditionalFormatting>
  <conditionalFormatting sqref="F442:AI442">
    <cfRule type="expression" dxfId="295" priority="403">
      <formula>F442&lt;&gt;F443+F444+F445+F446</formula>
    </cfRule>
  </conditionalFormatting>
  <conditionalFormatting sqref="F444:Y444 AB444:AI444">
    <cfRule type="expression" dxfId="294" priority="402">
      <formula>F442&lt;&gt;F443+F444+F445+F446</formula>
    </cfRule>
  </conditionalFormatting>
  <conditionalFormatting sqref="F445:Y445 AB445:AI445">
    <cfRule type="expression" dxfId="293" priority="401">
      <formula>F442&lt;&gt;F443+F444+F445+F446</formula>
    </cfRule>
  </conditionalFormatting>
  <conditionalFormatting sqref="F446:Y446 AB446:AI446">
    <cfRule type="expression" dxfId="292" priority="400">
      <formula>F442&lt;&gt;F443+F444+F445+F446</formula>
    </cfRule>
  </conditionalFormatting>
  <conditionalFormatting sqref="F447:AI447">
    <cfRule type="cellIs" dxfId="291" priority="399" operator="equal">
      <formula>0</formula>
    </cfRule>
  </conditionalFormatting>
  <conditionalFormatting sqref="F448:Y448 AB448:AI448">
    <cfRule type="expression" dxfId="290" priority="398">
      <formula>F447&lt;&gt;F448+F449+F450+F451</formula>
    </cfRule>
  </conditionalFormatting>
  <conditionalFormatting sqref="F447:AI447">
    <cfRule type="expression" dxfId="289" priority="397">
      <formula>F447&lt;&gt;F448+F449+F450+F451</formula>
    </cfRule>
  </conditionalFormatting>
  <conditionalFormatting sqref="F449:Y449 AB449:AI449">
    <cfRule type="expression" dxfId="288" priority="396">
      <formula>F447&lt;&gt;F448+F449+F450+F451</formula>
    </cfRule>
  </conditionalFormatting>
  <conditionalFormatting sqref="F450:Y450 AB450:AI450">
    <cfRule type="expression" dxfId="287" priority="395">
      <formula>F447&lt;&gt;F448+F449+F450+F451</formula>
    </cfRule>
  </conditionalFormatting>
  <conditionalFormatting sqref="F451:Y451 AB451:AI451">
    <cfRule type="expression" dxfId="286" priority="394">
      <formula>F447&lt;&gt;F448+F449+F450+F451</formula>
    </cfRule>
  </conditionalFormatting>
  <conditionalFormatting sqref="F452:AI452">
    <cfRule type="cellIs" dxfId="285" priority="393" operator="equal">
      <formula>0</formula>
    </cfRule>
  </conditionalFormatting>
  <conditionalFormatting sqref="F453:Y453 AB453:AI453">
    <cfRule type="expression" dxfId="284" priority="392">
      <formula>F452&lt;&gt;F453+F454+F455+F456</formula>
    </cfRule>
  </conditionalFormatting>
  <conditionalFormatting sqref="F452:AI452">
    <cfRule type="expression" dxfId="283" priority="391">
      <formula>F452&lt;&gt;F453+F454+F455+F456</formula>
    </cfRule>
  </conditionalFormatting>
  <conditionalFormatting sqref="F454:Y454 AB454:AI454">
    <cfRule type="expression" dxfId="282" priority="390">
      <formula>F452&lt;&gt;F453+F454+F455+F456</formula>
    </cfRule>
  </conditionalFormatting>
  <conditionalFormatting sqref="F455:Y455 AB455:AI455">
    <cfRule type="expression" dxfId="281" priority="389">
      <formula>F452&lt;&gt;F453+F454+F455+F456</formula>
    </cfRule>
  </conditionalFormatting>
  <conditionalFormatting sqref="F456:Y456 AB456:AI456">
    <cfRule type="expression" dxfId="280" priority="388">
      <formula>F452&lt;&gt;F453+F454+F455+F456</formula>
    </cfRule>
  </conditionalFormatting>
  <conditionalFormatting sqref="L457:AI457">
    <cfRule type="cellIs" dxfId="279" priority="387" operator="equal">
      <formula>0</formula>
    </cfRule>
  </conditionalFormatting>
  <conditionalFormatting sqref="L458:Y458 AB458:AI458">
    <cfRule type="expression" dxfId="278" priority="386">
      <formula>L457&lt;&gt;L458+L459+L460+L461</formula>
    </cfRule>
  </conditionalFormatting>
  <conditionalFormatting sqref="L457:AI457">
    <cfRule type="expression" dxfId="277" priority="385">
      <formula>L457&lt;&gt;L458+L459+L460+L461</formula>
    </cfRule>
  </conditionalFormatting>
  <conditionalFormatting sqref="L459:Y459 AB459:AI459">
    <cfRule type="expression" dxfId="276" priority="384">
      <formula>L457&lt;&gt;L458+L459+L460+L461</formula>
    </cfRule>
  </conditionalFormatting>
  <conditionalFormatting sqref="L460:Y460 AB460:AI460">
    <cfRule type="expression" dxfId="275" priority="383">
      <formula>L457&lt;&gt;L458+L459+L460+L461</formula>
    </cfRule>
  </conditionalFormatting>
  <conditionalFormatting sqref="L461:Y461 AB461:AI461">
    <cfRule type="expression" dxfId="274" priority="382">
      <formula>L457&lt;&gt;L458+L459+L460+L461</formula>
    </cfRule>
  </conditionalFormatting>
  <conditionalFormatting sqref="F462:AI462">
    <cfRule type="cellIs" dxfId="273" priority="381" operator="equal">
      <formula>0</formula>
    </cfRule>
  </conditionalFormatting>
  <conditionalFormatting sqref="F463:Y463 AB463:AI463">
    <cfRule type="expression" dxfId="272" priority="380">
      <formula>F462&lt;&gt;F463+F464+F465+F466</formula>
    </cfRule>
  </conditionalFormatting>
  <conditionalFormatting sqref="F462:AI462">
    <cfRule type="expression" dxfId="271" priority="379">
      <formula>F462&lt;&gt;F463+F464+F465+F466</formula>
    </cfRule>
  </conditionalFormatting>
  <conditionalFormatting sqref="F464:Y464 AB464:AI464">
    <cfRule type="expression" dxfId="270" priority="378">
      <formula>F462&lt;&gt;F463+F464+F465+F466</formula>
    </cfRule>
  </conditionalFormatting>
  <conditionalFormatting sqref="F465:Y465 AB465:AI465">
    <cfRule type="expression" dxfId="269" priority="377">
      <formula>F462&lt;&gt;F463+F464+F465+F466</formula>
    </cfRule>
  </conditionalFormatting>
  <conditionalFormatting sqref="F466:Y466 AB466:AI466">
    <cfRule type="expression" dxfId="268" priority="376">
      <formula>F462&lt;&gt;F463+F464+F465+F466</formula>
    </cfRule>
  </conditionalFormatting>
  <conditionalFormatting sqref="K467">
    <cfRule type="cellIs" dxfId="267" priority="375" operator="equal">
      <formula>0</formula>
    </cfRule>
  </conditionalFormatting>
  <conditionalFormatting sqref="K468">
    <cfRule type="expression" dxfId="266" priority="374">
      <formula>K467&lt;&gt;K468+K469+K470+K471</formula>
    </cfRule>
  </conditionalFormatting>
  <conditionalFormatting sqref="K467">
    <cfRule type="expression" dxfId="265" priority="373">
      <formula>K467&lt;&gt;K468+K469+K470+K471</formula>
    </cfRule>
  </conditionalFormatting>
  <conditionalFormatting sqref="K469">
    <cfRule type="expression" dxfId="264" priority="372">
      <formula>K467&lt;&gt;K468+K469+K470+K471</formula>
    </cfRule>
  </conditionalFormatting>
  <conditionalFormatting sqref="K470">
    <cfRule type="expression" dxfId="263" priority="371">
      <formula>K467&lt;&gt;K468+K469+K470+K471</formula>
    </cfRule>
  </conditionalFormatting>
  <conditionalFormatting sqref="K471">
    <cfRule type="expression" dxfId="262" priority="370">
      <formula>K467&lt;&gt;K468+K469+K470+K471</formula>
    </cfRule>
  </conditionalFormatting>
  <conditionalFormatting sqref="M467">
    <cfRule type="cellIs" dxfId="261" priority="369" operator="equal">
      <formula>0</formula>
    </cfRule>
  </conditionalFormatting>
  <conditionalFormatting sqref="M468">
    <cfRule type="expression" dxfId="260" priority="368">
      <formula>M467&lt;&gt;M468+M469+M470+M471</formula>
    </cfRule>
  </conditionalFormatting>
  <conditionalFormatting sqref="M467">
    <cfRule type="expression" dxfId="259" priority="367">
      <formula>M467&lt;&gt;M468+M469+M470+M471</formula>
    </cfRule>
  </conditionalFormatting>
  <conditionalFormatting sqref="M469">
    <cfRule type="expression" dxfId="258" priority="366">
      <formula>M467&lt;&gt;M468+M469+M470+M471</formula>
    </cfRule>
  </conditionalFormatting>
  <conditionalFormatting sqref="M470">
    <cfRule type="expression" dxfId="257" priority="365">
      <formula>M467&lt;&gt;M468+M469+M470+M471</formula>
    </cfRule>
  </conditionalFormatting>
  <conditionalFormatting sqref="M471">
    <cfRule type="expression" dxfId="256" priority="364">
      <formula>M467&lt;&gt;M468+M469+M470+M471</formula>
    </cfRule>
  </conditionalFormatting>
  <conditionalFormatting sqref="O467">
    <cfRule type="cellIs" dxfId="255" priority="363" operator="equal">
      <formula>0</formula>
    </cfRule>
  </conditionalFormatting>
  <conditionalFormatting sqref="O468">
    <cfRule type="expression" dxfId="254" priority="362">
      <formula>O467&lt;&gt;O468+O469+O470+O471</formula>
    </cfRule>
  </conditionalFormatting>
  <conditionalFormatting sqref="O467">
    <cfRule type="expression" dxfId="253" priority="361">
      <formula>O467&lt;&gt;O468+O469+O470+O471</formula>
    </cfRule>
  </conditionalFormatting>
  <conditionalFormatting sqref="O469">
    <cfRule type="expression" dxfId="252" priority="360">
      <formula>O467&lt;&gt;O468+O469+O470+O471</formula>
    </cfRule>
  </conditionalFormatting>
  <conditionalFormatting sqref="O470">
    <cfRule type="expression" dxfId="251" priority="359">
      <formula>O467&lt;&gt;O468+O469+O470+O471</formula>
    </cfRule>
  </conditionalFormatting>
  <conditionalFormatting sqref="O471">
    <cfRule type="expression" dxfId="250" priority="358">
      <formula>O467&lt;&gt;O468+O469+O470+O471</formula>
    </cfRule>
  </conditionalFormatting>
  <conditionalFormatting sqref="Q467">
    <cfRule type="cellIs" dxfId="249" priority="357" operator="equal">
      <formula>0</formula>
    </cfRule>
  </conditionalFormatting>
  <conditionalFormatting sqref="Q468">
    <cfRule type="expression" dxfId="248" priority="356">
      <formula>Q467&lt;&gt;Q468+Q469+Q470+Q471</formula>
    </cfRule>
  </conditionalFormatting>
  <conditionalFormatting sqref="Q467">
    <cfRule type="expression" dxfId="247" priority="355">
      <formula>Q467&lt;&gt;Q468+Q469+Q470+Q471</formula>
    </cfRule>
  </conditionalFormatting>
  <conditionalFormatting sqref="Q469">
    <cfRule type="expression" dxfId="246" priority="354">
      <formula>Q467&lt;&gt;Q468+Q469+Q470+Q471</formula>
    </cfRule>
  </conditionalFormatting>
  <conditionalFormatting sqref="Q470">
    <cfRule type="expression" dxfId="245" priority="353">
      <formula>Q467&lt;&gt;Q468+Q469+Q470+Q471</formula>
    </cfRule>
  </conditionalFormatting>
  <conditionalFormatting sqref="Q471">
    <cfRule type="expression" dxfId="244" priority="352">
      <formula>Q467&lt;&gt;Q468+Q469+Q470+Q471</formula>
    </cfRule>
  </conditionalFormatting>
  <conditionalFormatting sqref="S467">
    <cfRule type="cellIs" dxfId="243" priority="351" operator="equal">
      <formula>0</formula>
    </cfRule>
  </conditionalFormatting>
  <conditionalFormatting sqref="S468">
    <cfRule type="expression" dxfId="242" priority="350">
      <formula>S467&lt;&gt;S468+S469+S470+S471</formula>
    </cfRule>
  </conditionalFormatting>
  <conditionalFormatting sqref="S467">
    <cfRule type="expression" dxfId="241" priority="349">
      <formula>S467&lt;&gt;S468+S469+S470+S471</formula>
    </cfRule>
  </conditionalFormatting>
  <conditionalFormatting sqref="S469">
    <cfRule type="expression" dxfId="240" priority="348">
      <formula>S467&lt;&gt;S468+S469+S470+S471</formula>
    </cfRule>
  </conditionalFormatting>
  <conditionalFormatting sqref="S470">
    <cfRule type="expression" dxfId="239" priority="347">
      <formula>S467&lt;&gt;S468+S469+S470+S471</formula>
    </cfRule>
  </conditionalFormatting>
  <conditionalFormatting sqref="S471">
    <cfRule type="expression" dxfId="238" priority="346">
      <formula>S467&lt;&gt;S468+S469+S470+S471</formula>
    </cfRule>
  </conditionalFormatting>
  <conditionalFormatting sqref="U467">
    <cfRule type="cellIs" dxfId="237" priority="345" operator="equal">
      <formula>0</formula>
    </cfRule>
  </conditionalFormatting>
  <conditionalFormatting sqref="U468">
    <cfRule type="expression" dxfId="236" priority="344">
      <formula>U467&lt;&gt;U468+U469+U470+U471</formula>
    </cfRule>
  </conditionalFormatting>
  <conditionalFormatting sqref="U467">
    <cfRule type="expression" dxfId="235" priority="343">
      <formula>U467&lt;&gt;U468+U469+U470+U471</formula>
    </cfRule>
  </conditionalFormatting>
  <conditionalFormatting sqref="U469">
    <cfRule type="expression" dxfId="234" priority="342">
      <formula>U467&lt;&gt;U468+U469+U470+U471</formula>
    </cfRule>
  </conditionalFormatting>
  <conditionalFormatting sqref="U470">
    <cfRule type="expression" dxfId="233" priority="341">
      <formula>U467&lt;&gt;U468+U469+U470+U471</formula>
    </cfRule>
  </conditionalFormatting>
  <conditionalFormatting sqref="U471">
    <cfRule type="expression" dxfId="232" priority="340">
      <formula>U467&lt;&gt;U468+U469+U470+U471</formula>
    </cfRule>
  </conditionalFormatting>
  <conditionalFormatting sqref="W467">
    <cfRule type="cellIs" dxfId="231" priority="339" operator="equal">
      <formula>0</formula>
    </cfRule>
  </conditionalFormatting>
  <conditionalFormatting sqref="W468">
    <cfRule type="expression" dxfId="230" priority="338">
      <formula>W467&lt;&gt;W468+W469+W470+W471</formula>
    </cfRule>
  </conditionalFormatting>
  <conditionalFormatting sqref="W467">
    <cfRule type="expression" dxfId="229" priority="337">
      <formula>W467&lt;&gt;W468+W469+W470+W471</formula>
    </cfRule>
  </conditionalFormatting>
  <conditionalFormatting sqref="W469">
    <cfRule type="expression" dxfId="228" priority="336">
      <formula>W467&lt;&gt;W468+W469+W470+W471</formula>
    </cfRule>
  </conditionalFormatting>
  <conditionalFormatting sqref="W470">
    <cfRule type="expression" dxfId="227" priority="335">
      <formula>W467&lt;&gt;W468+W469+W470+W471</formula>
    </cfRule>
  </conditionalFormatting>
  <conditionalFormatting sqref="W471">
    <cfRule type="expression" dxfId="226" priority="334">
      <formula>W467&lt;&gt;W468+W469+W470+W471</formula>
    </cfRule>
  </conditionalFormatting>
  <conditionalFormatting sqref="Y467">
    <cfRule type="cellIs" dxfId="225" priority="333" operator="equal">
      <formula>0</formula>
    </cfRule>
  </conditionalFormatting>
  <conditionalFormatting sqref="Y468">
    <cfRule type="expression" dxfId="224" priority="332">
      <formula>Y467&lt;&gt;Y468+Y469+Y470+Y471</formula>
    </cfRule>
  </conditionalFormatting>
  <conditionalFormatting sqref="Y467">
    <cfRule type="expression" dxfId="223" priority="331">
      <formula>Y467&lt;&gt;Y468+Y469+Y470+Y471</formula>
    </cfRule>
  </conditionalFormatting>
  <conditionalFormatting sqref="Y469">
    <cfRule type="expression" dxfId="222" priority="330">
      <formula>Y467&lt;&gt;Y468+Y469+Y470+Y471</formula>
    </cfRule>
  </conditionalFormatting>
  <conditionalFormatting sqref="Y470">
    <cfRule type="expression" dxfId="221" priority="329">
      <formula>Y467&lt;&gt;Y468+Y469+Y470+Y471</formula>
    </cfRule>
  </conditionalFormatting>
  <conditionalFormatting sqref="Y471">
    <cfRule type="expression" dxfId="220" priority="328">
      <formula>Y467&lt;&gt;Y468+Y469+Y470+Y471</formula>
    </cfRule>
  </conditionalFormatting>
  <conditionalFormatting sqref="AA467 AC467 AE467 AG467 AI467">
    <cfRule type="cellIs" dxfId="219" priority="327" operator="equal">
      <formula>0</formula>
    </cfRule>
  </conditionalFormatting>
  <conditionalFormatting sqref="AC468 AE468 AG468 AI468">
    <cfRule type="expression" dxfId="218" priority="326">
      <formula>AC467&lt;&gt;AC468+AC469+AC470+AC471</formula>
    </cfRule>
  </conditionalFormatting>
  <conditionalFormatting sqref="AA467 AC467 AE467 AG467 AI467">
    <cfRule type="expression" dxfId="217" priority="325">
      <formula>AA467&lt;&gt;AA468+AA469+AA470+AA471</formula>
    </cfRule>
  </conditionalFormatting>
  <conditionalFormatting sqref="AC469 AE469 AG469 AI469">
    <cfRule type="expression" dxfId="216" priority="324">
      <formula>AC467&lt;&gt;AC468+AC469+AC470+AC471</formula>
    </cfRule>
  </conditionalFormatting>
  <conditionalFormatting sqref="AC470 AE470 AG470 AI470">
    <cfRule type="expression" dxfId="215" priority="323">
      <formula>AC467&lt;&gt;AC468+AC469+AC470+AC471</formula>
    </cfRule>
  </conditionalFormatting>
  <conditionalFormatting sqref="AC471 AE471 AG471 AI471">
    <cfRule type="expression" dxfId="214" priority="322">
      <formula>AC467&lt;&gt;AC468+AC469+AC470+AC471</formula>
    </cfRule>
  </conditionalFormatting>
  <conditionalFormatting sqref="I467">
    <cfRule type="cellIs" dxfId="213" priority="321" operator="equal">
      <formula>0</formula>
    </cfRule>
  </conditionalFormatting>
  <conditionalFormatting sqref="I468">
    <cfRule type="expression" dxfId="212" priority="320">
      <formula>I467&lt;&gt;I468+I469+I470+I471</formula>
    </cfRule>
  </conditionalFormatting>
  <conditionalFormatting sqref="I467">
    <cfRule type="expression" dxfId="211" priority="319">
      <formula>I467&lt;&gt;I468+I469+I470+I471</formula>
    </cfRule>
  </conditionalFormatting>
  <conditionalFormatting sqref="I469">
    <cfRule type="expression" dxfId="210" priority="318">
      <formula>I467&lt;&gt;I468+I469+I470+I471</formula>
    </cfRule>
  </conditionalFormatting>
  <conditionalFormatting sqref="I470">
    <cfRule type="expression" dxfId="209" priority="317">
      <formula>I467&lt;&gt;I468+I469+I470+I471</formula>
    </cfRule>
  </conditionalFormatting>
  <conditionalFormatting sqref="I471">
    <cfRule type="expression" dxfId="208" priority="316">
      <formula>I467&lt;&gt;I468+I469+I470+I471</formula>
    </cfRule>
  </conditionalFormatting>
  <conditionalFormatting sqref="G467">
    <cfRule type="cellIs" dxfId="207" priority="315" operator="equal">
      <formula>0</formula>
    </cfRule>
  </conditionalFormatting>
  <conditionalFormatting sqref="G468">
    <cfRule type="expression" dxfId="206" priority="314">
      <formula>G467&lt;&gt;G468+G469+G470+G471</formula>
    </cfRule>
  </conditionalFormatting>
  <conditionalFormatting sqref="G467">
    <cfRule type="expression" dxfId="205" priority="313">
      <formula>G467&lt;&gt;G468+G469+G470+G471</formula>
    </cfRule>
  </conditionalFormatting>
  <conditionalFormatting sqref="G469">
    <cfRule type="expression" dxfId="204" priority="312">
      <formula>G467&lt;&gt;G468+G469+G470+G471</formula>
    </cfRule>
  </conditionalFormatting>
  <conditionalFormatting sqref="G470">
    <cfRule type="expression" dxfId="203" priority="311">
      <formula>G467&lt;&gt;G468+G469+G470+G471</formula>
    </cfRule>
  </conditionalFormatting>
  <conditionalFormatting sqref="G471">
    <cfRule type="expression" dxfId="202" priority="310">
      <formula>G467&lt;&gt;G468+G469+G470+G471</formula>
    </cfRule>
  </conditionalFormatting>
  <conditionalFormatting sqref="G472:AI472">
    <cfRule type="cellIs" dxfId="201" priority="309" operator="equal">
      <formula>0</formula>
    </cfRule>
  </conditionalFormatting>
  <conditionalFormatting sqref="G473">
    <cfRule type="expression" dxfId="200" priority="308">
      <formula>G472&lt;&gt;G473+G474+G475+G476</formula>
    </cfRule>
  </conditionalFormatting>
  <conditionalFormatting sqref="G472:AI472">
    <cfRule type="expression" dxfId="199" priority="307">
      <formula>G472&lt;&gt;G473+G474+G475+G476</formula>
    </cfRule>
  </conditionalFormatting>
  <conditionalFormatting sqref="G474">
    <cfRule type="expression" dxfId="198" priority="306">
      <formula>G472&lt;&gt;G473+G474+G475+G476</formula>
    </cfRule>
  </conditionalFormatting>
  <conditionalFormatting sqref="G475">
    <cfRule type="expression" dxfId="197" priority="305">
      <formula>G472&lt;&gt;G473+G474+G475+G476</formula>
    </cfRule>
  </conditionalFormatting>
  <conditionalFormatting sqref="G476">
    <cfRule type="expression" dxfId="196" priority="304">
      <formula>G472&lt;&gt;G473+G474+G475+G476</formula>
    </cfRule>
  </conditionalFormatting>
  <conditionalFormatting sqref="I473">
    <cfRule type="expression" dxfId="195" priority="302">
      <formula>I472&lt;&gt;I473+I474+I475+I476</formula>
    </cfRule>
  </conditionalFormatting>
  <conditionalFormatting sqref="I474">
    <cfRule type="expression" dxfId="194" priority="300">
      <formula>I472&lt;&gt;I473+I474+I475+I476</formula>
    </cfRule>
  </conditionalFormatting>
  <conditionalFormatting sqref="I475">
    <cfRule type="expression" dxfId="193" priority="299">
      <formula>I472&lt;&gt;I473+I474+I475+I476</formula>
    </cfRule>
  </conditionalFormatting>
  <conditionalFormatting sqref="I476">
    <cfRule type="expression" dxfId="192" priority="298">
      <formula>I472&lt;&gt;I473+I474+I475+I476</formula>
    </cfRule>
  </conditionalFormatting>
  <conditionalFormatting sqref="K473">
    <cfRule type="expression" dxfId="191" priority="296">
      <formula>K472&lt;&gt;K473+K474+K475+K476</formula>
    </cfRule>
  </conditionalFormatting>
  <conditionalFormatting sqref="K474">
    <cfRule type="expression" dxfId="190" priority="294">
      <formula>K472&lt;&gt;K473+K474+K475+K476</formula>
    </cfRule>
  </conditionalFormatting>
  <conditionalFormatting sqref="K475">
    <cfRule type="expression" dxfId="189" priority="293">
      <formula>K472&lt;&gt;K473+K474+K475+K476</formula>
    </cfRule>
  </conditionalFormatting>
  <conditionalFormatting sqref="K476">
    <cfRule type="expression" dxfId="188" priority="292">
      <formula>K472&lt;&gt;K473+K474+K475+K476</formula>
    </cfRule>
  </conditionalFormatting>
  <conditionalFormatting sqref="M473">
    <cfRule type="expression" dxfId="187" priority="290">
      <formula>M472&lt;&gt;M473+M474+M475+M476</formula>
    </cfRule>
  </conditionalFormatting>
  <conditionalFormatting sqref="M474">
    <cfRule type="expression" dxfId="186" priority="288">
      <formula>M472&lt;&gt;M473+M474+M475+M476</formula>
    </cfRule>
  </conditionalFormatting>
  <conditionalFormatting sqref="M475">
    <cfRule type="expression" dxfId="185" priority="287">
      <formula>M472&lt;&gt;M473+M474+M475+M476</formula>
    </cfRule>
  </conditionalFormatting>
  <conditionalFormatting sqref="M476">
    <cfRule type="expression" dxfId="184" priority="286">
      <formula>M472&lt;&gt;M473+M474+M475+M476</formula>
    </cfRule>
  </conditionalFormatting>
  <conditionalFormatting sqref="O473">
    <cfRule type="expression" dxfId="183" priority="284">
      <formula>O472&lt;&gt;O473+O474+O475+O476</formula>
    </cfRule>
  </conditionalFormatting>
  <conditionalFormatting sqref="O474">
    <cfRule type="expression" dxfId="182" priority="282">
      <formula>O472&lt;&gt;O473+O474+O475+O476</formula>
    </cfRule>
  </conditionalFormatting>
  <conditionalFormatting sqref="O475">
    <cfRule type="expression" dxfId="181" priority="281">
      <formula>O472&lt;&gt;O473+O474+O475+O476</formula>
    </cfRule>
  </conditionalFormatting>
  <conditionalFormatting sqref="O476">
    <cfRule type="expression" dxfId="180" priority="280">
      <formula>O472&lt;&gt;O473+O474+O475+O476</formula>
    </cfRule>
  </conditionalFormatting>
  <conditionalFormatting sqref="Q473">
    <cfRule type="expression" dxfId="179" priority="278">
      <formula>Q472&lt;&gt;Q473+Q474+Q475+Q476</formula>
    </cfRule>
  </conditionalFormatting>
  <conditionalFormatting sqref="Q474">
    <cfRule type="expression" dxfId="178" priority="276">
      <formula>Q472&lt;&gt;Q473+Q474+Q475+Q476</formula>
    </cfRule>
  </conditionalFormatting>
  <conditionalFormatting sqref="Q475">
    <cfRule type="expression" dxfId="177" priority="275">
      <formula>Q472&lt;&gt;Q473+Q474+Q475+Q476</formula>
    </cfRule>
  </conditionalFormatting>
  <conditionalFormatting sqref="Q476">
    <cfRule type="expression" dxfId="176" priority="274">
      <formula>Q472&lt;&gt;Q473+Q474+Q475+Q476</formula>
    </cfRule>
  </conditionalFormatting>
  <conditionalFormatting sqref="S473">
    <cfRule type="expression" dxfId="175" priority="272">
      <formula>S472&lt;&gt;S473+S474+S475+S476</formula>
    </cfRule>
  </conditionalFormatting>
  <conditionalFormatting sqref="S474">
    <cfRule type="expression" dxfId="174" priority="270">
      <formula>S472&lt;&gt;S473+S474+S475+S476</formula>
    </cfRule>
  </conditionalFormatting>
  <conditionalFormatting sqref="S475">
    <cfRule type="expression" dxfId="173" priority="269">
      <formula>S472&lt;&gt;S473+S474+S475+S476</formula>
    </cfRule>
  </conditionalFormatting>
  <conditionalFormatting sqref="S476">
    <cfRule type="expression" dxfId="172" priority="268">
      <formula>S472&lt;&gt;S473+S474+S475+S476</formula>
    </cfRule>
  </conditionalFormatting>
  <conditionalFormatting sqref="U473">
    <cfRule type="expression" dxfId="171" priority="266">
      <formula>U472&lt;&gt;U473+U474+U475+U476</formula>
    </cfRule>
  </conditionalFormatting>
  <conditionalFormatting sqref="U474">
    <cfRule type="expression" dxfId="170" priority="264">
      <formula>U472&lt;&gt;U473+U474+U475+U476</formula>
    </cfRule>
  </conditionalFormatting>
  <conditionalFormatting sqref="U475">
    <cfRule type="expression" dxfId="169" priority="263">
      <formula>U472&lt;&gt;U473+U474+U475+U476</formula>
    </cfRule>
  </conditionalFormatting>
  <conditionalFormatting sqref="U476">
    <cfRule type="expression" dxfId="168" priority="262">
      <formula>U472&lt;&gt;U473+U474+U475+U476</formula>
    </cfRule>
  </conditionalFormatting>
  <conditionalFormatting sqref="W473">
    <cfRule type="expression" dxfId="167" priority="260">
      <formula>W472&lt;&gt;W473+W474+W475+W476</formula>
    </cfRule>
  </conditionalFormatting>
  <conditionalFormatting sqref="W474">
    <cfRule type="expression" dxfId="166" priority="258">
      <formula>W472&lt;&gt;W473+W474+W475+W476</formula>
    </cfRule>
  </conditionalFormatting>
  <conditionalFormatting sqref="W475">
    <cfRule type="expression" dxfId="165" priority="257">
      <formula>W472&lt;&gt;W473+W474+W475+W476</formula>
    </cfRule>
  </conditionalFormatting>
  <conditionalFormatting sqref="W476">
    <cfRule type="expression" dxfId="164" priority="256">
      <formula>W472&lt;&gt;W473+W474+W475+W476</formula>
    </cfRule>
  </conditionalFormatting>
  <conditionalFormatting sqref="Y473">
    <cfRule type="expression" dxfId="163" priority="254">
      <formula>Y472&lt;&gt;Y473+Y474+Y475+Y476</formula>
    </cfRule>
  </conditionalFormatting>
  <conditionalFormatting sqref="Y474">
    <cfRule type="expression" dxfId="162" priority="252">
      <formula>Y472&lt;&gt;Y473+Y474+Y475+Y476</formula>
    </cfRule>
  </conditionalFormatting>
  <conditionalFormatting sqref="Y475">
    <cfRule type="expression" dxfId="161" priority="251">
      <formula>Y472&lt;&gt;Y473+Y474+Y475+Y476</formula>
    </cfRule>
  </conditionalFormatting>
  <conditionalFormatting sqref="Y476">
    <cfRule type="expression" dxfId="160" priority="250">
      <formula>Y472&lt;&gt;Y473+Y474+Y475+Y476</formula>
    </cfRule>
  </conditionalFormatting>
  <conditionalFormatting sqref="AC473 AE473 AG473 AI473">
    <cfRule type="expression" dxfId="159" priority="248">
      <formula>AC472&lt;&gt;AC473+AC474+AC475+AC476</formula>
    </cfRule>
  </conditionalFormatting>
  <conditionalFormatting sqref="AC474 AE474 AG474 AI474">
    <cfRule type="expression" dxfId="158" priority="246">
      <formula>AC472&lt;&gt;AC473+AC474+AC475+AC476</formula>
    </cfRule>
  </conditionalFormatting>
  <conditionalFormatting sqref="AC475 AE475 AG475 AI475">
    <cfRule type="expression" dxfId="157" priority="245">
      <formula>AC472&lt;&gt;AC473+AC474+AC475+AC476</formula>
    </cfRule>
  </conditionalFormatting>
  <conditionalFormatting sqref="AC476 AE476 AG476 AI476">
    <cfRule type="expression" dxfId="156" priority="244">
      <formula>AC472&lt;&gt;AC473+AC474+AC475+AC476</formula>
    </cfRule>
  </conditionalFormatting>
  <conditionalFormatting sqref="AK472">
    <cfRule type="notContainsBlanks" dxfId="155" priority="243">
      <formula>LEN(TRIM(AK472))&gt;0</formula>
    </cfRule>
  </conditionalFormatting>
  <conditionalFormatting sqref="AK467">
    <cfRule type="notContainsBlanks" dxfId="154" priority="242">
      <formula>LEN(TRIM(AK467))&gt;0</formula>
    </cfRule>
  </conditionalFormatting>
  <conditionalFormatting sqref="AK462">
    <cfRule type="notContainsBlanks" dxfId="153" priority="241">
      <formula>LEN(TRIM(AK462))&gt;0</formula>
    </cfRule>
  </conditionalFormatting>
  <conditionalFormatting sqref="AK457">
    <cfRule type="notContainsBlanks" dxfId="152" priority="240">
      <formula>LEN(TRIM(AK457))&gt;0</formula>
    </cfRule>
  </conditionalFormatting>
  <conditionalFormatting sqref="AK452">
    <cfRule type="notContainsBlanks" dxfId="151" priority="239">
      <formula>LEN(TRIM(AK452))&gt;0</formula>
    </cfRule>
  </conditionalFormatting>
  <conditionalFormatting sqref="AK447">
    <cfRule type="notContainsBlanks" dxfId="150" priority="238">
      <formula>LEN(TRIM(AK447))&gt;0</formula>
    </cfRule>
  </conditionalFormatting>
  <conditionalFormatting sqref="AK442">
    <cfRule type="notContainsBlanks" dxfId="149" priority="237">
      <formula>LEN(TRIM(AK442))&gt;0</formula>
    </cfRule>
  </conditionalFormatting>
  <conditionalFormatting sqref="AK437">
    <cfRule type="notContainsBlanks" dxfId="148" priority="236">
      <formula>LEN(TRIM(AK437))&gt;0</formula>
    </cfRule>
  </conditionalFormatting>
  <conditionalFormatting sqref="AK432">
    <cfRule type="notContainsBlanks" dxfId="147" priority="235">
      <formula>LEN(TRIM(AK432))&gt;0</formula>
    </cfRule>
  </conditionalFormatting>
  <conditionalFormatting sqref="AK427">
    <cfRule type="notContainsBlanks" dxfId="146" priority="234">
      <formula>LEN(TRIM(AK427))&gt;0</formula>
    </cfRule>
  </conditionalFormatting>
  <conditionalFormatting sqref="AK422">
    <cfRule type="notContainsBlanks" dxfId="145" priority="233">
      <formula>LEN(TRIM(AK422))&gt;0</formula>
    </cfRule>
  </conditionalFormatting>
  <conditionalFormatting sqref="AK417">
    <cfRule type="notContainsBlanks" dxfId="144" priority="232">
      <formula>LEN(TRIM(AK417))&gt;0</formula>
    </cfRule>
  </conditionalFormatting>
  <conditionalFormatting sqref="AK205">
    <cfRule type="notContainsBlanks" dxfId="143" priority="231">
      <formula>LEN(TRIM(AK205))&gt;0</formula>
    </cfRule>
  </conditionalFormatting>
  <conditionalFormatting sqref="AK213">
    <cfRule type="notContainsBlanks" dxfId="142" priority="230">
      <formula>LEN(TRIM(AK213))&gt;0</formula>
    </cfRule>
  </conditionalFormatting>
  <conditionalFormatting sqref="AA196:AA219">
    <cfRule type="cellIs" dxfId="141" priority="218" operator="equal">
      <formula>0</formula>
    </cfRule>
  </conditionalFormatting>
  <conditionalFormatting sqref="Z332:AA337">
    <cfRule type="cellIs" dxfId="140" priority="228" operator="equal">
      <formula>0</formula>
    </cfRule>
  </conditionalFormatting>
  <conditionalFormatting sqref="Z368:AA368">
    <cfRule type="cellIs" dxfId="139" priority="225" operator="equal">
      <formula>0</formula>
    </cfRule>
  </conditionalFormatting>
  <conditionalFormatting sqref="Z356:AA367">
    <cfRule type="cellIs" dxfId="138" priority="224" operator="equal">
      <formula>0</formula>
    </cfRule>
  </conditionalFormatting>
  <conditionalFormatting sqref="AB339:AG339">
    <cfRule type="cellIs" dxfId="137" priority="223" operator="equal">
      <formula>0</formula>
    </cfRule>
  </conditionalFormatting>
  <conditionalFormatting sqref="AB339:AG339">
    <cfRule type="expression" dxfId="136" priority="222">
      <formula>AB339&gt;AB340</formula>
    </cfRule>
  </conditionalFormatting>
  <conditionalFormatting sqref="Z339:AA339">
    <cfRule type="cellIs" dxfId="135" priority="221" operator="equal">
      <formula>0</formula>
    </cfRule>
  </conditionalFormatting>
  <conditionalFormatting sqref="AH339:AI339">
    <cfRule type="cellIs" dxfId="134" priority="220" operator="equal">
      <formula>0</formula>
    </cfRule>
  </conditionalFormatting>
  <conditionalFormatting sqref="AH339:AI339">
    <cfRule type="expression" dxfId="133" priority="219">
      <formula>AH339&gt;AH340</formula>
    </cfRule>
  </conditionalFormatting>
  <conditionalFormatting sqref="AM32">
    <cfRule type="notContainsBlanks" dxfId="132" priority="216">
      <formula>LEN(TRIM(AM32))&gt;0</formula>
    </cfRule>
  </conditionalFormatting>
  <conditionalFormatting sqref="AJ32">
    <cfRule type="cellIs" dxfId="131" priority="215" operator="equal">
      <formula>0</formula>
    </cfRule>
  </conditionalFormatting>
  <conditionalFormatting sqref="F27:Y27 AB27:AI27">
    <cfRule type="expression" dxfId="130" priority="211">
      <formula>(F32+F31+F30)&lt;&gt;F27</formula>
    </cfRule>
  </conditionalFormatting>
  <conditionalFormatting sqref="F51:Y51 AB51:AI51">
    <cfRule type="expression" dxfId="129" priority="209">
      <formula>F52&gt;F51</formula>
    </cfRule>
  </conditionalFormatting>
  <conditionalFormatting sqref="F51">
    <cfRule type="expression" dxfId="128" priority="208">
      <formula>F51&lt;F53</formula>
    </cfRule>
  </conditionalFormatting>
  <conditionalFormatting sqref="F52:Y52 AB52:AI52">
    <cfRule type="expression" dxfId="127" priority="207">
      <formula>F51&lt;F52</formula>
    </cfRule>
  </conditionalFormatting>
  <conditionalFormatting sqref="AM118:AM119">
    <cfRule type="notContainsBlanks" dxfId="126" priority="205">
      <formula>LEN(TRIM(AM118))&gt;0</formula>
    </cfRule>
  </conditionalFormatting>
  <conditionalFormatting sqref="J118:AA118">
    <cfRule type="expression" dxfId="125" priority="203">
      <formula>J119&gt;J118</formula>
    </cfRule>
  </conditionalFormatting>
  <conditionalFormatting sqref="AJ118:AJ119">
    <cfRule type="notContainsBlanks" dxfId="124" priority="199">
      <formula>LEN(TRIM(AJ118))&gt;0</formula>
    </cfRule>
  </conditionalFormatting>
  <conditionalFormatting sqref="AM56:AM57">
    <cfRule type="notContainsBlanks" dxfId="123" priority="198">
      <formula>LEN(TRIM(AM56))&gt;0</formula>
    </cfRule>
  </conditionalFormatting>
  <conditionalFormatting sqref="D56:AI57">
    <cfRule type="cellIs" dxfId="122" priority="197" operator="equal">
      <formula>0</formula>
    </cfRule>
  </conditionalFormatting>
  <conditionalFormatting sqref="AJ56">
    <cfRule type="cellIs" dxfId="121" priority="196" operator="equal">
      <formula>0</formula>
    </cfRule>
  </conditionalFormatting>
  <conditionalFormatting sqref="D56:AI57">
    <cfRule type="cellIs" dxfId="120" priority="195" operator="equal">
      <formula>0</formula>
    </cfRule>
  </conditionalFormatting>
  <conditionalFormatting sqref="AJ57">
    <cfRule type="cellIs" dxfId="119" priority="194" operator="equal">
      <formula>0</formula>
    </cfRule>
  </conditionalFormatting>
  <conditionalFormatting sqref="AJ57">
    <cfRule type="cellIs" dxfId="118" priority="193" operator="equal">
      <formula>0</formula>
    </cfRule>
  </conditionalFormatting>
  <conditionalFormatting sqref="D56:AI56">
    <cfRule type="expression" dxfId="117" priority="192">
      <formula>D56&gt;D16</formula>
    </cfRule>
  </conditionalFormatting>
  <conditionalFormatting sqref="AK298">
    <cfRule type="notContainsBlanks" dxfId="116" priority="187">
      <formula>LEN(TRIM(AK298))&gt;0</formula>
    </cfRule>
  </conditionalFormatting>
  <conditionalFormatting sqref="AM297:AM298">
    <cfRule type="notContainsBlanks" dxfId="115" priority="186">
      <formula>LEN(TRIM(AM297))&gt;0</formula>
    </cfRule>
  </conditionalFormatting>
  <conditionalFormatting sqref="AJ297:AJ298">
    <cfRule type="cellIs" dxfId="114" priority="185" operator="equal">
      <formula>0</formula>
    </cfRule>
  </conditionalFormatting>
  <conditionalFormatting sqref="K297">
    <cfRule type="expression" dxfId="113" priority="188">
      <formula>K326&gt;K297</formula>
    </cfRule>
  </conditionalFormatting>
  <conditionalFormatting sqref="K297">
    <cfRule type="expression" dxfId="112" priority="184">
      <formula>K298&gt;K297</formula>
    </cfRule>
  </conditionalFormatting>
  <conditionalFormatting sqref="M297">
    <cfRule type="expression" dxfId="111" priority="183">
      <formula>M298&gt;M297</formula>
    </cfRule>
  </conditionalFormatting>
  <conditionalFormatting sqref="O297">
    <cfRule type="expression" dxfId="110" priority="182">
      <formula>O298&gt;O297</formula>
    </cfRule>
  </conditionalFormatting>
  <conditionalFormatting sqref="Q297">
    <cfRule type="expression" dxfId="109" priority="181">
      <formula>Q298&gt;Q297</formula>
    </cfRule>
  </conditionalFormatting>
  <conditionalFormatting sqref="Q298">
    <cfRule type="expression" dxfId="108" priority="180">
      <formula>Q298&gt;Q297</formula>
    </cfRule>
  </conditionalFormatting>
  <conditionalFormatting sqref="AK297">
    <cfRule type="notContainsBlanks" dxfId="107" priority="179">
      <formula>LEN(TRIM(AK297))&gt;0</formula>
    </cfRule>
  </conditionalFormatting>
  <conditionalFormatting sqref="Q298">
    <cfRule type="expression" dxfId="106" priority="177">
      <formula>Q325&gt;Q298</formula>
    </cfRule>
  </conditionalFormatting>
  <conditionalFormatting sqref="Q298">
    <cfRule type="expression" dxfId="105" priority="178">
      <formula>Q298&gt;Q297</formula>
    </cfRule>
  </conditionalFormatting>
  <conditionalFormatting sqref="S297">
    <cfRule type="expression" dxfId="104" priority="176">
      <formula>S298&gt;S297</formula>
    </cfRule>
  </conditionalFormatting>
  <conditionalFormatting sqref="U297">
    <cfRule type="expression" dxfId="103" priority="175">
      <formula>U298&gt;U297</formula>
    </cfRule>
  </conditionalFormatting>
  <conditionalFormatting sqref="W297">
    <cfRule type="expression" dxfId="102" priority="174">
      <formula>W298&gt;W297</formula>
    </cfRule>
  </conditionalFormatting>
  <conditionalFormatting sqref="Y297">
    <cfRule type="expression" dxfId="101" priority="173">
      <formula>Y298&gt;Y297</formula>
    </cfRule>
  </conditionalFormatting>
  <conditionalFormatting sqref="O298">
    <cfRule type="expression" dxfId="100" priority="172">
      <formula>O298&gt;O297</formula>
    </cfRule>
  </conditionalFormatting>
  <conditionalFormatting sqref="O298">
    <cfRule type="expression" dxfId="99" priority="170">
      <formula>O325&gt;O298</formula>
    </cfRule>
  </conditionalFormatting>
  <conditionalFormatting sqref="O298">
    <cfRule type="expression" dxfId="98" priority="171">
      <formula>O298&gt;O297</formula>
    </cfRule>
  </conditionalFormatting>
  <conditionalFormatting sqref="M298">
    <cfRule type="expression" dxfId="97" priority="169">
      <formula>M298&gt;M297</formula>
    </cfRule>
  </conditionalFormatting>
  <conditionalFormatting sqref="M298">
    <cfRule type="expression" dxfId="96" priority="167">
      <formula>M325&gt;M298</formula>
    </cfRule>
  </conditionalFormatting>
  <conditionalFormatting sqref="M298">
    <cfRule type="expression" dxfId="95" priority="168">
      <formula>M298&gt;M297</formula>
    </cfRule>
  </conditionalFormatting>
  <conditionalFormatting sqref="K298">
    <cfRule type="expression" dxfId="94" priority="166">
      <formula>K298&gt;K297</formula>
    </cfRule>
  </conditionalFormatting>
  <conditionalFormatting sqref="K298">
    <cfRule type="expression" dxfId="93" priority="164">
      <formula>K325&gt;K298</formula>
    </cfRule>
  </conditionalFormatting>
  <conditionalFormatting sqref="K298">
    <cfRule type="expression" dxfId="92" priority="165">
      <formula>K298&gt;K297</formula>
    </cfRule>
  </conditionalFormatting>
  <conditionalFormatting sqref="S298">
    <cfRule type="expression" dxfId="91" priority="163">
      <formula>S298&gt;S297</formula>
    </cfRule>
  </conditionalFormatting>
  <conditionalFormatting sqref="S298">
    <cfRule type="expression" dxfId="90" priority="161">
      <formula>S325&gt;S298</formula>
    </cfRule>
  </conditionalFormatting>
  <conditionalFormatting sqref="S298">
    <cfRule type="expression" dxfId="89" priority="162">
      <formula>S298&gt;S297</formula>
    </cfRule>
  </conditionalFormatting>
  <conditionalFormatting sqref="U298">
    <cfRule type="expression" dxfId="88" priority="160">
      <formula>U298&gt;U297</formula>
    </cfRule>
  </conditionalFormatting>
  <conditionalFormatting sqref="U298">
    <cfRule type="expression" dxfId="87" priority="158">
      <formula>U325&gt;U298</formula>
    </cfRule>
  </conditionalFormatting>
  <conditionalFormatting sqref="U298">
    <cfRule type="expression" dxfId="86" priority="159">
      <formula>U298&gt;U297</formula>
    </cfRule>
  </conditionalFormatting>
  <conditionalFormatting sqref="W298">
    <cfRule type="expression" dxfId="85" priority="157">
      <formula>W298&gt;W297</formula>
    </cfRule>
  </conditionalFormatting>
  <conditionalFormatting sqref="W298">
    <cfRule type="expression" dxfId="84" priority="155">
      <formula>W325&gt;W298</formula>
    </cfRule>
  </conditionalFormatting>
  <conditionalFormatting sqref="W298">
    <cfRule type="expression" dxfId="83" priority="156">
      <formula>W298&gt;W297</formula>
    </cfRule>
  </conditionalFormatting>
  <conditionalFormatting sqref="Y298">
    <cfRule type="expression" dxfId="82" priority="154">
      <formula>Y298&gt;Y297</formula>
    </cfRule>
  </conditionalFormatting>
  <conditionalFormatting sqref="Y298">
    <cfRule type="expression" dxfId="81" priority="152">
      <formula>Y325&gt;Y298</formula>
    </cfRule>
  </conditionalFormatting>
  <conditionalFormatting sqref="Y298">
    <cfRule type="expression" dxfId="80" priority="153">
      <formula>Y298&gt;Y297</formula>
    </cfRule>
  </conditionalFormatting>
  <conditionalFormatting sqref="AK59:AK60">
    <cfRule type="notContainsBlanks" dxfId="79" priority="129">
      <formula>LEN(TRIM(AK59))&gt;0</formula>
    </cfRule>
  </conditionalFormatting>
  <conditionalFormatting sqref="AM59:AM60">
    <cfRule type="notContainsBlanks" dxfId="78" priority="128">
      <formula>LEN(TRIM(AM59))&gt;0</formula>
    </cfRule>
  </conditionalFormatting>
  <conditionalFormatting sqref="AM59">
    <cfRule type="notContainsBlanks" dxfId="77" priority="127">
      <formula>LEN(TRIM(AM59))&gt;0</formula>
    </cfRule>
  </conditionalFormatting>
  <conditionalFormatting sqref="AL59:AL60">
    <cfRule type="notContainsBlanks" dxfId="76" priority="130">
      <formula>LEN(TRIM(AL59))&gt;0</formula>
    </cfRule>
  </conditionalFormatting>
  <conditionalFormatting sqref="AJ59">
    <cfRule type="cellIs" dxfId="75" priority="126" operator="equal">
      <formula>0</formula>
    </cfRule>
  </conditionalFormatting>
  <conditionalFormatting sqref="AJ60">
    <cfRule type="cellIs" dxfId="74" priority="125" operator="equal">
      <formula>0</formula>
    </cfRule>
  </conditionalFormatting>
  <conditionalFormatting sqref="L59:AA59">
    <cfRule type="expression" dxfId="73" priority="124">
      <formula>L60&gt;L59</formula>
    </cfRule>
  </conditionalFormatting>
  <conditionalFormatting sqref="AK61:AK62">
    <cfRule type="notContainsBlanks" dxfId="72" priority="118">
      <formula>LEN(TRIM(AK61))&gt;0</formula>
    </cfRule>
  </conditionalFormatting>
  <conditionalFormatting sqref="AM61:AM62">
    <cfRule type="notContainsBlanks" dxfId="71" priority="117">
      <formula>LEN(TRIM(AM61))&gt;0</formula>
    </cfRule>
  </conditionalFormatting>
  <conditionalFormatting sqref="AM61">
    <cfRule type="notContainsBlanks" dxfId="70" priority="116">
      <formula>LEN(TRIM(AM61))&gt;0</formula>
    </cfRule>
  </conditionalFormatting>
  <conditionalFormatting sqref="AL61:AL62">
    <cfRule type="notContainsBlanks" dxfId="69" priority="119">
      <formula>LEN(TRIM(AL61))&gt;0</formula>
    </cfRule>
  </conditionalFormatting>
  <conditionalFormatting sqref="AJ61">
    <cfRule type="cellIs" dxfId="68" priority="115" operator="equal">
      <formula>0</formula>
    </cfRule>
  </conditionalFormatting>
  <conditionalFormatting sqref="AJ62">
    <cfRule type="cellIs" dxfId="67" priority="114" operator="equal">
      <formula>0</formula>
    </cfRule>
  </conditionalFormatting>
  <conditionalFormatting sqref="L61:AA61">
    <cfRule type="expression" dxfId="66" priority="113">
      <formula>L62&gt;L61</formula>
    </cfRule>
  </conditionalFormatting>
  <conditionalFormatting sqref="K160 M160 O160 Q160 S160 U160 W160 Y160 AA160">
    <cfRule type="expression" dxfId="65" priority="99">
      <formula>(K157+K158+K160)&gt;K150</formula>
    </cfRule>
  </conditionalFormatting>
  <conditionalFormatting sqref="J161 L161 N161 P161 R161 T161 V161 X161 Z161">
    <cfRule type="expression" dxfId="64" priority="98">
      <formula>(J158+J159+J161)&gt;J151</formula>
    </cfRule>
  </conditionalFormatting>
  <conditionalFormatting sqref="AK166">
    <cfRule type="notContainsBlanks" dxfId="63" priority="94">
      <formula>LEN(TRIM(AK166))&gt;0</formula>
    </cfRule>
  </conditionalFormatting>
  <conditionalFormatting sqref="AM166:AN166">
    <cfRule type="notContainsBlanks" dxfId="62" priority="92">
      <formula>LEN(TRIM(AM166))&gt;0</formula>
    </cfRule>
  </conditionalFormatting>
  <conditionalFormatting sqref="AJ166">
    <cfRule type="cellIs" dxfId="61" priority="91" operator="equal">
      <formula>0</formula>
    </cfRule>
  </conditionalFormatting>
  <conditionalFormatting sqref="AK323">
    <cfRule type="notContainsBlanks" dxfId="60" priority="81">
      <formula>LEN(TRIM(AK323))&gt;0</formula>
    </cfRule>
  </conditionalFormatting>
  <conditionalFormatting sqref="AM323">
    <cfRule type="notContainsBlanks" dxfId="59" priority="80">
      <formula>LEN(TRIM(AM323))&gt;0</formula>
    </cfRule>
  </conditionalFormatting>
  <conditionalFormatting sqref="AL323">
    <cfRule type="notContainsBlanks" dxfId="58" priority="82">
      <formula>LEN(TRIM(AL323))&gt;0</formula>
    </cfRule>
  </conditionalFormatting>
  <conditionalFormatting sqref="AJ323">
    <cfRule type="cellIs" dxfId="57" priority="79" operator="equal">
      <formula>0</formula>
    </cfRule>
  </conditionalFormatting>
  <conditionalFormatting sqref="K323">
    <cfRule type="expression" dxfId="56" priority="78">
      <formula>K323&gt;K297</formula>
    </cfRule>
  </conditionalFormatting>
  <conditionalFormatting sqref="M323">
    <cfRule type="expression" dxfId="55" priority="77">
      <formula>M323&gt;M297</formula>
    </cfRule>
  </conditionalFormatting>
  <conditionalFormatting sqref="O323">
    <cfRule type="expression" dxfId="54" priority="76">
      <formula>O323&gt;O297</formula>
    </cfRule>
  </conditionalFormatting>
  <conditionalFormatting sqref="Q323">
    <cfRule type="expression" dxfId="53" priority="75">
      <formula>Q323&gt;Q297</formula>
    </cfRule>
  </conditionalFormatting>
  <conditionalFormatting sqref="S323">
    <cfRule type="expression" dxfId="52" priority="74">
      <formula>S323&gt;S297</formula>
    </cfRule>
  </conditionalFormatting>
  <conditionalFormatting sqref="U323">
    <cfRule type="expression" dxfId="51" priority="73">
      <formula>U323&gt;U297</formula>
    </cfRule>
  </conditionalFormatting>
  <conditionalFormatting sqref="W323">
    <cfRule type="expression" dxfId="50" priority="72">
      <formula>W323&gt;W297</formula>
    </cfRule>
  </conditionalFormatting>
  <conditionalFormatting sqref="Y323">
    <cfRule type="expression" dxfId="49" priority="71">
      <formula>Y323&gt;Y297</formula>
    </cfRule>
  </conditionalFormatting>
  <conditionalFormatting sqref="AA313:AA323">
    <cfRule type="cellIs" dxfId="48" priority="63" operator="equal">
      <formula>0</formula>
    </cfRule>
  </conditionalFormatting>
  <conditionalFormatting sqref="AB315">
    <cfRule type="cellIs" dxfId="47" priority="62" operator="equal">
      <formula>0</formula>
    </cfRule>
  </conditionalFormatting>
  <conditionalFormatting sqref="AD315">
    <cfRule type="cellIs" dxfId="46" priority="59" operator="equal">
      <formula>0</formula>
    </cfRule>
  </conditionalFormatting>
  <conditionalFormatting sqref="AF315">
    <cfRule type="cellIs" dxfId="45" priority="58" operator="equal">
      <formula>0</formula>
    </cfRule>
  </conditionalFormatting>
  <conditionalFormatting sqref="AH315">
    <cfRule type="cellIs" dxfId="44" priority="57" operator="equal">
      <formula>0</formula>
    </cfRule>
  </conditionalFormatting>
  <conditionalFormatting sqref="D169:AA170">
    <cfRule type="expression" dxfId="43" priority="3306">
      <formula>D171&gt;D169</formula>
    </cfRule>
  </conditionalFormatting>
  <conditionalFormatting sqref="AK181">
    <cfRule type="notContainsBlanks" dxfId="42" priority="38">
      <formula>LEN(TRIM(AK181))&gt;0</formula>
    </cfRule>
  </conditionalFormatting>
  <conditionalFormatting sqref="AK182">
    <cfRule type="notContainsBlanks" dxfId="41" priority="37">
      <formula>LEN(TRIM(AK182))&gt;0</formula>
    </cfRule>
  </conditionalFormatting>
  <conditionalFormatting sqref="AK183">
    <cfRule type="notContainsBlanks" dxfId="40" priority="36">
      <formula>LEN(TRIM(AK183))&gt;0</formula>
    </cfRule>
  </conditionalFormatting>
  <conditionalFormatting sqref="AK184">
    <cfRule type="notContainsBlanks" dxfId="39" priority="35">
      <formula>LEN(TRIM(AK184))&gt;0</formula>
    </cfRule>
  </conditionalFormatting>
  <conditionalFormatting sqref="AM181:AN181 AM182:AM184">
    <cfRule type="notContainsBlanks" dxfId="38" priority="34">
      <formula>LEN(TRIM(AM181))&gt;0</formula>
    </cfRule>
  </conditionalFormatting>
  <conditionalFormatting sqref="AJ181:AJ184">
    <cfRule type="cellIs" dxfId="37" priority="33" operator="equal">
      <formula>0</formula>
    </cfRule>
  </conditionalFormatting>
  <conditionalFormatting sqref="D181:AA181">
    <cfRule type="expression" dxfId="36" priority="32">
      <formula>D183&gt;D181</formula>
    </cfRule>
  </conditionalFormatting>
  <conditionalFormatting sqref="D182:AA182">
    <cfRule type="expression" dxfId="35" priority="31">
      <formula>D184&gt;D182</formula>
    </cfRule>
  </conditionalFormatting>
  <conditionalFormatting sqref="D183:AA183">
    <cfRule type="expression" dxfId="34" priority="30">
      <formula>D183&gt;D181</formula>
    </cfRule>
  </conditionalFormatting>
  <conditionalFormatting sqref="D184:AA184">
    <cfRule type="expression" dxfId="33" priority="29">
      <formula>D184&gt;D182</formula>
    </cfRule>
  </conditionalFormatting>
  <conditionalFormatting sqref="D181:AA181">
    <cfRule type="expression" dxfId="32" priority="39">
      <formula>SUM(D181:D182)&gt;D357</formula>
    </cfRule>
  </conditionalFormatting>
  <conditionalFormatting sqref="D182:E182">
    <cfRule type="expression" dxfId="31" priority="40">
      <formula>SUM(D181:D182)&gt;D357</formula>
    </cfRule>
  </conditionalFormatting>
  <conditionalFormatting sqref="D183:AA184">
    <cfRule type="expression" dxfId="30" priority="41">
      <formula>D197&gt;D183</formula>
    </cfRule>
  </conditionalFormatting>
  <conditionalFormatting sqref="AM185:AM192">
    <cfRule type="notContainsBlanks" dxfId="29" priority="28">
      <formula>LEN(TRIM(AM185))&gt;0</formula>
    </cfRule>
  </conditionalFormatting>
  <conditionalFormatting sqref="AJ185:AJ192">
    <cfRule type="cellIs" dxfId="28" priority="27" operator="equal">
      <formula>0</formula>
    </cfRule>
  </conditionalFormatting>
  <conditionalFormatting sqref="D167:AA167">
    <cfRule type="expression" dxfId="27" priority="3308">
      <formula>SUM(D167:D168)&gt;D341</formula>
    </cfRule>
  </conditionalFormatting>
  <conditionalFormatting sqref="D168:E168">
    <cfRule type="expression" dxfId="26" priority="3309">
      <formula>SUM(D167:D168)&gt;D341</formula>
    </cfRule>
  </conditionalFormatting>
  <conditionalFormatting sqref="AK180">
    <cfRule type="notContainsBlanks" dxfId="25" priority="26">
      <formula>LEN(TRIM(AK180))&gt;0</formula>
    </cfRule>
  </conditionalFormatting>
  <conditionalFormatting sqref="AM180">
    <cfRule type="notContainsBlanks" dxfId="24" priority="25">
      <formula>LEN(TRIM(AM180))&gt;0</formula>
    </cfRule>
  </conditionalFormatting>
  <conditionalFormatting sqref="AJ180">
    <cfRule type="cellIs" dxfId="23" priority="24" operator="equal">
      <formula>0</formula>
    </cfRule>
  </conditionalFormatting>
  <conditionalFormatting sqref="AL180">
    <cfRule type="notContainsBlanks" dxfId="22" priority="23">
      <formula>LEN(TRIM(AL180))&gt;0</formula>
    </cfRule>
  </conditionalFormatting>
  <conditionalFormatting sqref="Z401:AA411">
    <cfRule type="cellIs" dxfId="21" priority="22" operator="equal">
      <formula>0</formula>
    </cfRule>
  </conditionalFormatting>
  <conditionalFormatting sqref="Z418:AA421">
    <cfRule type="cellIs" dxfId="20" priority="21" operator="equal">
      <formula>0</formula>
    </cfRule>
  </conditionalFormatting>
  <conditionalFormatting sqref="Z423:AA426">
    <cfRule type="cellIs" dxfId="19" priority="20" operator="equal">
      <formula>0</formula>
    </cfRule>
  </conditionalFormatting>
  <conditionalFormatting sqref="Z428:AA431">
    <cfRule type="cellIs" dxfId="18" priority="19" operator="equal">
      <formula>0</formula>
    </cfRule>
  </conditionalFormatting>
  <conditionalFormatting sqref="Z433:AA436">
    <cfRule type="cellIs" dxfId="17" priority="18" operator="equal">
      <formula>0</formula>
    </cfRule>
  </conditionalFormatting>
  <conditionalFormatting sqref="Z438:AA441">
    <cfRule type="cellIs" dxfId="16" priority="17" operator="equal">
      <formula>0</formula>
    </cfRule>
  </conditionalFormatting>
  <conditionalFormatting sqref="Z443:AA446">
    <cfRule type="cellIs" dxfId="15" priority="16" operator="equal">
      <formula>0</formula>
    </cfRule>
  </conditionalFormatting>
  <conditionalFormatting sqref="Z448:AA451">
    <cfRule type="cellIs" dxfId="14" priority="15" operator="equal">
      <formula>0</formula>
    </cfRule>
  </conditionalFormatting>
  <conditionalFormatting sqref="Z453:AA456">
    <cfRule type="cellIs" dxfId="13" priority="14" operator="equal">
      <formula>0</formula>
    </cfRule>
  </conditionalFormatting>
  <conditionalFormatting sqref="Z458:AA461">
    <cfRule type="cellIs" dxfId="12" priority="13" operator="equal">
      <formula>0</formula>
    </cfRule>
  </conditionalFormatting>
  <conditionalFormatting sqref="Z463:AA466">
    <cfRule type="cellIs" dxfId="11" priority="12" operator="equal">
      <formula>0</formula>
    </cfRule>
  </conditionalFormatting>
  <conditionalFormatting sqref="AA468:AA471">
    <cfRule type="cellIs" dxfId="10" priority="11" operator="equal">
      <formula>0</formula>
    </cfRule>
  </conditionalFormatting>
  <conditionalFormatting sqref="AA473:AA476">
    <cfRule type="cellIs" dxfId="9" priority="10" operator="equal">
      <formula>0</formula>
    </cfRule>
  </conditionalFormatting>
  <conditionalFormatting sqref="Z22:AA25">
    <cfRule type="cellIs" dxfId="8" priority="9" operator="equal">
      <formula>0</formula>
    </cfRule>
  </conditionalFormatting>
  <conditionalFormatting sqref="Z27:AA32">
    <cfRule type="cellIs" dxfId="7" priority="8" operator="equal">
      <formula>0</formula>
    </cfRule>
  </conditionalFormatting>
  <conditionalFormatting sqref="Z33:AA34">
    <cfRule type="cellIs" dxfId="6" priority="7" operator="equal">
      <formula>0</formula>
    </cfRule>
  </conditionalFormatting>
  <conditionalFormatting sqref="Z35:AA36">
    <cfRule type="cellIs" dxfId="5" priority="6" operator="equal">
      <formula>0</formula>
    </cfRule>
  </conditionalFormatting>
  <conditionalFormatting sqref="Z41:AA42">
    <cfRule type="cellIs" dxfId="4" priority="5" operator="equal">
      <formula>0</formula>
    </cfRule>
  </conditionalFormatting>
  <conditionalFormatting sqref="Z43:AA44">
    <cfRule type="cellIs" dxfId="3" priority="4" operator="equal">
      <formula>0</formula>
    </cfRule>
  </conditionalFormatting>
  <conditionalFormatting sqref="Z45:AA46">
    <cfRule type="cellIs" dxfId="2" priority="3" operator="equal">
      <formula>0</formula>
    </cfRule>
  </conditionalFormatting>
  <conditionalFormatting sqref="Z47:AA48">
    <cfRule type="cellIs" dxfId="1" priority="2" operator="equal">
      <formula>0</formula>
    </cfRule>
  </conditionalFormatting>
  <conditionalFormatting sqref="Z51:AA53">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7 Z331:AA331 D277:AI309 D387:D399 E393:AI399 AB401:AI411 E387:AI391 E233:AI273 E223:AI231 AJ18 AJ223 D223:D273 E371:AI377 E331:Y369 AB342:AI369 D331:D377 D196:AI219 AJ11 AJ261 D111:AI119 AB331:AI340 D166:AI178 D123:AI161 Z338:AA338 D313:AI327 D413:AI413 D66:AI107 E232:AJ232 AB341:AJ341 E392:AJ392 E370:AJ370 D59:AI62 AA477:AA481 Z369:AA369 D180:AI192 Z49:AA50 D417:Y481 AB417:AI481 Z417:AA417 Z422:AA422 Z427:AA427 Z432:AA432 Z437:AA437 Z442:AA442 Z447:AA447 Z452:AA452 Z457:AA457 Z462:AA462 Z467:Z481 AA467 AA472 D22:Y53 AB22:AI53 Z26:AA26 Z37:AA40 D401:Y411">
      <formula1>0</formula1>
      <formula2>99999</formula2>
    </dataValidation>
    <dataValidation type="whole" allowBlank="1" showInputMessage="1" showErrorMessage="1" errorTitle="Numeric Characters Error" error="Enter Numeric Characters only between range 0 and 2000" sqref="D381:AI386">
      <formula1>0</formula1>
      <formula2>2000</formula2>
    </dataValidation>
    <dataValidation allowBlank="1" showInputMessage="1" showErrorMessage="1" errorTitle="Non-Numeric or abnormal value" error="Enter Numbers only between 0 and 99999" sqref="Z332:AA337 Z339:AA368 Z401:AA411 Z418:AA421 Z423:AA426 Z428:AA431 Z433:AA436 Z438:AA441 Z443:AA446 Z448:AA451 Z453:AA456 Z458:AA461 Z463:AA466 AA468:AA471 AA473:AA476 Z22:AA25 Z27:AA36 Z41:AA48 Z51:AA5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92" max="16383" man="1"/>
  </rowBreaks>
  <ignoredErrors>
    <ignoredError sqref="J20 J109 J121 J163 J221 J329 J379 J311 J275"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2023-10-13T14:30:19Z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