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6240" activeTab="1"/>
  </bookViews>
  <sheets>
    <sheet name="InstructionsForm1A" sheetId="4" r:id="rId1"/>
    <sheet name="Jul" sheetId="1" r:id="rId2"/>
  </sheets>
  <definedNames>
    <definedName name="_xlnm._FilterDatabase" localSheetId="0" hidden="1">InstructionsForm1A!$B$2:$F$381</definedName>
    <definedName name="ART">Jul!$D$347</definedName>
    <definedName name="CXCA">Jul!$M$211</definedName>
    <definedName name="GEND_GBV">Jul!$D$274</definedName>
    <definedName name="HAART">Jul!$K$328</definedName>
    <definedName name="HIV_TEST">Jul!$F$22</definedName>
    <definedName name="HTS_SELF">Jul!$J$111</definedName>
    <definedName name="IPT">Jul!$D$182</definedName>
    <definedName name="PMTCT_TST">Jul!$K$292</definedName>
    <definedName name="PREP">Jul!$J$124</definedName>
    <definedName name="_xlnm.Print_Area" localSheetId="0">InstructionsForm1A!$B$1:$F$381</definedName>
    <definedName name="_xlnm.Print_Area" localSheetId="1">Jul!$A$1:$AJ$503</definedName>
    <definedName name="_xlnm.Print_Titles" localSheetId="1">Jul!$1:$6</definedName>
    <definedName name="TB">Jul!$D$422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73" i="1" l="1"/>
  <c r="Z354" i="1"/>
  <c r="AA355" i="1"/>
  <c r="F354" i="1"/>
  <c r="G354" i="1"/>
  <c r="H354" i="1"/>
  <c r="I354" i="1"/>
  <c r="J354" i="1"/>
  <c r="K354" i="1"/>
  <c r="L354" i="1"/>
  <c r="M354" i="1"/>
  <c r="N354" i="1"/>
  <c r="O354" i="1"/>
  <c r="P354" i="1"/>
  <c r="Q354" i="1"/>
  <c r="R354" i="1"/>
  <c r="S354" i="1"/>
  <c r="T354" i="1"/>
  <c r="U354" i="1"/>
  <c r="V354" i="1"/>
  <c r="W354" i="1"/>
  <c r="X354" i="1"/>
  <c r="Y354" i="1"/>
  <c r="AB354" i="1"/>
  <c r="AC354" i="1"/>
  <c r="AA354" i="1" s="1"/>
  <c r="AD354" i="1"/>
  <c r="AE354" i="1"/>
  <c r="AF354" i="1"/>
  <c r="AG354" i="1"/>
  <c r="AH354" i="1"/>
  <c r="AI354" i="1"/>
  <c r="D354" i="1"/>
  <c r="AK176" i="1"/>
  <c r="AK171" i="1"/>
  <c r="L128" i="1"/>
  <c r="N128" i="1"/>
  <c r="P128" i="1"/>
  <c r="R128" i="1"/>
  <c r="T128" i="1"/>
  <c r="V128" i="1"/>
  <c r="X128" i="1"/>
  <c r="Z128" i="1"/>
  <c r="J128" i="1"/>
  <c r="AK127" i="1"/>
  <c r="J112" i="1"/>
  <c r="AJ115" i="1" l="1"/>
  <c r="AJ116" i="1"/>
  <c r="AJ117" i="1"/>
  <c r="AJ138" i="1"/>
  <c r="AJ139" i="1"/>
  <c r="AJ140" i="1"/>
  <c r="AJ141" i="1"/>
  <c r="AJ142" i="1"/>
  <c r="AJ143" i="1"/>
  <c r="AJ144" i="1"/>
  <c r="AJ145" i="1"/>
  <c r="AJ160" i="1"/>
  <c r="AJ161" i="1"/>
  <c r="AJ162" i="1"/>
  <c r="AJ163" i="1"/>
  <c r="AJ164" i="1"/>
  <c r="AJ165" i="1"/>
  <c r="AJ166" i="1"/>
  <c r="AJ167" i="1"/>
  <c r="AJ168" i="1"/>
  <c r="AJ169" i="1"/>
  <c r="AJ170" i="1"/>
  <c r="AJ171" i="1"/>
  <c r="AJ172" i="1"/>
  <c r="AJ173" i="1"/>
  <c r="AJ174" i="1"/>
  <c r="AJ175" i="1"/>
  <c r="AJ176" i="1"/>
  <c r="AJ385" i="1" l="1"/>
  <c r="AJ386" i="1"/>
  <c r="AJ387" i="1"/>
  <c r="E354" i="1"/>
  <c r="AA357" i="1"/>
  <c r="Z357" i="1"/>
  <c r="AJ357" i="1" s="1"/>
  <c r="AA356" i="1"/>
  <c r="Z356" i="1"/>
  <c r="Z355" i="1"/>
  <c r="AJ355" i="1" s="1"/>
  <c r="AJ356" i="1" l="1"/>
  <c r="AH427" i="1" l="1"/>
  <c r="AD427" i="1"/>
  <c r="AE427" i="1"/>
  <c r="AF427" i="1"/>
  <c r="AG427" i="1"/>
  <c r="AI427" i="1"/>
  <c r="AC427" i="1"/>
  <c r="AB427" i="1"/>
  <c r="G427" i="1"/>
  <c r="H427" i="1"/>
  <c r="I427" i="1"/>
  <c r="J427" i="1"/>
  <c r="K427" i="1"/>
  <c r="L427" i="1"/>
  <c r="M427" i="1"/>
  <c r="N427" i="1"/>
  <c r="O427" i="1"/>
  <c r="P427" i="1"/>
  <c r="Q427" i="1"/>
  <c r="R427" i="1"/>
  <c r="S427" i="1"/>
  <c r="T427" i="1"/>
  <c r="U427" i="1"/>
  <c r="V427" i="1"/>
  <c r="W427" i="1"/>
  <c r="X427" i="1"/>
  <c r="Y427" i="1"/>
  <c r="D427" i="1"/>
  <c r="E427" i="1"/>
  <c r="F427" i="1"/>
  <c r="F425" i="1"/>
  <c r="AA137" i="1" l="1"/>
  <c r="AA128" i="1" s="1"/>
  <c r="Y137" i="1"/>
  <c r="Y128" i="1" s="1"/>
  <c r="W137" i="1"/>
  <c r="W128" i="1" s="1"/>
  <c r="U137" i="1"/>
  <c r="U128" i="1" s="1"/>
  <c r="S137" i="1"/>
  <c r="S128" i="1" s="1"/>
  <c r="Q137" i="1"/>
  <c r="Q128" i="1" s="1"/>
  <c r="O137" i="1"/>
  <c r="O128" i="1" s="1"/>
  <c r="M137" i="1"/>
  <c r="M128" i="1" s="1"/>
  <c r="K137" i="1"/>
  <c r="AJ137" i="1" l="1"/>
  <c r="D57" i="1"/>
  <c r="E57" i="1"/>
  <c r="AA53" i="1" l="1"/>
  <c r="Z53" i="1"/>
  <c r="AA52" i="1"/>
  <c r="Z52" i="1"/>
  <c r="AA51" i="1"/>
  <c r="Z51" i="1"/>
  <c r="AA48" i="1"/>
  <c r="Z48" i="1"/>
  <c r="AA47" i="1"/>
  <c r="Z47" i="1"/>
  <c r="AA46" i="1"/>
  <c r="Z46" i="1"/>
  <c r="AA45" i="1"/>
  <c r="Z45" i="1"/>
  <c r="AA42" i="1"/>
  <c r="Z42" i="1"/>
  <c r="AA41" i="1"/>
  <c r="Z41" i="1"/>
  <c r="AA36"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97" i="1"/>
  <c r="AA496" i="1"/>
  <c r="AA495" i="1"/>
  <c r="AA494" i="1"/>
  <c r="AA492" i="1"/>
  <c r="AA491" i="1"/>
  <c r="AA490" i="1"/>
  <c r="AA489" i="1"/>
  <c r="AA487" i="1"/>
  <c r="Z487" i="1"/>
  <c r="AA486" i="1"/>
  <c r="Z486" i="1"/>
  <c r="AA485" i="1"/>
  <c r="Z485" i="1"/>
  <c r="AA484" i="1"/>
  <c r="Z484" i="1"/>
  <c r="AA482" i="1"/>
  <c r="Z482" i="1"/>
  <c r="AA481" i="1"/>
  <c r="Z481" i="1"/>
  <c r="AA480" i="1"/>
  <c r="Z480" i="1"/>
  <c r="AA479" i="1"/>
  <c r="Z479" i="1"/>
  <c r="AA477" i="1"/>
  <c r="Z477" i="1"/>
  <c r="AA476" i="1"/>
  <c r="Z476" i="1"/>
  <c r="AA475" i="1"/>
  <c r="Z475" i="1"/>
  <c r="AA474" i="1"/>
  <c r="Z474" i="1"/>
  <c r="AA472" i="1"/>
  <c r="Z472" i="1"/>
  <c r="AA471" i="1"/>
  <c r="Z471" i="1"/>
  <c r="AA470" i="1"/>
  <c r="Z470" i="1"/>
  <c r="AA469" i="1"/>
  <c r="Z469" i="1"/>
  <c r="AA467" i="1"/>
  <c r="Z467" i="1"/>
  <c r="AA466" i="1"/>
  <c r="Z466" i="1"/>
  <c r="AA465" i="1"/>
  <c r="Z465" i="1"/>
  <c r="AA464" i="1"/>
  <c r="Z464" i="1"/>
  <c r="AA462" i="1"/>
  <c r="Z462" i="1"/>
  <c r="AA461" i="1"/>
  <c r="Z461" i="1"/>
  <c r="AA460" i="1"/>
  <c r="Z460" i="1"/>
  <c r="AA459" i="1"/>
  <c r="Z459" i="1"/>
  <c r="AA457" i="1"/>
  <c r="Z457" i="1"/>
  <c r="AA456" i="1"/>
  <c r="Z456" i="1"/>
  <c r="AA455" i="1"/>
  <c r="Z455" i="1"/>
  <c r="AA454" i="1"/>
  <c r="Z454" i="1"/>
  <c r="AA452" i="1"/>
  <c r="Z452" i="1"/>
  <c r="AA451" i="1"/>
  <c r="Z451" i="1"/>
  <c r="AA450" i="1"/>
  <c r="Z450" i="1"/>
  <c r="AA449" i="1"/>
  <c r="Z449" i="1"/>
  <c r="AA447" i="1"/>
  <c r="Z447" i="1"/>
  <c r="AA446" i="1"/>
  <c r="Z446" i="1"/>
  <c r="AA445" i="1"/>
  <c r="Z445" i="1"/>
  <c r="AA444" i="1"/>
  <c r="Z444" i="1"/>
  <c r="AA442" i="1"/>
  <c r="Z442" i="1"/>
  <c r="AA441" i="1"/>
  <c r="Z441" i="1"/>
  <c r="AA440" i="1"/>
  <c r="Z440" i="1"/>
  <c r="AA439" i="1"/>
  <c r="Z439" i="1"/>
  <c r="AB438" i="1"/>
  <c r="AC438" i="1"/>
  <c r="AD438" i="1"/>
  <c r="AE438" i="1"/>
  <c r="AF438" i="1"/>
  <c r="AG438" i="1"/>
  <c r="AH438" i="1"/>
  <c r="AI438" i="1"/>
  <c r="AB443" i="1"/>
  <c r="AC443" i="1"/>
  <c r="AD443" i="1"/>
  <c r="AE443" i="1"/>
  <c r="AF443" i="1"/>
  <c r="AG443" i="1"/>
  <c r="AH443" i="1"/>
  <c r="AI443" i="1"/>
  <c r="AB448" i="1"/>
  <c r="AC448" i="1"/>
  <c r="AD448" i="1"/>
  <c r="AE448" i="1"/>
  <c r="AF448" i="1"/>
  <c r="AG448" i="1"/>
  <c r="AH448" i="1"/>
  <c r="AI448" i="1"/>
  <c r="AB453" i="1"/>
  <c r="AC453" i="1"/>
  <c r="AD453" i="1"/>
  <c r="AE453" i="1"/>
  <c r="AF453" i="1"/>
  <c r="AG453" i="1"/>
  <c r="AH453" i="1"/>
  <c r="AI453" i="1"/>
  <c r="AB458" i="1"/>
  <c r="AC458" i="1"/>
  <c r="AD458" i="1"/>
  <c r="AE458" i="1"/>
  <c r="AF458" i="1"/>
  <c r="AG458" i="1"/>
  <c r="AH458" i="1"/>
  <c r="AI458" i="1"/>
  <c r="AB463" i="1"/>
  <c r="AC463" i="1"/>
  <c r="AD463" i="1"/>
  <c r="AE463" i="1"/>
  <c r="AF463" i="1"/>
  <c r="AG463" i="1"/>
  <c r="AH463" i="1"/>
  <c r="AI463" i="1"/>
  <c r="AB473" i="1"/>
  <c r="AC473" i="1"/>
  <c r="AD473" i="1"/>
  <c r="AE473" i="1"/>
  <c r="AF473" i="1"/>
  <c r="AG473" i="1"/>
  <c r="AH473" i="1"/>
  <c r="AI473" i="1"/>
  <c r="AB478" i="1"/>
  <c r="AC478" i="1"/>
  <c r="AD478" i="1"/>
  <c r="AE478" i="1"/>
  <c r="AF478" i="1"/>
  <c r="AG478" i="1"/>
  <c r="AH478" i="1"/>
  <c r="AI478" i="1"/>
  <c r="AB483" i="1"/>
  <c r="AC483" i="1"/>
  <c r="AD483" i="1"/>
  <c r="AE483" i="1"/>
  <c r="AF483" i="1"/>
  <c r="AG483" i="1"/>
  <c r="AH483" i="1"/>
  <c r="AI483" i="1"/>
  <c r="AB488" i="1"/>
  <c r="AC488" i="1"/>
  <c r="AD488" i="1"/>
  <c r="AE488" i="1"/>
  <c r="AF488" i="1"/>
  <c r="AG488" i="1"/>
  <c r="AH488" i="1"/>
  <c r="AI488" i="1"/>
  <c r="AB493" i="1"/>
  <c r="AC493" i="1"/>
  <c r="AD493" i="1"/>
  <c r="AE493" i="1"/>
  <c r="AF493" i="1"/>
  <c r="AG493" i="1"/>
  <c r="AH493" i="1"/>
  <c r="AI493" i="1"/>
  <c r="AB499" i="1"/>
  <c r="AC499" i="1"/>
  <c r="AD499" i="1"/>
  <c r="AE499" i="1"/>
  <c r="AF499" i="1"/>
  <c r="AG499" i="1"/>
  <c r="AH499" i="1"/>
  <c r="AI499" i="1"/>
  <c r="AB500" i="1"/>
  <c r="AC500" i="1"/>
  <c r="AD500" i="1"/>
  <c r="AE500" i="1"/>
  <c r="AF500" i="1"/>
  <c r="AG500" i="1"/>
  <c r="AH500" i="1"/>
  <c r="AI500" i="1"/>
  <c r="AB501" i="1"/>
  <c r="AC501" i="1"/>
  <c r="AD501" i="1"/>
  <c r="AE501" i="1"/>
  <c r="AF501" i="1"/>
  <c r="AG501" i="1"/>
  <c r="AH501" i="1"/>
  <c r="AI501" i="1"/>
  <c r="AB502" i="1"/>
  <c r="AC502" i="1"/>
  <c r="AD502" i="1"/>
  <c r="AE502" i="1"/>
  <c r="AF502" i="1"/>
  <c r="AG502" i="1"/>
  <c r="AH502" i="1"/>
  <c r="AI502" i="1"/>
  <c r="Z431" i="1"/>
  <c r="AA431" i="1"/>
  <c r="Z426" i="1"/>
  <c r="AA426" i="1"/>
  <c r="Z428" i="1"/>
  <c r="AA428" i="1"/>
  <c r="Z430" i="1"/>
  <c r="AA430" i="1"/>
  <c r="Z424" i="1"/>
  <c r="AA424" i="1"/>
  <c r="Z423" i="1"/>
  <c r="AA423" i="1"/>
  <c r="AA422" i="1"/>
  <c r="Z422" i="1"/>
  <c r="AB425" i="1"/>
  <c r="AC425" i="1"/>
  <c r="AD425" i="1"/>
  <c r="AE425" i="1"/>
  <c r="AF425" i="1"/>
  <c r="AG425" i="1"/>
  <c r="AH425" i="1"/>
  <c r="AI425" i="1"/>
  <c r="AB429" i="1"/>
  <c r="AC429" i="1"/>
  <c r="AD429" i="1"/>
  <c r="AE429" i="1"/>
  <c r="AF429" i="1"/>
  <c r="AG429" i="1"/>
  <c r="AH429" i="1"/>
  <c r="AI429" i="1"/>
  <c r="AB432" i="1"/>
  <c r="AC432" i="1"/>
  <c r="AD432" i="1"/>
  <c r="AE432" i="1"/>
  <c r="AF432" i="1"/>
  <c r="AG432" i="1"/>
  <c r="AH432" i="1"/>
  <c r="AI432" i="1"/>
  <c r="Z374" i="1"/>
  <c r="AA374" i="1"/>
  <c r="Z375" i="1"/>
  <c r="AA375" i="1"/>
  <c r="Z377" i="1"/>
  <c r="AA377" i="1"/>
  <c r="Z378" i="1"/>
  <c r="AA378" i="1"/>
  <c r="Z380" i="1"/>
  <c r="AA380" i="1"/>
  <c r="Z381" i="1"/>
  <c r="AA381" i="1"/>
  <c r="Z382" i="1"/>
  <c r="AA382" i="1"/>
  <c r="Z384" i="1"/>
  <c r="AA384" i="1"/>
  <c r="AB376" i="1"/>
  <c r="AC376" i="1"/>
  <c r="AD376" i="1"/>
  <c r="AD379" i="1" s="1"/>
  <c r="AE376" i="1"/>
  <c r="AE379" i="1" s="1"/>
  <c r="AF376" i="1"/>
  <c r="AF379" i="1" s="1"/>
  <c r="AG376" i="1"/>
  <c r="AG379" i="1" s="1"/>
  <c r="AH376" i="1"/>
  <c r="AH379" i="1" s="1"/>
  <c r="AI376" i="1"/>
  <c r="AI379" i="1" s="1"/>
  <c r="AB383" i="1"/>
  <c r="AC383" i="1"/>
  <c r="AD383" i="1"/>
  <c r="AE383" i="1"/>
  <c r="AF383" i="1"/>
  <c r="AG383" i="1"/>
  <c r="AH383" i="1"/>
  <c r="AI383" i="1"/>
  <c r="AB43" i="1"/>
  <c r="AC43" i="1"/>
  <c r="AC54" i="1" s="1"/>
  <c r="AD43" i="1"/>
  <c r="AD56" i="1" s="1"/>
  <c r="AE43" i="1"/>
  <c r="AE56" i="1" s="1"/>
  <c r="AF43" i="1"/>
  <c r="AF54" i="1" s="1"/>
  <c r="AG43" i="1"/>
  <c r="AG54" i="1" s="1"/>
  <c r="AH43" i="1"/>
  <c r="AH56" i="1" s="1"/>
  <c r="AI43" i="1"/>
  <c r="AB44" i="1"/>
  <c r="AC44" i="1"/>
  <c r="AC57" i="1" s="1"/>
  <c r="AD44" i="1"/>
  <c r="AD57" i="1" s="1"/>
  <c r="AE44" i="1"/>
  <c r="AF44" i="1"/>
  <c r="AG44" i="1"/>
  <c r="AG57" i="1" s="1"/>
  <c r="AH44" i="1"/>
  <c r="AH57" i="1" s="1"/>
  <c r="AI44" i="1"/>
  <c r="AB56" i="1"/>
  <c r="AC56" i="1"/>
  <c r="AF56" i="1"/>
  <c r="Z43" i="1" l="1"/>
  <c r="Z379" i="1"/>
  <c r="AD55" i="1"/>
  <c r="AA383" i="1"/>
  <c r="AA376" i="1"/>
  <c r="AA379" i="1" s="1"/>
  <c r="AC379" i="1"/>
  <c r="AA432" i="1"/>
  <c r="AA429" i="1"/>
  <c r="AA425" i="1"/>
  <c r="AB54" i="1"/>
  <c r="Z383" i="1"/>
  <c r="Z376" i="1"/>
  <c r="AB379" i="1"/>
  <c r="Z432" i="1"/>
  <c r="Z429" i="1"/>
  <c r="Z425" i="1"/>
  <c r="AG468" i="1"/>
  <c r="AG498" i="1" s="1"/>
  <c r="AC468" i="1"/>
  <c r="AC498" i="1" s="1"/>
  <c r="AF55" i="1"/>
  <c r="AF57" i="1"/>
  <c r="AB55" i="1"/>
  <c r="AB57" i="1"/>
  <c r="AC55" i="1"/>
  <c r="AF468" i="1"/>
  <c r="AF498" i="1" s="1"/>
  <c r="AB468" i="1"/>
  <c r="AB498" i="1" s="1"/>
  <c r="AG56" i="1"/>
  <c r="AI55" i="1"/>
  <c r="AI57" i="1"/>
  <c r="AE55" i="1"/>
  <c r="AE57" i="1"/>
  <c r="AI54" i="1"/>
  <c r="AI56" i="1"/>
  <c r="AH55" i="1"/>
  <c r="AA427" i="1"/>
  <c r="AI468" i="1"/>
  <c r="AI498" i="1" s="1"/>
  <c r="AE468" i="1"/>
  <c r="AE498" i="1" s="1"/>
  <c r="Z44" i="1"/>
  <c r="Z57" i="1" s="1"/>
  <c r="AA43" i="1"/>
  <c r="AG55" i="1"/>
  <c r="Z427" i="1"/>
  <c r="AH468" i="1"/>
  <c r="AH498" i="1" s="1"/>
  <c r="AD468" i="1"/>
  <c r="AD498" i="1" s="1"/>
  <c r="AA44" i="1"/>
  <c r="AA57" i="1" s="1"/>
  <c r="AE54" i="1"/>
  <c r="AH54" i="1"/>
  <c r="AD54" i="1"/>
  <c r="D432" i="1"/>
  <c r="E432" i="1"/>
  <c r="AJ427" i="1" l="1"/>
  <c r="E56" i="1"/>
  <c r="D56" i="1" l="1"/>
  <c r="E54" i="1"/>
  <c r="E55" i="1"/>
  <c r="D54" i="1"/>
  <c r="AK201" i="1"/>
  <c r="AK200" i="1"/>
  <c r="AJ195" i="1"/>
  <c r="AJ207" i="1"/>
  <c r="AJ206" i="1"/>
  <c r="AJ205" i="1"/>
  <c r="AJ204" i="1"/>
  <c r="AJ203" i="1"/>
  <c r="AJ202" i="1"/>
  <c r="AJ201" i="1"/>
  <c r="AJ200" i="1"/>
  <c r="AK199" i="1"/>
  <c r="AJ199" i="1"/>
  <c r="AK198" i="1"/>
  <c r="AJ198" i="1"/>
  <c r="AJ197" i="1"/>
  <c r="AK196" i="1"/>
  <c r="AJ196" i="1"/>
  <c r="AL195" i="1" l="1"/>
  <c r="AL391" i="1"/>
  <c r="AK61" i="1" l="1"/>
  <c r="AK59" i="1"/>
  <c r="AJ51" i="1"/>
  <c r="H493" i="1" l="1"/>
  <c r="I493" i="1"/>
  <c r="J493" i="1"/>
  <c r="K493" i="1"/>
  <c r="L493" i="1"/>
  <c r="M493" i="1"/>
  <c r="N493" i="1"/>
  <c r="O493" i="1"/>
  <c r="P493" i="1"/>
  <c r="Q493" i="1"/>
  <c r="R493" i="1"/>
  <c r="S493" i="1"/>
  <c r="T493" i="1"/>
  <c r="U493" i="1"/>
  <c r="V493" i="1"/>
  <c r="W493" i="1"/>
  <c r="X493" i="1"/>
  <c r="Y493" i="1"/>
  <c r="Z493" i="1"/>
  <c r="AA493" i="1"/>
  <c r="G493" i="1"/>
  <c r="AH330" i="1" l="1"/>
  <c r="AF330" i="1"/>
  <c r="AD330" i="1"/>
  <c r="AB330" i="1"/>
  <c r="AA329" i="1"/>
  <c r="AA330" i="1"/>
  <c r="AA331" i="1"/>
  <c r="AA332" i="1"/>
  <c r="AA333" i="1"/>
  <c r="AA334" i="1"/>
  <c r="AA335" i="1"/>
  <c r="AA336" i="1"/>
  <c r="AA337" i="1"/>
  <c r="AK337" i="1" s="1"/>
  <c r="AA338" i="1"/>
  <c r="AK338" i="1" s="1"/>
  <c r="AA328" i="1"/>
  <c r="AJ181" i="1"/>
  <c r="AJ338" i="1" l="1"/>
  <c r="AJ157" i="1"/>
  <c r="AJ158" i="1"/>
  <c r="AJ159" i="1"/>
  <c r="AJ62" i="1" l="1"/>
  <c r="AJ61" i="1"/>
  <c r="AJ60" i="1"/>
  <c r="AJ59" i="1"/>
  <c r="AM61" i="1" l="1"/>
  <c r="AM59" i="1"/>
  <c r="AJ313" i="1" l="1"/>
  <c r="AK312" i="1"/>
  <c r="AJ312" i="1"/>
  <c r="AK119" i="1"/>
  <c r="AK117" i="1"/>
  <c r="AK51" i="1"/>
  <c r="AJ32" i="1"/>
  <c r="AL111" i="1" l="1"/>
  <c r="AA212" i="1"/>
  <c r="AA213" i="1"/>
  <c r="AA215" i="1"/>
  <c r="AJ215" i="1" s="1"/>
  <c r="AA216" i="1"/>
  <c r="AA217" i="1"/>
  <c r="AA218" i="1"/>
  <c r="AA219" i="1"/>
  <c r="AA220" i="1"/>
  <c r="AA221" i="1"/>
  <c r="AA223" i="1"/>
  <c r="AJ223" i="1" s="1"/>
  <c r="AA224" i="1"/>
  <c r="AA225" i="1"/>
  <c r="AA226" i="1"/>
  <c r="AA227" i="1"/>
  <c r="AA228" i="1"/>
  <c r="AA229" i="1"/>
  <c r="AA231" i="1"/>
  <c r="AJ231" i="1" s="1"/>
  <c r="AA232" i="1"/>
  <c r="AA233" i="1"/>
  <c r="AA234" i="1"/>
  <c r="AA211" i="1"/>
  <c r="AI214" i="1"/>
  <c r="AI222" i="1"/>
  <c r="AI230" i="1"/>
  <c r="AG214" i="1"/>
  <c r="AG222" i="1"/>
  <c r="AG230" i="1"/>
  <c r="AE214" i="1"/>
  <c r="AE222" i="1"/>
  <c r="AE230" i="1"/>
  <c r="AC214" i="1"/>
  <c r="AC222" i="1"/>
  <c r="AC230" i="1"/>
  <c r="AA388" i="1"/>
  <c r="Z388" i="1"/>
  <c r="AA389" i="1"/>
  <c r="Z389" i="1"/>
  <c r="AB390" i="1"/>
  <c r="AC390" i="1"/>
  <c r="AD390" i="1"/>
  <c r="AE390" i="1"/>
  <c r="AF390" i="1"/>
  <c r="AG390" i="1"/>
  <c r="AH390" i="1"/>
  <c r="AI390" i="1"/>
  <c r="Z347" i="1"/>
  <c r="AA347" i="1"/>
  <c r="Z348" i="1"/>
  <c r="AA348" i="1"/>
  <c r="Z349" i="1"/>
  <c r="AA349" i="1"/>
  <c r="Z350" i="1"/>
  <c r="AA350" i="1"/>
  <c r="Z351" i="1"/>
  <c r="AA351" i="1"/>
  <c r="AA352" i="1"/>
  <c r="Z352" i="1"/>
  <c r="AB346" i="1"/>
  <c r="AC346" i="1"/>
  <c r="AD346" i="1"/>
  <c r="AE346" i="1"/>
  <c r="AF346" i="1"/>
  <c r="AG346" i="1"/>
  <c r="AH346" i="1"/>
  <c r="AI346" i="1"/>
  <c r="AJ354" i="1" l="1"/>
  <c r="AA390" i="1"/>
  <c r="AA222" i="1"/>
  <c r="AA214" i="1"/>
  <c r="AA230" i="1"/>
  <c r="F493" i="1"/>
  <c r="L502" i="1" l="1"/>
  <c r="M502" i="1"/>
  <c r="N502" i="1"/>
  <c r="O502" i="1"/>
  <c r="P502" i="1"/>
  <c r="Q502" i="1"/>
  <c r="R502" i="1"/>
  <c r="S502" i="1"/>
  <c r="T502" i="1"/>
  <c r="U502" i="1"/>
  <c r="V502" i="1"/>
  <c r="W502" i="1"/>
  <c r="X502" i="1"/>
  <c r="Y502" i="1"/>
  <c r="Z502" i="1"/>
  <c r="AA502" i="1"/>
  <c r="F483" i="1" l="1"/>
  <c r="G483" i="1"/>
  <c r="H483" i="1"/>
  <c r="I483" i="1"/>
  <c r="J483" i="1"/>
  <c r="K483" i="1"/>
  <c r="M483" i="1"/>
  <c r="N483" i="1"/>
  <c r="O483" i="1"/>
  <c r="P483" i="1"/>
  <c r="Q483" i="1"/>
  <c r="R483" i="1"/>
  <c r="S483" i="1"/>
  <c r="T483" i="1"/>
  <c r="U483" i="1"/>
  <c r="V483" i="1"/>
  <c r="W483" i="1"/>
  <c r="X483" i="1"/>
  <c r="Y483" i="1"/>
  <c r="Z483" i="1"/>
  <c r="AA483" i="1"/>
  <c r="M478" i="1"/>
  <c r="N478" i="1"/>
  <c r="O478" i="1"/>
  <c r="P478" i="1"/>
  <c r="Q478" i="1"/>
  <c r="R478" i="1"/>
  <c r="S478" i="1"/>
  <c r="T478" i="1"/>
  <c r="U478" i="1"/>
  <c r="V478" i="1"/>
  <c r="W478" i="1"/>
  <c r="X478" i="1"/>
  <c r="Y478" i="1"/>
  <c r="Z478" i="1"/>
  <c r="AA478" i="1"/>
  <c r="H473" i="1"/>
  <c r="I473" i="1"/>
  <c r="J473" i="1"/>
  <c r="K473" i="1"/>
  <c r="L473" i="1"/>
  <c r="M473" i="1"/>
  <c r="N473" i="1"/>
  <c r="O473" i="1"/>
  <c r="P473" i="1"/>
  <c r="Q473" i="1"/>
  <c r="R473" i="1"/>
  <c r="S473" i="1"/>
  <c r="T473" i="1"/>
  <c r="U473" i="1"/>
  <c r="V473" i="1"/>
  <c r="W473" i="1"/>
  <c r="X473" i="1"/>
  <c r="Y473" i="1"/>
  <c r="Z473" i="1"/>
  <c r="AA473" i="1"/>
  <c r="F473" i="1"/>
  <c r="G473" i="1"/>
  <c r="F463" i="1"/>
  <c r="H463" i="1"/>
  <c r="I463" i="1"/>
  <c r="J463" i="1"/>
  <c r="K463" i="1"/>
  <c r="L463" i="1"/>
  <c r="M463" i="1"/>
  <c r="N463" i="1"/>
  <c r="O463" i="1"/>
  <c r="P463" i="1"/>
  <c r="Q463" i="1"/>
  <c r="R463" i="1"/>
  <c r="S463" i="1"/>
  <c r="T463" i="1"/>
  <c r="U463" i="1"/>
  <c r="V463" i="1"/>
  <c r="W463" i="1"/>
  <c r="X463" i="1"/>
  <c r="Y463" i="1"/>
  <c r="Z463" i="1"/>
  <c r="AA463" i="1"/>
  <c r="H458" i="1"/>
  <c r="I458" i="1"/>
  <c r="J458" i="1"/>
  <c r="K458" i="1"/>
  <c r="L458" i="1"/>
  <c r="M458" i="1"/>
  <c r="N458" i="1"/>
  <c r="O458" i="1"/>
  <c r="P458" i="1"/>
  <c r="Q458" i="1"/>
  <c r="R458" i="1"/>
  <c r="S458" i="1"/>
  <c r="T458" i="1"/>
  <c r="U458" i="1"/>
  <c r="V458" i="1"/>
  <c r="W458" i="1"/>
  <c r="X458" i="1"/>
  <c r="Y458" i="1"/>
  <c r="Z458" i="1"/>
  <c r="AA458" i="1"/>
  <c r="F458" i="1"/>
  <c r="H453" i="1"/>
  <c r="I453" i="1"/>
  <c r="J453" i="1"/>
  <c r="K453" i="1"/>
  <c r="L453" i="1"/>
  <c r="M453" i="1"/>
  <c r="N453" i="1"/>
  <c r="O453" i="1"/>
  <c r="P453" i="1"/>
  <c r="Q453" i="1"/>
  <c r="R453" i="1"/>
  <c r="S453" i="1"/>
  <c r="T453" i="1"/>
  <c r="U453" i="1"/>
  <c r="V453" i="1"/>
  <c r="W453" i="1"/>
  <c r="X453" i="1"/>
  <c r="Y453" i="1"/>
  <c r="Z453" i="1"/>
  <c r="AA453" i="1"/>
  <c r="F453" i="1"/>
  <c r="J448" i="1"/>
  <c r="AK473" i="1" l="1"/>
  <c r="I448" i="1"/>
  <c r="K448" i="1"/>
  <c r="L448" i="1"/>
  <c r="M448" i="1"/>
  <c r="N448" i="1"/>
  <c r="O448" i="1"/>
  <c r="P448" i="1"/>
  <c r="Q448" i="1"/>
  <c r="R448" i="1"/>
  <c r="S448" i="1"/>
  <c r="T448" i="1"/>
  <c r="U448" i="1"/>
  <c r="V448" i="1"/>
  <c r="W448" i="1"/>
  <c r="X448" i="1"/>
  <c r="Y448" i="1"/>
  <c r="Z448" i="1"/>
  <c r="AA448" i="1"/>
  <c r="F448" i="1"/>
  <c r="G448" i="1"/>
  <c r="I443" i="1"/>
  <c r="J443" i="1"/>
  <c r="K443" i="1"/>
  <c r="L443" i="1"/>
  <c r="M443" i="1"/>
  <c r="N443" i="1"/>
  <c r="O443" i="1"/>
  <c r="P443" i="1"/>
  <c r="Q443" i="1"/>
  <c r="R443" i="1"/>
  <c r="S443" i="1"/>
  <c r="T443" i="1"/>
  <c r="U443" i="1"/>
  <c r="V443" i="1"/>
  <c r="W443" i="1"/>
  <c r="X443" i="1"/>
  <c r="Y443" i="1"/>
  <c r="Z443" i="1"/>
  <c r="AA443" i="1"/>
  <c r="F443" i="1"/>
  <c r="G443" i="1"/>
  <c r="J438" i="1"/>
  <c r="K438" i="1"/>
  <c r="L438" i="1"/>
  <c r="M438" i="1"/>
  <c r="N438" i="1"/>
  <c r="O438" i="1"/>
  <c r="P438" i="1"/>
  <c r="Q438" i="1"/>
  <c r="R438" i="1"/>
  <c r="S438" i="1"/>
  <c r="T438" i="1"/>
  <c r="U438" i="1"/>
  <c r="V438" i="1"/>
  <c r="W438" i="1"/>
  <c r="X438" i="1"/>
  <c r="Y438" i="1"/>
  <c r="Z438" i="1"/>
  <c r="AA438" i="1"/>
  <c r="G438" i="1"/>
  <c r="H438" i="1"/>
  <c r="I438" i="1"/>
  <c r="F438" i="1" l="1"/>
  <c r="AK438" i="1" s="1"/>
  <c r="H443" i="1"/>
  <c r="AK443" i="1" s="1"/>
  <c r="K128" i="1" l="1"/>
  <c r="AK145" i="1" l="1"/>
  <c r="AK140" i="1"/>
  <c r="AK142" i="1"/>
  <c r="AK128" i="1"/>
  <c r="AK493" i="1"/>
  <c r="H488" i="1"/>
  <c r="I488" i="1"/>
  <c r="J488" i="1"/>
  <c r="K488" i="1"/>
  <c r="L488" i="1"/>
  <c r="M488" i="1"/>
  <c r="N488" i="1"/>
  <c r="O488" i="1"/>
  <c r="P488" i="1"/>
  <c r="Q488" i="1"/>
  <c r="R488" i="1"/>
  <c r="S488" i="1"/>
  <c r="T488" i="1"/>
  <c r="U488" i="1"/>
  <c r="V488" i="1"/>
  <c r="W488" i="1"/>
  <c r="X488" i="1"/>
  <c r="Y488" i="1"/>
  <c r="Z488" i="1"/>
  <c r="AA488" i="1"/>
  <c r="F488" i="1"/>
  <c r="H448" i="1"/>
  <c r="AK448" i="1" s="1"/>
  <c r="G453" i="1"/>
  <c r="AK453" i="1" s="1"/>
  <c r="G458" i="1"/>
  <c r="AK458" i="1" s="1"/>
  <c r="G463" i="1"/>
  <c r="AK463" i="1" s="1"/>
  <c r="G478" i="1"/>
  <c r="H478" i="1"/>
  <c r="I478" i="1"/>
  <c r="J478" i="1"/>
  <c r="K478" i="1"/>
  <c r="L478" i="1"/>
  <c r="F478" i="1"/>
  <c r="L483" i="1"/>
  <c r="AK483"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88" i="1"/>
  <c r="Z373" i="1"/>
  <c r="AA373" i="1"/>
  <c r="Z360" i="1"/>
  <c r="AA360" i="1"/>
  <c r="Z361" i="1"/>
  <c r="AA361" i="1"/>
  <c r="Z362" i="1"/>
  <c r="AA362" i="1"/>
  <c r="Z363" i="1"/>
  <c r="AA363" i="1"/>
  <c r="Z364" i="1"/>
  <c r="AA364" i="1"/>
  <c r="Z365" i="1"/>
  <c r="AA365" i="1"/>
  <c r="Z366" i="1"/>
  <c r="AA366" i="1"/>
  <c r="Z367" i="1"/>
  <c r="AA367" i="1"/>
  <c r="Z368" i="1"/>
  <c r="AA368" i="1"/>
  <c r="Z369" i="1"/>
  <c r="AA369" i="1"/>
  <c r="Z370" i="1"/>
  <c r="AA370" i="1"/>
  <c r="Z371" i="1"/>
  <c r="AA371" i="1"/>
  <c r="AA358" i="1"/>
  <c r="Z358" i="1"/>
  <c r="AI372" i="1"/>
  <c r="AH372" i="1"/>
  <c r="AI359" i="1"/>
  <c r="AH359" i="1"/>
  <c r="G499" i="1" l="1"/>
  <c r="H499" i="1"/>
  <c r="I499" i="1"/>
  <c r="J499" i="1"/>
  <c r="K499" i="1"/>
  <c r="L499" i="1"/>
  <c r="M499" i="1"/>
  <c r="N499" i="1"/>
  <c r="O499" i="1"/>
  <c r="P499" i="1"/>
  <c r="Q499" i="1"/>
  <c r="R499" i="1"/>
  <c r="S499" i="1"/>
  <c r="T499" i="1"/>
  <c r="U499" i="1"/>
  <c r="V499" i="1"/>
  <c r="W499" i="1"/>
  <c r="X499" i="1"/>
  <c r="Y499" i="1"/>
  <c r="Z499" i="1"/>
  <c r="AA499" i="1"/>
  <c r="G500" i="1"/>
  <c r="H500" i="1"/>
  <c r="I500" i="1"/>
  <c r="J500" i="1"/>
  <c r="K500" i="1"/>
  <c r="L500" i="1"/>
  <c r="M500" i="1"/>
  <c r="N500" i="1"/>
  <c r="O500" i="1"/>
  <c r="P500" i="1"/>
  <c r="Q500" i="1"/>
  <c r="R500" i="1"/>
  <c r="S500" i="1"/>
  <c r="T500" i="1"/>
  <c r="U500" i="1"/>
  <c r="V500" i="1"/>
  <c r="W500" i="1"/>
  <c r="X500" i="1"/>
  <c r="Y500" i="1"/>
  <c r="Z500" i="1"/>
  <c r="AA500" i="1"/>
  <c r="G501" i="1"/>
  <c r="H501" i="1"/>
  <c r="I501" i="1"/>
  <c r="J501" i="1"/>
  <c r="K501" i="1"/>
  <c r="L501" i="1"/>
  <c r="M501" i="1"/>
  <c r="N501" i="1"/>
  <c r="O501" i="1"/>
  <c r="P501" i="1"/>
  <c r="Q501" i="1"/>
  <c r="R501" i="1"/>
  <c r="S501" i="1"/>
  <c r="T501" i="1"/>
  <c r="U501" i="1"/>
  <c r="V501" i="1"/>
  <c r="W501" i="1"/>
  <c r="X501" i="1"/>
  <c r="Y501" i="1"/>
  <c r="Z501" i="1"/>
  <c r="AA501" i="1"/>
  <c r="F499" i="1"/>
  <c r="F500" i="1"/>
  <c r="F501" i="1"/>
  <c r="AM502" i="1"/>
  <c r="AM501" i="1"/>
  <c r="AM500" i="1"/>
  <c r="AM497" i="1"/>
  <c r="AM496" i="1"/>
  <c r="AJ496" i="1"/>
  <c r="AM495" i="1"/>
  <c r="AJ495" i="1"/>
  <c r="AK494" i="1"/>
  <c r="AJ494" i="1"/>
  <c r="AM492" i="1"/>
  <c r="AM491" i="1"/>
  <c r="AJ491" i="1"/>
  <c r="AM490" i="1"/>
  <c r="AJ490" i="1"/>
  <c r="AK489" i="1"/>
  <c r="AJ489" i="1"/>
  <c r="AM487" i="1"/>
  <c r="AM486" i="1"/>
  <c r="AJ486" i="1"/>
  <c r="AM485" i="1"/>
  <c r="AJ485" i="1"/>
  <c r="AK484" i="1"/>
  <c r="AJ484" i="1"/>
  <c r="AM482" i="1"/>
  <c r="AM481" i="1"/>
  <c r="AJ481" i="1"/>
  <c r="AM480" i="1"/>
  <c r="AJ480" i="1"/>
  <c r="AK479" i="1"/>
  <c r="AJ479" i="1"/>
  <c r="K482" i="1"/>
  <c r="K502" i="1" s="1"/>
  <c r="J482" i="1"/>
  <c r="J502" i="1" s="1"/>
  <c r="I482" i="1"/>
  <c r="I502" i="1" s="1"/>
  <c r="H482" i="1"/>
  <c r="H502" i="1" s="1"/>
  <c r="G482" i="1"/>
  <c r="G502" i="1" s="1"/>
  <c r="F482" i="1"/>
  <c r="AM477" i="1"/>
  <c r="AM476" i="1"/>
  <c r="AJ476" i="1"/>
  <c r="AM475" i="1"/>
  <c r="AJ475" i="1"/>
  <c r="AK474" i="1"/>
  <c r="AJ474" i="1"/>
  <c r="AM472" i="1"/>
  <c r="AM471" i="1"/>
  <c r="AJ471" i="1"/>
  <c r="AM470" i="1"/>
  <c r="AJ470" i="1"/>
  <c r="AK469" i="1"/>
  <c r="AJ469" i="1"/>
  <c r="AM467" i="1"/>
  <c r="AM466" i="1"/>
  <c r="AJ466" i="1"/>
  <c r="AM465" i="1"/>
  <c r="AJ465" i="1"/>
  <c r="AK464" i="1"/>
  <c r="AJ464" i="1"/>
  <c r="AM462" i="1"/>
  <c r="AM461" i="1"/>
  <c r="AJ461" i="1"/>
  <c r="AM460" i="1"/>
  <c r="AJ460" i="1"/>
  <c r="AK459" i="1"/>
  <c r="AJ459" i="1"/>
  <c r="AM457" i="1"/>
  <c r="AM456" i="1"/>
  <c r="AJ456" i="1"/>
  <c r="AM455" i="1"/>
  <c r="AJ455" i="1"/>
  <c r="AK454" i="1"/>
  <c r="AJ454" i="1"/>
  <c r="AM452" i="1"/>
  <c r="AM451" i="1"/>
  <c r="AJ451" i="1"/>
  <c r="AM450" i="1"/>
  <c r="AJ450" i="1"/>
  <c r="AK449" i="1"/>
  <c r="AJ449" i="1"/>
  <c r="AM447" i="1"/>
  <c r="AM446" i="1"/>
  <c r="AJ446" i="1"/>
  <c r="AM445" i="1"/>
  <c r="AJ445" i="1"/>
  <c r="AK444" i="1"/>
  <c r="AJ444" i="1"/>
  <c r="AM442" i="1"/>
  <c r="AM441" i="1"/>
  <c r="AJ441" i="1"/>
  <c r="AM440" i="1"/>
  <c r="AJ440" i="1"/>
  <c r="AK439" i="1"/>
  <c r="AJ439" i="1"/>
  <c r="F502" i="1" l="1"/>
  <c r="AK478" i="1"/>
  <c r="AK499" i="1"/>
  <c r="AM484" i="1"/>
  <c r="AM464" i="1"/>
  <c r="AM449" i="1"/>
  <c r="AM454" i="1"/>
  <c r="AM459" i="1"/>
  <c r="AM479" i="1"/>
  <c r="AM444" i="1"/>
  <c r="AM489" i="1"/>
  <c r="AM469" i="1"/>
  <c r="AM474" i="1"/>
  <c r="AJ477" i="1"/>
  <c r="AJ482" i="1"/>
  <c r="AJ487" i="1"/>
  <c r="AJ501" i="1"/>
  <c r="AJ499" i="1"/>
  <c r="AJ492" i="1"/>
  <c r="AJ500" i="1"/>
  <c r="AM494" i="1"/>
  <c r="AJ462" i="1"/>
  <c r="AJ483" i="1"/>
  <c r="AJ478" i="1"/>
  <c r="AJ488" i="1"/>
  <c r="AJ473" i="1"/>
  <c r="AJ458" i="1"/>
  <c r="AJ447" i="1"/>
  <c r="AJ452" i="1"/>
  <c r="AJ448" i="1"/>
  <c r="AJ443" i="1"/>
  <c r="AJ438" i="1"/>
  <c r="AJ442" i="1"/>
  <c r="AM439" i="1"/>
  <c r="AM499" i="1" l="1"/>
  <c r="AB372" i="1" l="1"/>
  <c r="AC372" i="1"/>
  <c r="AD372" i="1"/>
  <c r="AE372" i="1"/>
  <c r="AF372" i="1"/>
  <c r="AG372" i="1"/>
  <c r="AA372" i="1" l="1"/>
  <c r="Z372" i="1"/>
  <c r="D55" i="1"/>
  <c r="AA346" i="1"/>
  <c r="Y346" i="1"/>
  <c r="W346" i="1"/>
  <c r="U346" i="1"/>
  <c r="S346" i="1"/>
  <c r="Q346" i="1"/>
  <c r="O346" i="1"/>
  <c r="M346" i="1"/>
  <c r="AB359" i="1" l="1"/>
  <c r="AC359" i="1"/>
  <c r="AD359" i="1"/>
  <c r="AE359" i="1"/>
  <c r="AF359" i="1"/>
  <c r="AG359"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59" i="1" l="1"/>
  <c r="Z359" i="1"/>
  <c r="AJ66" i="1"/>
  <c r="AJ147" i="1"/>
  <c r="AK342" i="1" l="1"/>
  <c r="AK340" i="1"/>
  <c r="AM340" i="1"/>
  <c r="AM333" i="1"/>
  <c r="AM332" i="1"/>
  <c r="AM331" i="1"/>
  <c r="AJ424" i="1" l="1"/>
  <c r="AQ21" i="1" l="1"/>
  <c r="AQ20" i="1"/>
  <c r="AQ19" i="1"/>
  <c r="AQ4" i="1"/>
  <c r="AQ3" i="1"/>
  <c r="AP21" i="1"/>
  <c r="AP20" i="1"/>
  <c r="AP19" i="1"/>
  <c r="AP4" i="1"/>
  <c r="AP3" i="1"/>
  <c r="A3" i="1" l="1"/>
  <c r="G425" i="1" l="1"/>
  <c r="H425" i="1"/>
  <c r="I425" i="1"/>
  <c r="J425" i="1"/>
  <c r="K425" i="1"/>
  <c r="L425" i="1"/>
  <c r="M425" i="1"/>
  <c r="N425" i="1"/>
  <c r="O425" i="1"/>
  <c r="P425" i="1"/>
  <c r="Q425" i="1"/>
  <c r="R425" i="1"/>
  <c r="S425" i="1"/>
  <c r="T425" i="1"/>
  <c r="U425" i="1"/>
  <c r="V425" i="1"/>
  <c r="W425" i="1"/>
  <c r="X425" i="1"/>
  <c r="Y425" i="1"/>
  <c r="Y214" i="1" l="1"/>
  <c r="W214" i="1"/>
  <c r="U214" i="1"/>
  <c r="S214" i="1"/>
  <c r="Q214" i="1"/>
  <c r="O214" i="1"/>
  <c r="M214" i="1"/>
  <c r="Y230" i="1"/>
  <c r="W230" i="1"/>
  <c r="U230" i="1"/>
  <c r="S230" i="1"/>
  <c r="Q230" i="1"/>
  <c r="O230" i="1"/>
  <c r="M230" i="1"/>
  <c r="Y222" i="1"/>
  <c r="W222" i="1"/>
  <c r="U222" i="1"/>
  <c r="S222" i="1"/>
  <c r="Q222" i="1"/>
  <c r="O222" i="1"/>
  <c r="AK212" i="1" l="1"/>
  <c r="AK228" i="1"/>
  <c r="AK125" i="1"/>
  <c r="AK126" i="1"/>
  <c r="G44" i="1" l="1"/>
  <c r="H44" i="1"/>
  <c r="I44" i="1"/>
  <c r="J44" i="1"/>
  <c r="K44" i="1"/>
  <c r="L44" i="1"/>
  <c r="M44" i="1"/>
  <c r="N44" i="1"/>
  <c r="O44" i="1"/>
  <c r="P44" i="1"/>
  <c r="Q44" i="1"/>
  <c r="R44" i="1"/>
  <c r="S44" i="1"/>
  <c r="T44" i="1"/>
  <c r="U44" i="1"/>
  <c r="V44" i="1"/>
  <c r="W44" i="1"/>
  <c r="X44" i="1"/>
  <c r="Y44" i="1"/>
  <c r="F44" i="1"/>
  <c r="F57" i="1" l="1"/>
  <c r="F55" i="1"/>
  <c r="R57" i="1"/>
  <c r="R55" i="1"/>
  <c r="N57" i="1"/>
  <c r="N55" i="1"/>
  <c r="J57" i="1"/>
  <c r="J55" i="1"/>
  <c r="H57" i="1"/>
  <c r="H55" i="1"/>
  <c r="V57" i="1"/>
  <c r="V55" i="1"/>
  <c r="Y57" i="1"/>
  <c r="Y55" i="1"/>
  <c r="U57" i="1"/>
  <c r="U55" i="1"/>
  <c r="Q57" i="1"/>
  <c r="Q55" i="1"/>
  <c r="M57" i="1"/>
  <c r="M55" i="1"/>
  <c r="I57" i="1"/>
  <c r="I55" i="1"/>
  <c r="X57" i="1"/>
  <c r="X55" i="1"/>
  <c r="T57" i="1"/>
  <c r="T55" i="1"/>
  <c r="P57" i="1"/>
  <c r="P55" i="1"/>
  <c r="L57" i="1"/>
  <c r="L55" i="1"/>
  <c r="W57" i="1"/>
  <c r="W55" i="1"/>
  <c r="S57" i="1"/>
  <c r="S55" i="1"/>
  <c r="O57" i="1"/>
  <c r="O55" i="1"/>
  <c r="K57" i="1"/>
  <c r="K55" i="1"/>
  <c r="G57" i="1"/>
  <c r="G55" i="1"/>
  <c r="Z55" i="1"/>
  <c r="AA55" i="1"/>
  <c r="M468" i="1"/>
  <c r="Q468" i="1"/>
  <c r="X468" i="1"/>
  <c r="T468" i="1"/>
  <c r="P468" i="1"/>
  <c r="L468" i="1"/>
  <c r="H468" i="1"/>
  <c r="Y468" i="1"/>
  <c r="F468" i="1"/>
  <c r="AA468" i="1"/>
  <c r="W468" i="1"/>
  <c r="S468" i="1"/>
  <c r="O468" i="1"/>
  <c r="K468" i="1"/>
  <c r="G468" i="1"/>
  <c r="U468" i="1"/>
  <c r="I468" i="1"/>
  <c r="Z468" i="1"/>
  <c r="V468" i="1"/>
  <c r="R468" i="1"/>
  <c r="N468" i="1"/>
  <c r="J468" i="1"/>
  <c r="AJ472" i="1"/>
  <c r="G43" i="1"/>
  <c r="H43" i="1"/>
  <c r="I43" i="1"/>
  <c r="J43" i="1"/>
  <c r="K43" i="1"/>
  <c r="L43" i="1"/>
  <c r="M43" i="1"/>
  <c r="N43" i="1"/>
  <c r="O43" i="1"/>
  <c r="P43" i="1"/>
  <c r="Q43" i="1"/>
  <c r="R43" i="1"/>
  <c r="S43" i="1"/>
  <c r="T43" i="1"/>
  <c r="U43" i="1"/>
  <c r="V43" i="1"/>
  <c r="W43" i="1"/>
  <c r="X43" i="1"/>
  <c r="Y43" i="1"/>
  <c r="F43" i="1"/>
  <c r="E346" i="1"/>
  <c r="E324" i="1"/>
  <c r="X56" i="1" l="1"/>
  <c r="X54" i="1"/>
  <c r="H56" i="1"/>
  <c r="H54" i="1"/>
  <c r="V56" i="1"/>
  <c r="V54" i="1"/>
  <c r="R56" i="1"/>
  <c r="R54" i="1"/>
  <c r="N56" i="1"/>
  <c r="N54" i="1"/>
  <c r="J56" i="1"/>
  <c r="J54" i="1"/>
  <c r="Y56" i="1"/>
  <c r="Y54" i="1"/>
  <c r="U56" i="1"/>
  <c r="U54" i="1"/>
  <c r="Q56" i="1"/>
  <c r="Q54" i="1"/>
  <c r="M56" i="1"/>
  <c r="M54" i="1"/>
  <c r="I56" i="1"/>
  <c r="I54" i="1"/>
  <c r="T56" i="1"/>
  <c r="T54" i="1"/>
  <c r="L56" i="1"/>
  <c r="L54" i="1"/>
  <c r="W56" i="1"/>
  <c r="W54" i="1"/>
  <c r="S56" i="1"/>
  <c r="S54" i="1"/>
  <c r="O56" i="1"/>
  <c r="O54" i="1"/>
  <c r="K56" i="1"/>
  <c r="K54" i="1"/>
  <c r="G56" i="1"/>
  <c r="G54" i="1"/>
  <c r="P56" i="1"/>
  <c r="P54" i="1"/>
  <c r="F56" i="1"/>
  <c r="F54" i="1"/>
  <c r="Z54" i="1"/>
  <c r="Z56" i="1"/>
  <c r="AA54" i="1"/>
  <c r="AA56" i="1"/>
  <c r="AJ468" i="1"/>
  <c r="AJ57" i="1"/>
  <c r="AK468" i="1"/>
  <c r="AL438" i="1" s="1"/>
  <c r="F498" i="1"/>
  <c r="R498" i="1"/>
  <c r="Z498" i="1"/>
  <c r="P498" i="1"/>
  <c r="N498" i="1"/>
  <c r="V498" i="1"/>
  <c r="G498" i="1"/>
  <c r="AJ453" i="1"/>
  <c r="H498" i="1"/>
  <c r="T498" i="1"/>
  <c r="I498" i="1"/>
  <c r="J498" i="1"/>
  <c r="X498" i="1"/>
  <c r="L498" i="1"/>
  <c r="AJ463" i="1"/>
  <c r="AJ467" i="1"/>
  <c r="AJ8" i="1"/>
  <c r="AJ56" i="1" l="1"/>
  <c r="AJ457" i="1"/>
  <c r="F346" i="1"/>
  <c r="G346" i="1"/>
  <c r="H346" i="1"/>
  <c r="I346" i="1"/>
  <c r="J346" i="1"/>
  <c r="K346" i="1"/>
  <c r="L346" i="1"/>
  <c r="N346" i="1"/>
  <c r="P346" i="1"/>
  <c r="R346" i="1"/>
  <c r="T346" i="1"/>
  <c r="V346" i="1"/>
  <c r="X346" i="1"/>
  <c r="Z346" i="1"/>
  <c r="AJ434" i="1" l="1"/>
  <c r="AJ9" i="1"/>
  <c r="AJ10" i="1"/>
  <c r="K112" i="1" l="1"/>
  <c r="L112" i="1"/>
  <c r="M112" i="1"/>
  <c r="N112" i="1"/>
  <c r="O112" i="1"/>
  <c r="P112" i="1"/>
  <c r="Q112" i="1"/>
  <c r="R112" i="1"/>
  <c r="S112" i="1"/>
  <c r="T112" i="1"/>
  <c r="U112" i="1"/>
  <c r="V112" i="1"/>
  <c r="W112" i="1"/>
  <c r="X112" i="1"/>
  <c r="Y112" i="1"/>
  <c r="Z112" i="1"/>
  <c r="AA112" i="1"/>
  <c r="Y498" i="1" l="1"/>
  <c r="U498" i="1"/>
  <c r="Q498" i="1"/>
  <c r="M498" i="1"/>
  <c r="AA498" i="1"/>
  <c r="W498" i="1"/>
  <c r="S498" i="1"/>
  <c r="O498" i="1"/>
  <c r="AJ493" i="1"/>
  <c r="K498" i="1"/>
  <c r="AM375" i="1"/>
  <c r="AM374" i="1"/>
  <c r="E376" i="1"/>
  <c r="E379" i="1" s="1"/>
  <c r="F376" i="1"/>
  <c r="F379" i="1" s="1"/>
  <c r="G376" i="1"/>
  <c r="G379" i="1" s="1"/>
  <c r="H376" i="1"/>
  <c r="H379" i="1" s="1"/>
  <c r="I376" i="1"/>
  <c r="I379" i="1" s="1"/>
  <c r="J376" i="1"/>
  <c r="J379" i="1" s="1"/>
  <c r="K376" i="1"/>
  <c r="K379" i="1" s="1"/>
  <c r="L376" i="1"/>
  <c r="L379" i="1" s="1"/>
  <c r="M376" i="1"/>
  <c r="M379" i="1" s="1"/>
  <c r="N376" i="1"/>
  <c r="N379" i="1" s="1"/>
  <c r="O376" i="1"/>
  <c r="O379" i="1" s="1"/>
  <c r="P376" i="1"/>
  <c r="P379" i="1" s="1"/>
  <c r="Q376" i="1"/>
  <c r="Q379" i="1" s="1"/>
  <c r="R376" i="1"/>
  <c r="R379" i="1" s="1"/>
  <c r="S376" i="1"/>
  <c r="S379" i="1" s="1"/>
  <c r="T376" i="1"/>
  <c r="T379" i="1" s="1"/>
  <c r="U376" i="1"/>
  <c r="U379" i="1" s="1"/>
  <c r="V376" i="1"/>
  <c r="V379" i="1" s="1"/>
  <c r="W376" i="1"/>
  <c r="W379" i="1" s="1"/>
  <c r="X376" i="1"/>
  <c r="X379" i="1" s="1"/>
  <c r="Y376" i="1"/>
  <c r="Y379" i="1" s="1"/>
  <c r="E383" i="1"/>
  <c r="F383" i="1"/>
  <c r="G383" i="1"/>
  <c r="H383" i="1"/>
  <c r="I383" i="1"/>
  <c r="J383" i="1"/>
  <c r="K383" i="1"/>
  <c r="L383" i="1"/>
  <c r="M383" i="1"/>
  <c r="N383" i="1"/>
  <c r="O383" i="1"/>
  <c r="P383" i="1"/>
  <c r="Q383" i="1"/>
  <c r="R383" i="1"/>
  <c r="S383" i="1"/>
  <c r="T383" i="1"/>
  <c r="U383" i="1"/>
  <c r="V383" i="1"/>
  <c r="W383" i="1"/>
  <c r="X383" i="1"/>
  <c r="Y383" i="1"/>
  <c r="AJ502" i="1" l="1"/>
  <c r="AJ498" i="1"/>
  <c r="AJ497" i="1"/>
  <c r="AK8" i="1"/>
  <c r="AK9" i="1"/>
  <c r="W429" i="1" l="1"/>
  <c r="AJ394" i="1"/>
  <c r="AJ395" i="1"/>
  <c r="AJ396" i="1"/>
  <c r="AJ397" i="1"/>
  <c r="AJ398" i="1"/>
  <c r="E391" i="1"/>
  <c r="F391" i="1"/>
  <c r="G391" i="1"/>
  <c r="H391" i="1"/>
  <c r="I391" i="1"/>
  <c r="J391" i="1"/>
  <c r="K391" i="1"/>
  <c r="L391" i="1"/>
  <c r="M391" i="1"/>
  <c r="N391" i="1"/>
  <c r="O391" i="1"/>
  <c r="P391" i="1"/>
  <c r="Q391" i="1"/>
  <c r="R391" i="1"/>
  <c r="S391" i="1"/>
  <c r="T391" i="1"/>
  <c r="U391" i="1"/>
  <c r="V391" i="1"/>
  <c r="W391" i="1"/>
  <c r="X391" i="1"/>
  <c r="Y391" i="1"/>
  <c r="Z391" i="1"/>
  <c r="AA391" i="1"/>
  <c r="D391" i="1"/>
  <c r="AJ334" i="1"/>
  <c r="AJ333" i="1"/>
  <c r="AJ337" i="1"/>
  <c r="AJ336" i="1"/>
  <c r="AJ331" i="1"/>
  <c r="AJ332" i="1"/>
  <c r="AJ304" i="1"/>
  <c r="AJ305" i="1"/>
  <c r="AJ151" i="1"/>
  <c r="AJ152" i="1"/>
  <c r="AJ153" i="1"/>
  <c r="AJ154" i="1"/>
  <c r="AJ150" i="1"/>
  <c r="AJ149" i="1"/>
  <c r="AJ135" i="1"/>
  <c r="AJ146" i="1"/>
  <c r="AJ136" i="1"/>
  <c r="AJ129" i="1"/>
  <c r="AJ130" i="1"/>
  <c r="AJ131" i="1"/>
  <c r="AJ133" i="1"/>
  <c r="AJ134" i="1"/>
  <c r="AJ126" i="1"/>
  <c r="AJ125" i="1"/>
  <c r="AJ128" i="1" l="1"/>
  <c r="D324" i="1"/>
  <c r="E390" i="1"/>
  <c r="F390" i="1"/>
  <c r="G390" i="1"/>
  <c r="H390" i="1"/>
  <c r="I390" i="1"/>
  <c r="J390" i="1"/>
  <c r="K390" i="1"/>
  <c r="L390" i="1"/>
  <c r="M390" i="1"/>
  <c r="N390" i="1"/>
  <c r="O390" i="1"/>
  <c r="P390" i="1"/>
  <c r="Q390" i="1"/>
  <c r="R390" i="1"/>
  <c r="S390" i="1"/>
  <c r="T390" i="1"/>
  <c r="U390" i="1"/>
  <c r="V390" i="1"/>
  <c r="W390" i="1"/>
  <c r="X390" i="1"/>
  <c r="Y390" i="1"/>
  <c r="Z390" i="1"/>
  <c r="AN391" i="1"/>
  <c r="D383" i="1"/>
  <c r="AK281" i="1" l="1"/>
  <c r="AK282" i="1"/>
  <c r="AK279" i="1"/>
  <c r="AK270" i="1"/>
  <c r="AK261" i="1"/>
  <c r="AK259" i="1"/>
  <c r="AK256" i="1"/>
  <c r="AK252" i="1"/>
  <c r="AK250" i="1"/>
  <c r="E265" i="1"/>
  <c r="F265" i="1"/>
  <c r="G265" i="1"/>
  <c r="H265" i="1"/>
  <c r="I265" i="1"/>
  <c r="J265" i="1"/>
  <c r="K265" i="1"/>
  <c r="L265" i="1"/>
  <c r="M265" i="1"/>
  <c r="N265" i="1"/>
  <c r="O265" i="1"/>
  <c r="P265" i="1"/>
  <c r="Q265" i="1"/>
  <c r="R265" i="1"/>
  <c r="S265" i="1"/>
  <c r="T265" i="1"/>
  <c r="U265" i="1"/>
  <c r="V265" i="1"/>
  <c r="W265" i="1"/>
  <c r="X265" i="1"/>
  <c r="Y265" i="1"/>
  <c r="Z265" i="1"/>
  <c r="AA265" i="1"/>
  <c r="D265" i="1"/>
  <c r="E247" i="1"/>
  <c r="F247" i="1"/>
  <c r="G247" i="1"/>
  <c r="H247" i="1"/>
  <c r="I247" i="1"/>
  <c r="J247" i="1"/>
  <c r="K247" i="1"/>
  <c r="L247" i="1"/>
  <c r="M247" i="1"/>
  <c r="N247" i="1"/>
  <c r="O247" i="1"/>
  <c r="P247" i="1"/>
  <c r="Q247" i="1"/>
  <c r="R247" i="1"/>
  <c r="S247" i="1"/>
  <c r="T247" i="1"/>
  <c r="U247" i="1"/>
  <c r="V247" i="1"/>
  <c r="W247" i="1"/>
  <c r="X247" i="1"/>
  <c r="Y247" i="1"/>
  <c r="Z247" i="1"/>
  <c r="AA247" i="1"/>
  <c r="D247" i="1"/>
  <c r="AA267" i="1"/>
  <c r="Z267" i="1"/>
  <c r="Y267" i="1"/>
  <c r="X267" i="1"/>
  <c r="W267" i="1"/>
  <c r="V267" i="1"/>
  <c r="U267" i="1"/>
  <c r="T267" i="1"/>
  <c r="S267" i="1"/>
  <c r="R267" i="1"/>
  <c r="Q267" i="1"/>
  <c r="P267" i="1"/>
  <c r="O267" i="1"/>
  <c r="N267" i="1"/>
  <c r="M267" i="1"/>
  <c r="L267" i="1"/>
  <c r="K267" i="1"/>
  <c r="J267" i="1"/>
  <c r="I267" i="1"/>
  <c r="H267" i="1"/>
  <c r="G267" i="1"/>
  <c r="F267" i="1"/>
  <c r="E267" i="1"/>
  <c r="D267" i="1"/>
  <c r="AA258" i="1"/>
  <c r="Z258" i="1"/>
  <c r="Y258" i="1"/>
  <c r="X258" i="1"/>
  <c r="W258" i="1"/>
  <c r="V258" i="1"/>
  <c r="U258" i="1"/>
  <c r="T258" i="1"/>
  <c r="S258" i="1"/>
  <c r="R258" i="1"/>
  <c r="Q258" i="1"/>
  <c r="P258" i="1"/>
  <c r="O258" i="1"/>
  <c r="N258" i="1"/>
  <c r="M258" i="1"/>
  <c r="L258" i="1"/>
  <c r="K258" i="1"/>
  <c r="J258" i="1"/>
  <c r="I258" i="1"/>
  <c r="H258" i="1"/>
  <c r="G258" i="1"/>
  <c r="F258" i="1"/>
  <c r="E258" i="1"/>
  <c r="D258" i="1"/>
  <c r="AJ256" i="1"/>
  <c r="AA249" i="1"/>
  <c r="Z249" i="1"/>
  <c r="Y249" i="1"/>
  <c r="X249" i="1"/>
  <c r="W249" i="1"/>
  <c r="V249" i="1"/>
  <c r="U249" i="1"/>
  <c r="T249" i="1"/>
  <c r="S249" i="1"/>
  <c r="R249" i="1"/>
  <c r="Q249" i="1"/>
  <c r="P249" i="1"/>
  <c r="O249" i="1"/>
  <c r="N249" i="1"/>
  <c r="M249" i="1"/>
  <c r="L249" i="1"/>
  <c r="K249" i="1"/>
  <c r="J249" i="1"/>
  <c r="I249" i="1"/>
  <c r="H249" i="1"/>
  <c r="G249" i="1"/>
  <c r="F249" i="1"/>
  <c r="E249" i="1"/>
  <c r="D249" i="1"/>
  <c r="AK268" i="1"/>
  <c r="AK243" i="1"/>
  <c r="AK241" i="1"/>
  <c r="E240" i="1"/>
  <c r="F240" i="1"/>
  <c r="G240" i="1"/>
  <c r="H240" i="1"/>
  <c r="I240" i="1"/>
  <c r="J240" i="1"/>
  <c r="K240" i="1"/>
  <c r="L240" i="1"/>
  <c r="M240" i="1"/>
  <c r="N240" i="1"/>
  <c r="O240" i="1"/>
  <c r="P240" i="1"/>
  <c r="Q240" i="1"/>
  <c r="R240" i="1"/>
  <c r="S240" i="1"/>
  <c r="T240" i="1"/>
  <c r="U240" i="1"/>
  <c r="V240" i="1"/>
  <c r="W240" i="1"/>
  <c r="X240" i="1"/>
  <c r="Y240" i="1"/>
  <c r="Z240" i="1"/>
  <c r="AA240" i="1"/>
  <c r="E238" i="1"/>
  <c r="F238" i="1"/>
  <c r="G238" i="1"/>
  <c r="H238" i="1"/>
  <c r="I238" i="1"/>
  <c r="J238" i="1"/>
  <c r="K238" i="1"/>
  <c r="L238" i="1"/>
  <c r="M238" i="1"/>
  <c r="N238" i="1"/>
  <c r="O238" i="1"/>
  <c r="P238" i="1"/>
  <c r="Q238" i="1"/>
  <c r="R238" i="1"/>
  <c r="S238" i="1"/>
  <c r="T238" i="1"/>
  <c r="U238" i="1"/>
  <c r="V238" i="1"/>
  <c r="W238" i="1"/>
  <c r="X238" i="1"/>
  <c r="Y238" i="1"/>
  <c r="Z238" i="1"/>
  <c r="AA238" i="1"/>
  <c r="D18" i="1"/>
  <c r="E18" i="1"/>
  <c r="AJ16" i="1"/>
  <c r="AJ17" i="1"/>
  <c r="AJ15" i="1"/>
  <c r="AJ12" i="1"/>
  <c r="AJ13" i="1"/>
  <c r="AJ238" i="1"/>
  <c r="D238" i="1"/>
  <c r="D14" i="1"/>
  <c r="E14" i="1"/>
  <c r="AJ276" i="1"/>
  <c r="AJ257" i="1"/>
  <c r="AJ259" i="1"/>
  <c r="AJ260" i="1"/>
  <c r="AJ261" i="1"/>
  <c r="AJ262" i="1"/>
  <c r="AJ263" i="1"/>
  <c r="AJ264" i="1"/>
  <c r="AJ266" i="1"/>
  <c r="AJ268" i="1"/>
  <c r="AJ269" i="1"/>
  <c r="AJ270" i="1"/>
  <c r="AJ271" i="1"/>
  <c r="AJ272" i="1"/>
  <c r="AJ273" i="1"/>
  <c r="AJ255" i="1"/>
  <c r="AJ248" i="1"/>
  <c r="AJ250" i="1"/>
  <c r="AJ251" i="1"/>
  <c r="AJ252" i="1"/>
  <c r="AJ253" i="1"/>
  <c r="AJ254" i="1"/>
  <c r="AJ246" i="1"/>
  <c r="D240" i="1"/>
  <c r="AJ241" i="1"/>
  <c r="AJ242" i="1"/>
  <c r="AJ243" i="1"/>
  <c r="AJ244" i="1"/>
  <c r="AJ245" i="1"/>
  <c r="G14" i="1"/>
  <c r="H14" i="1"/>
  <c r="I14" i="1"/>
  <c r="J14" i="1"/>
  <c r="K14" i="1"/>
  <c r="L14" i="1"/>
  <c r="M14" i="1"/>
  <c r="N14" i="1"/>
  <c r="O14" i="1"/>
  <c r="P14" i="1"/>
  <c r="Q14" i="1"/>
  <c r="R14" i="1"/>
  <c r="S14" i="1"/>
  <c r="T14" i="1"/>
  <c r="U14" i="1"/>
  <c r="V14" i="1"/>
  <c r="W14" i="1"/>
  <c r="X14" i="1"/>
  <c r="Y14" i="1"/>
  <c r="Z14" i="1"/>
  <c r="AA14" i="1"/>
  <c r="M222" i="1"/>
  <c r="AK220" i="1" s="1"/>
  <c r="AL211" i="1" s="1"/>
  <c r="F14" i="1"/>
  <c r="AJ18" i="1" l="1"/>
  <c r="AJ258" i="1"/>
  <c r="AJ267" i="1"/>
  <c r="AJ249" i="1"/>
  <c r="AK265" i="1"/>
  <c r="AL265" i="1" s="1"/>
  <c r="AJ247" i="1"/>
  <c r="AJ391" i="1"/>
  <c r="AK247" i="1"/>
  <c r="AL247" i="1" s="1"/>
  <c r="AJ14" i="1"/>
  <c r="AK238" i="1"/>
  <c r="AJ265" i="1"/>
  <c r="AL256" i="1"/>
  <c r="AK276" i="1"/>
  <c r="AK274" i="1"/>
  <c r="AJ240" i="1"/>
  <c r="AJ230" i="1"/>
  <c r="AJ214" i="1"/>
  <c r="AJ222" i="1"/>
  <c r="AK16" i="1"/>
  <c r="AK15" i="1"/>
  <c r="AK12" i="1"/>
  <c r="AK11" i="1"/>
  <c r="G18" i="1"/>
  <c r="H18" i="1"/>
  <c r="I18" i="1"/>
  <c r="J18" i="1"/>
  <c r="K18" i="1"/>
  <c r="L18" i="1"/>
  <c r="M18" i="1"/>
  <c r="N18" i="1"/>
  <c r="O18" i="1"/>
  <c r="P18" i="1"/>
  <c r="Q18" i="1"/>
  <c r="R18" i="1"/>
  <c r="S18" i="1"/>
  <c r="T18" i="1"/>
  <c r="U18" i="1"/>
  <c r="V18" i="1"/>
  <c r="W18" i="1"/>
  <c r="X18" i="1"/>
  <c r="Y18" i="1"/>
  <c r="Z18" i="1"/>
  <c r="AA18" i="1"/>
  <c r="F18" i="1"/>
  <c r="AL238" i="1" l="1"/>
  <c r="AK310" i="1"/>
  <c r="AK431" i="1" l="1"/>
  <c r="AK182" i="1"/>
  <c r="AM430" i="1"/>
  <c r="AK428" i="1"/>
  <c r="AK426" i="1"/>
  <c r="AK422" i="1"/>
  <c r="AK408" i="1"/>
  <c r="F334" i="4"/>
  <c r="E359" i="1"/>
  <c r="F359" i="1"/>
  <c r="G359" i="1"/>
  <c r="H359" i="1"/>
  <c r="I359" i="1"/>
  <c r="J359" i="1"/>
  <c r="K359" i="1"/>
  <c r="L359" i="1"/>
  <c r="M359" i="1"/>
  <c r="N359" i="1"/>
  <c r="O359" i="1"/>
  <c r="P359" i="1"/>
  <c r="Q359" i="1"/>
  <c r="R359" i="1"/>
  <c r="S359" i="1"/>
  <c r="T359" i="1"/>
  <c r="U359" i="1"/>
  <c r="V359" i="1"/>
  <c r="W359" i="1"/>
  <c r="X359" i="1"/>
  <c r="Y359" i="1"/>
  <c r="AK375" i="1"/>
  <c r="AK374" i="1"/>
  <c r="AJ377" i="1" l="1"/>
  <c r="AJ378" i="1"/>
  <c r="AJ380" i="1"/>
  <c r="AJ381" i="1"/>
  <c r="AJ382" i="1"/>
  <c r="AJ384" i="1"/>
  <c r="AJ373" i="1"/>
  <c r="AJ374" i="1"/>
  <c r="AJ375" i="1"/>
  <c r="AJ383" i="1" l="1"/>
  <c r="AK383" i="1"/>
  <c r="E372" i="1" l="1"/>
  <c r="F372" i="1"/>
  <c r="G372" i="1"/>
  <c r="H372" i="1"/>
  <c r="I372" i="1"/>
  <c r="J372" i="1"/>
  <c r="K372" i="1"/>
  <c r="L372" i="1"/>
  <c r="M372" i="1"/>
  <c r="N372" i="1"/>
  <c r="O372" i="1"/>
  <c r="P372" i="1"/>
  <c r="Q372" i="1"/>
  <c r="R372" i="1"/>
  <c r="S372" i="1"/>
  <c r="T372" i="1"/>
  <c r="U372" i="1"/>
  <c r="V372" i="1"/>
  <c r="W372" i="1"/>
  <c r="X372" i="1"/>
  <c r="Y372" i="1"/>
  <c r="D359" i="1"/>
  <c r="AK186" i="1" s="1"/>
  <c r="AJ347" i="1"/>
  <c r="AJ348" i="1"/>
  <c r="AJ349" i="1"/>
  <c r="AJ350" i="1"/>
  <c r="AJ351" i="1"/>
  <c r="AJ352" i="1"/>
  <c r="AK358" i="1" l="1"/>
  <c r="AK336" i="1"/>
  <c r="AK334" i="1"/>
  <c r="AK333" i="1"/>
  <c r="AM329" i="1" l="1"/>
  <c r="AM328" i="1"/>
  <c r="AK293" i="1"/>
  <c r="D318" i="1"/>
  <c r="D321" i="1"/>
  <c r="AM320" i="1"/>
  <c r="AM319" i="1"/>
  <c r="AK319" i="1"/>
  <c r="AK320" i="1"/>
  <c r="AK317" i="1"/>
  <c r="AK316" i="1"/>
  <c r="AK314" i="1"/>
  <c r="E321" i="1"/>
  <c r="E318" i="1"/>
  <c r="AK308" i="1"/>
  <c r="AK306" i="1"/>
  <c r="AK304" i="1"/>
  <c r="AK321" i="1" l="1"/>
  <c r="AM321" i="1"/>
  <c r="AJ321" i="1"/>
  <c r="AM293" i="1" l="1"/>
  <c r="AN292" i="1" s="1"/>
  <c r="AK300" i="1"/>
  <c r="AK298" i="1"/>
  <c r="AK184" i="1"/>
  <c r="AK183" i="1"/>
  <c r="K148" i="1"/>
  <c r="L148" i="1"/>
  <c r="M148" i="1"/>
  <c r="N148" i="1"/>
  <c r="O148" i="1"/>
  <c r="P148" i="1"/>
  <c r="Q148" i="1"/>
  <c r="R148" i="1"/>
  <c r="S148" i="1"/>
  <c r="T148" i="1"/>
  <c r="U148" i="1"/>
  <c r="V148" i="1"/>
  <c r="W148" i="1"/>
  <c r="X148" i="1"/>
  <c r="Y148" i="1"/>
  <c r="Z148" i="1"/>
  <c r="AA148" i="1"/>
  <c r="J148" i="1"/>
  <c r="AK124" i="1"/>
  <c r="AK49" i="1"/>
  <c r="AK47" i="1"/>
  <c r="AK45" i="1"/>
  <c r="AK43" i="1"/>
  <c r="AK41" i="1"/>
  <c r="AK39" i="1"/>
  <c r="AK37" i="1"/>
  <c r="AK35" i="1"/>
  <c r="AK27" i="1"/>
  <c r="AM24" i="1"/>
  <c r="AK22" i="1"/>
  <c r="AJ148" i="1" l="1"/>
  <c r="AJ392" i="1" l="1"/>
  <c r="D390" i="1"/>
  <c r="AK389" i="1" s="1"/>
  <c r="AJ388" i="1"/>
  <c r="D376" i="1"/>
  <c r="AK384" i="1" s="1"/>
  <c r="AJ389" i="1"/>
  <c r="D346" i="1"/>
  <c r="AJ358" i="1"/>
  <c r="AK346" i="1" l="1"/>
  <c r="AK354" i="1"/>
  <c r="AK324" i="1"/>
  <c r="AK328" i="1"/>
  <c r="D379" i="1"/>
  <c r="AK385" i="1" s="1"/>
  <c r="AJ376" i="1"/>
  <c r="AJ393" i="1"/>
  <c r="AJ390" i="1"/>
  <c r="AJ379" i="1" l="1"/>
  <c r="AK379" i="1"/>
  <c r="AK390" i="1"/>
  <c r="AM379" i="1"/>
  <c r="AN374" i="1" s="1"/>
  <c r="AJ426" i="1"/>
  <c r="AJ428" i="1"/>
  <c r="AJ430" i="1"/>
  <c r="AJ431" i="1"/>
  <c r="F432" i="1"/>
  <c r="G432" i="1"/>
  <c r="H432" i="1"/>
  <c r="I432" i="1"/>
  <c r="J432" i="1"/>
  <c r="K432" i="1"/>
  <c r="L432" i="1"/>
  <c r="M432" i="1"/>
  <c r="N432" i="1"/>
  <c r="O432" i="1"/>
  <c r="P432" i="1"/>
  <c r="Q432" i="1"/>
  <c r="R432" i="1"/>
  <c r="S432" i="1"/>
  <c r="T432" i="1"/>
  <c r="U432" i="1"/>
  <c r="V432" i="1"/>
  <c r="W432" i="1"/>
  <c r="X432" i="1"/>
  <c r="Y432" i="1"/>
  <c r="F429" i="1"/>
  <c r="G429" i="1"/>
  <c r="H429" i="1"/>
  <c r="I429" i="1"/>
  <c r="J429" i="1"/>
  <c r="K429" i="1"/>
  <c r="L429" i="1"/>
  <c r="M429" i="1"/>
  <c r="N429" i="1"/>
  <c r="O429" i="1"/>
  <c r="P429" i="1"/>
  <c r="Q429" i="1"/>
  <c r="R429" i="1"/>
  <c r="S429" i="1"/>
  <c r="T429" i="1"/>
  <c r="U429" i="1"/>
  <c r="V429" i="1"/>
  <c r="X429" i="1"/>
  <c r="Y429" i="1"/>
  <c r="AK427" i="1"/>
  <c r="AM425" i="1"/>
  <c r="AJ423" i="1"/>
  <c r="AJ422" i="1"/>
  <c r="AJ239" i="1"/>
  <c r="AJ274" i="1"/>
  <c r="AJ324" i="1"/>
  <c r="AJ311" i="1"/>
  <c r="AJ314" i="1"/>
  <c r="AJ315" i="1"/>
  <c r="AJ316" i="1"/>
  <c r="AJ317" i="1"/>
  <c r="AJ319" i="1"/>
  <c r="AJ320" i="1"/>
  <c r="AJ322" i="1"/>
  <c r="AJ323" i="1"/>
  <c r="AJ300" i="1"/>
  <c r="AJ301" i="1"/>
  <c r="AJ302" i="1"/>
  <c r="AJ303" i="1"/>
  <c r="AJ306" i="1"/>
  <c r="AJ307" i="1"/>
  <c r="AJ308" i="1"/>
  <c r="AJ309" i="1"/>
  <c r="AJ310" i="1"/>
  <c r="AJ298" i="1"/>
  <c r="AJ318" i="1"/>
  <c r="AM434" i="1" l="1"/>
  <c r="AN422" i="1"/>
  <c r="AK432" i="1"/>
  <c r="AL422" i="1" s="1"/>
  <c r="AJ425" i="1"/>
  <c r="AJ432" i="1"/>
  <c r="AJ429" i="1"/>
  <c r="Y330" i="1"/>
  <c r="W330" i="1"/>
  <c r="U330" i="1"/>
  <c r="S330" i="1"/>
  <c r="Q330" i="1"/>
  <c r="O330" i="1"/>
  <c r="M330" i="1"/>
  <c r="K330" i="1"/>
  <c r="AJ330" i="1" l="1"/>
  <c r="Y297" i="1"/>
  <c r="W297" i="1"/>
  <c r="U297" i="1"/>
  <c r="S297" i="1"/>
  <c r="Q297" i="1"/>
  <c r="O297" i="1"/>
  <c r="M297" i="1"/>
  <c r="K297" i="1"/>
  <c r="Y296" i="1"/>
  <c r="W296" i="1"/>
  <c r="U296" i="1"/>
  <c r="S296" i="1"/>
  <c r="Q296" i="1"/>
  <c r="O296" i="1"/>
  <c r="M296" i="1"/>
  <c r="K296" i="1"/>
  <c r="AJ296" i="1" l="1"/>
  <c r="AJ297" i="1"/>
  <c r="AJ409" i="1" l="1"/>
  <c r="AJ410" i="1"/>
  <c r="AJ411" i="1"/>
  <c r="AJ412" i="1"/>
  <c r="D413" i="1" l="1"/>
  <c r="E413" i="1"/>
  <c r="F413" i="1"/>
  <c r="G413" i="1"/>
  <c r="H413" i="1"/>
  <c r="I413" i="1"/>
  <c r="J413" i="1"/>
  <c r="K413" i="1"/>
  <c r="L413" i="1"/>
  <c r="M413" i="1"/>
  <c r="N413" i="1"/>
  <c r="O413" i="1"/>
  <c r="P413" i="1"/>
  <c r="Q413" i="1"/>
  <c r="R413" i="1"/>
  <c r="S413" i="1"/>
  <c r="T413" i="1"/>
  <c r="U413" i="1"/>
  <c r="V413" i="1"/>
  <c r="W413" i="1"/>
  <c r="X413" i="1"/>
  <c r="Y413" i="1"/>
  <c r="Z413" i="1"/>
  <c r="AA413" i="1"/>
  <c r="AN402" i="1" l="1"/>
  <c r="AJ353" i="1" l="1"/>
  <c r="AJ360" i="1"/>
  <c r="AJ361" i="1"/>
  <c r="AJ362" i="1"/>
  <c r="AJ363" i="1"/>
  <c r="AJ364" i="1"/>
  <c r="AJ365" i="1"/>
  <c r="AJ366" i="1"/>
  <c r="AJ367" i="1"/>
  <c r="AJ368" i="1"/>
  <c r="AJ369" i="1"/>
  <c r="AJ370" i="1"/>
  <c r="AJ371" i="1"/>
  <c r="AJ402" i="1"/>
  <c r="AJ403" i="1"/>
  <c r="AJ404" i="1"/>
  <c r="AJ405" i="1"/>
  <c r="AJ406" i="1"/>
  <c r="AJ407" i="1"/>
  <c r="AJ408" i="1"/>
  <c r="D372" i="1"/>
  <c r="AK359" i="1" l="1"/>
  <c r="AJ372" i="1"/>
  <c r="AJ359" i="1"/>
  <c r="AK378" i="1" s="1"/>
  <c r="AL374" i="1" s="1"/>
  <c r="AN111" i="1" l="1"/>
  <c r="AN182" i="1"/>
  <c r="AN211" i="1"/>
  <c r="AN238" i="1"/>
  <c r="AM36" i="1"/>
  <c r="AJ346" i="1"/>
  <c r="AJ413" i="1"/>
  <c r="AJ414" i="1"/>
  <c r="AJ415" i="1"/>
  <c r="AJ416" i="1"/>
  <c r="AJ417" i="1"/>
  <c r="AJ418" i="1"/>
  <c r="AJ419" i="1"/>
  <c r="AJ420" i="1"/>
  <c r="AJ329" i="1"/>
  <c r="AJ335" i="1"/>
  <c r="AM335" i="1" s="1"/>
  <c r="AJ339" i="1"/>
  <c r="AJ340" i="1"/>
  <c r="AJ341" i="1"/>
  <c r="AJ342" i="1"/>
  <c r="AJ328" i="1"/>
  <c r="AJ293" i="1"/>
  <c r="AJ294" i="1"/>
  <c r="AJ295" i="1"/>
  <c r="AJ299" i="1"/>
  <c r="AJ292" i="1"/>
  <c r="AJ275" i="1"/>
  <c r="AJ277" i="1"/>
  <c r="AJ278" i="1"/>
  <c r="AK278" i="1" s="1"/>
  <c r="AJ279" i="1"/>
  <c r="AJ280" i="1"/>
  <c r="AJ281" i="1"/>
  <c r="AJ282" i="1"/>
  <c r="AJ283" i="1"/>
  <c r="AJ284" i="1"/>
  <c r="AJ285" i="1"/>
  <c r="AJ286" i="1"/>
  <c r="AJ287" i="1"/>
  <c r="AJ288" i="1"/>
  <c r="AJ212" i="1"/>
  <c r="AJ213" i="1"/>
  <c r="AJ216" i="1"/>
  <c r="AJ217" i="1"/>
  <c r="AJ218" i="1"/>
  <c r="AJ219" i="1"/>
  <c r="AJ220" i="1"/>
  <c r="AJ221" i="1"/>
  <c r="AJ224" i="1"/>
  <c r="AJ225" i="1"/>
  <c r="AJ226" i="1"/>
  <c r="AJ227" i="1"/>
  <c r="AJ228" i="1"/>
  <c r="AJ229" i="1"/>
  <c r="AJ232" i="1"/>
  <c r="AJ233" i="1"/>
  <c r="AJ234" i="1"/>
  <c r="AJ211" i="1"/>
  <c r="AJ112" i="1"/>
  <c r="AJ113" i="1"/>
  <c r="AJ114" i="1"/>
  <c r="AJ111" i="1"/>
  <c r="AJ127" i="1"/>
  <c r="AJ155" i="1"/>
  <c r="AJ156" i="1"/>
  <c r="AJ124" i="1"/>
  <c r="AJ183" i="1"/>
  <c r="AJ184" i="1"/>
  <c r="AJ185" i="1"/>
  <c r="AJ186" i="1"/>
  <c r="AJ187" i="1"/>
  <c r="AJ188" i="1"/>
  <c r="AJ189" i="1"/>
  <c r="AJ190" i="1"/>
  <c r="AJ191" i="1"/>
  <c r="AJ192" i="1"/>
  <c r="AJ193" i="1"/>
  <c r="AJ182"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41" i="1"/>
  <c r="AK341" i="1"/>
  <c r="AK280" i="1"/>
  <c r="AM318" i="1"/>
  <c r="AN316" i="1" s="1"/>
  <c r="AL8" i="1"/>
  <c r="AL316" i="1"/>
  <c r="AK329" i="1"/>
  <c r="AK292" i="1"/>
  <c r="AN124" i="1"/>
  <c r="AK295" i="1"/>
  <c r="AK54" i="1"/>
  <c r="AK288" i="1"/>
  <c r="AM49" i="1"/>
  <c r="AK155" i="1"/>
  <c r="AL124" i="1" s="1"/>
  <c r="AM33" i="1"/>
  <c r="AK353" i="1"/>
  <c r="AL346" i="1" s="1"/>
  <c r="AM47" i="1"/>
  <c r="AM43" i="1"/>
  <c r="AM39" i="1"/>
  <c r="AK283" i="1"/>
  <c r="AK287" i="1"/>
  <c r="AK33" i="1"/>
  <c r="AL402" i="1"/>
  <c r="AM45" i="1"/>
  <c r="AM37" i="1"/>
  <c r="AJ55" i="1"/>
  <c r="AJ54" i="1"/>
  <c r="AN8" i="1" s="1"/>
  <c r="AK285" i="1"/>
  <c r="AK302" i="1"/>
  <c r="AK294" i="1"/>
  <c r="AM35" i="1"/>
  <c r="AK185" i="1"/>
  <c r="AL181" i="1" s="1"/>
  <c r="AM55" i="1"/>
  <c r="AM27" i="1"/>
  <c r="AM41" i="1"/>
  <c r="AM54" i="1"/>
  <c r="AM353" i="1"/>
  <c r="AN346" i="1" s="1"/>
  <c r="AM342" i="1"/>
  <c r="AK335" i="1"/>
  <c r="AL22" i="1" l="1"/>
  <c r="AL274" i="1"/>
  <c r="AL292" i="1"/>
  <c r="AL328" i="1"/>
  <c r="AN328" i="1"/>
  <c r="AN22" i="1"/>
  <c r="A507" i="1" l="1"/>
  <c r="AL6" i="1" s="1"/>
  <c r="A529" i="1"/>
  <c r="AN6" i="1" s="1"/>
  <c r="M507" i="1" l="1"/>
</calcChain>
</file>

<file path=xl/sharedStrings.xml><?xml version="1.0" encoding="utf-8"?>
<sst xmlns="http://schemas.openxmlformats.org/spreadsheetml/2006/main" count="3189" uniqueCount="1349">
  <si>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</si>
  <si>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</si>
  <si>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</si>
  <si>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</si>
  <si>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</si>
  <si>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</si>
  <si>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</si>
  <si>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</si>
  <si>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</si>
  <si>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</si>
  <si>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</si>
  <si>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</si>
  <si>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</si>
  <si>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</si>
  <si>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</si>
  <si>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</si>
  <si>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</si>
  <si>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</si>
  <si>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</si>
  <si>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</si>
  <si>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</si>
  <si>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</si>
  <si>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</si>
  <si>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</si>
  <si>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</si>
  <si>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</si>
  <si>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</si>
  <si>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</si>
  <si>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</si>
  <si>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</si>
  <si>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</si>
  <si>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</si>
  <si>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</si>
  <si>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</si>
  <si>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</si>
  <si>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</si>
  <si>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</si>
  <si>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</si>
  <si>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</si>
  <si>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</si>
  <si>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</si>
  <si>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</si>
  <si>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</si>
  <si>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</si>
  <si>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</si>
  <si>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</si>
  <si>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</si>
  <si>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</si>
  <si>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</si>
  <si>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</si>
  <si>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</si>
  <si>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</si>
  <si>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</si>
  <si>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</si>
  <si>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</si>
  <si>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</si>
  <si>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</si>
  <si>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</si>
  <si>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</si>
  <si>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</si>
  <si>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</si>
  <si>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</si>
  <si>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</si>
  <si>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</si>
  <si>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</si>
  <si>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</si>
  <si>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</si>
  <si>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</si>
  <si>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</si>
  <si>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</si>
  <si>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</si>
  <si>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</si>
  <si>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</si>
  <si>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</si>
  <si>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</si>
  <si>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</si>
  <si>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</si>
  <si>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</si>
  <si>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</si>
  <si>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</si>
  <si>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</si>
  <si>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</si>
  <si>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</si>
  <si>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</si>
  <si>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</si>
  <si>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</si>
  <si>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</si>
  <si>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</si>
  <si>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</si>
  <si>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</si>
  <si>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</si>
  <si>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</si>
  <si>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</si>
  <si>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</si>
  <si>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</si>
  <si>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</si>
  <si>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</si>
  <si>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</si>
  <si>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</si>
  <si>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</si>
  <si>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</si>
  <si>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</si>
  <si>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</si>
  <si>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</si>
  <si>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</si>
  <si>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</si>
  <si>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</si>
  <si>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</si>
  <si>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</si>
  <si>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</si>
  <si>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</si>
  <si>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</si>
  <si>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</si>
  <si>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</si>
  <si>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</si>
  <si>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</si>
  <si>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</si>
  <si>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</si>
  <si>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</si>
  <si>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</si>
  <si>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</si>
  <si>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</si>
  <si>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</si>
  <si>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</si>
  <si>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</si>
  <si>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</si>
  <si>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</si>
  <si>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</si>
  <si>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</si>
  <si>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</si>
  <si>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</si>
  <si>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</si>
  <si>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</si>
  <si>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</si>
  <si>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</si>
  <si>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</si>
  <si>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</si>
  <si>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</si>
  <si>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</si>
  <si>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</si>
  <si>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</si>
  <si>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</si>
  <si>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</si>
  <si>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</si>
  <si>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</si>
  <si>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</si>
  <si>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</si>
  <si>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</si>
  <si>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</si>
  <si>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</si>
  <si>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</si>
  <si>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</si>
  <si>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</si>
  <si>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</si>
  <si>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</si>
  <si>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</si>
  <si>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</si>
  <si>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</si>
  <si>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</si>
  <si>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</si>
  <si>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</si>
  <si>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</si>
  <si>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</si>
  <si>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</si>
  <si>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</si>
  <si>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</si>
  <si>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</si>
  <si>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</si>
  <si>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</si>
  <si>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</si>
  <si>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</si>
  <si>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</si>
  <si>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</si>
  <si>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</si>
  <si>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</si>
  <si>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</si>
  <si>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</si>
  <si>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</si>
  <si>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</si>
  <si>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</si>
  <si>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</si>
  <si>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</si>
  <si>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</si>
  <si>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</si>
  <si>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</si>
  <si>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</si>
  <si>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</si>
  <si>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</si>
  <si>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</si>
  <si>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</si>
  <si>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</si>
  <si>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</si>
  <si>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</si>
  <si>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</si>
  <si>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</si>
  <si>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</si>
  <si>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</si>
  <si>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</si>
  <si>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</si>
  <si>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</si>
  <si>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</si>
  <si>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</si>
  <si>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</si>
  <si>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</si>
  <si>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</si>
  <si>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</si>
  <si>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</si>
  <si>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</si>
  <si>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</si>
  <si>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</si>
  <si>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</si>
  <si>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</si>
  <si>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</si>
  <si>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</si>
  <si>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</si>
  <si>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</si>
  <si>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</si>
  <si>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</si>
  <si>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</si>
  <si>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</si>
  <si>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</si>
  <si>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</si>
  <si>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</si>
  <si>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</si>
  <si>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</si>
  <si>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</si>
  <si>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</si>
  <si>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</si>
  <si>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</si>
  <si>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</si>
  <si>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</si>
  <si>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</si>
  <si>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</si>
  <si>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</si>
  <si>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</si>
  <si>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</si>
  <si>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</si>
  <si>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</si>
  <si>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</si>
  <si>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</si>
  <si>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</si>
  <si>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</si>
  <si>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</si>
  <si>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</si>
  <si>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</si>
  <si>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</si>
  <si>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</si>
  <si>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</si>
  <si>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</si>
  <si>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</si>
  <si>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</si>
  <si>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</si>
  <si>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</si>
  <si>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</si>
  <si>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</si>
  <si>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</si>
  <si>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</si>
  <si>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</si>
  <si>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</si>
  <si>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</si>
  <si>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</si>
  <si>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</si>
  <si>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</si>
  <si>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</si>
  <si>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</si>
  <si>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</si>
  <si>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</si>
  <si>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</si>
  <si>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</si>
  <si>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</si>
  <si>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</si>
  <si>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</si>
  <si>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</si>
  <si>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</si>
  <si>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</si>
  <si>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</si>
  <si>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</si>
  <si>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</si>
  <si>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</si>
  <si>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</si>
  <si>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</si>
  <si>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</si>
  <si>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</si>
  <si>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</si>
  <si>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</si>
  <si>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</si>
  <si>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</si>
  <si>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</si>
  <si>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</si>
  <si>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</si>
  <si>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</si>
  <si>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</si>
  <si>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</si>
  <si>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</si>
  <si>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</si>
  <si>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</si>
  <si>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</si>
  <si>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</si>
  <si>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</si>
  <si>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</si>
  <si>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</si>
  <si>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</si>
  <si>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</si>
  <si>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</si>
  <si>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</si>
  <si>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</si>
  <si>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</si>
  <si>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</si>
  <si>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</si>
  <si>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</si>
  <si>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</si>
  <si>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</si>
  <si>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</si>
  <si>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</si>
  <si>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</si>
  <si>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</si>
  <si>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</si>
  <si>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</si>
  <si>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</si>
  <si>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</si>
  <si>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</si>
  <si>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</si>
  <si>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</si>
  <si>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</si>
  <si>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</si>
  <si>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</si>
  <si>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</si>
  <si>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</si>
  <si>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</si>
  <si>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</si>
  <si>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</si>
  <si>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</si>
  <si>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</si>
  <si>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</si>
  <si>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</si>
  <si>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</si>
  <si>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</si>
  <si>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</si>
  <si>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</si>
  <si>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</si>
  <si>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</si>
  <si>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</si>
  <si>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</si>
  <si>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</si>
  <si>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</si>
  <si>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</si>
  <si>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</si>
  <si>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</si>
  <si>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</si>
  <si>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</si>
  <si>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</si>
  <si>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</si>
  <si>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</si>
  <si>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</si>
  <si>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</si>
  <si>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</si>
  <si>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</si>
  <si>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</si>
  <si>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</si>
  <si>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</si>
  <si>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</si>
  <si>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</si>
  <si>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</si>
  <si>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</si>
  <si>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</si>
  <si>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</si>
  <si>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</si>
  <si>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</si>
  <si>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</si>
  <si>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</si>
  <si>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</si>
  <si>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</si>
  <si>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</si>
  <si>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</si>
  <si>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</si>
  <si>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</si>
  <si>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</si>
  <si>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</si>
  <si>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</si>
  <si>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</si>
  <si>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</si>
  <si>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</si>
  <si>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</si>
  <si>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</si>
  <si>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</si>
  <si>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</si>
  <si>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</si>
  <si>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</si>
  <si>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</si>
  <si>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</si>
  <si>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</si>
  <si>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</si>
  <si>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</si>
  <si>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</si>
  <si>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</si>
  <si>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</si>
  <si>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</si>
  <si>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</si>
  <si>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</si>
  <si>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</si>
  <si>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</si>
  <si>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</si>
  <si>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</si>
  <si>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</si>
  <si>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</si>
  <si>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</si>
  <si>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</si>
  <si>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</si>
  <si>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</si>
  <si>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</si>
  <si>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</si>
  <si>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</si>
  <si>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</si>
  <si>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</si>
  <si>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</si>
  <si>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</si>
  <si>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</si>
  <si>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</si>
  <si>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</si>
  <si>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</si>
  <si>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</si>
  <si>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</si>
  <si>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</si>
  <si>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</si>
  <si>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</si>
  <si>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</si>
  <si>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</si>
  <si>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</si>
  <si>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</si>
  <si>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</si>
  <si>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</si>
  <si>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</si>
  <si>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</si>
  <si>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</si>
  <si>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</si>
  <si>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</si>
  <si>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</si>
  <si>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</si>
  <si>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</si>
  <si>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</si>
  <si>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</si>
  <si>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</si>
  <si>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</si>
  <si>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</si>
  <si>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</si>
  <si>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</si>
  <si>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</si>
  <si>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</si>
  <si>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</si>
  <si>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</si>
  <si>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</si>
  <si>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</si>
  <si>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</si>
  <si>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</si>
  <si>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</si>
  <si>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</si>
  <si>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</si>
  <si>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</si>
  <si>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</si>
  <si>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</si>
  <si>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</si>
  <si>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</si>
  <si>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</si>
  <si>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</si>
  <si>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</si>
  <si>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</si>
  <si>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</si>
  <si>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</si>
  <si>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</si>
  <si>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</si>
  <si>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</si>
  <si>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</si>
  <si>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</si>
  <si>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</si>
  <si>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</si>
  <si>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</si>
  <si>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</si>
  <si>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</si>
  <si>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</si>
  <si>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</si>
  <si>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</si>
  <si>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</si>
  <si>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</si>
  <si>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</si>
  <si>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</si>
  <si>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</si>
  <si>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</si>
  <si>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</si>
  <si>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</si>
  <si>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</si>
  <si>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</si>
  <si>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</si>
  <si>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</si>
  <si>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</si>
  <si>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</si>
  <si>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</si>
  <si>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</si>
  <si>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</si>
  <si>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</si>
  <si>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</si>
  <si>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</si>
  <si>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</si>
  <si>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</si>
  <si>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</si>
  <si>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</si>
  <si>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</si>
  <si>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</si>
  <si>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</si>
  <si>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</si>
  <si>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</si>
  <si>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</si>
  <si>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</si>
  <si>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</si>
  <si>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</si>
  <si>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</si>
  <si>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</si>
  <si>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</si>
  <si>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</si>
  <si>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</si>
  <si>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</si>
  <si>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</si>
  <si>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</si>
  <si>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</si>
  <si>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</si>
  <si>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</si>
  <si>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</si>
  <si>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</si>
  <si>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</si>
  <si>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</si>
  <si>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</si>
  <si>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</si>
  <si>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</si>
  <si>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Clients HIV tested for PrEP initiation</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</si>
  <si>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</si>
  <si>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</si>
  <si>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</si>
  <si>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</si>
  <si>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</si>
  <si>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</si>
  <si>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</si>
  <si>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</si>
  <si>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</si>
  <si>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</si>
  <si>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</si>
  <si>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</si>
  <si>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</si>
  <si>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</si>
  <si>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</si>
  <si>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</si>
  <si>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</si>
  <si>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</si>
  <si>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</si>
  <si>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</si>
  <si>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</si>
  <si>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</si>
  <si>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</si>
  <si>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</si>
  <si>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</si>
  <si>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</si>
  <si>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</si>
  <si>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</si>
  <si>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</si>
  <si>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</si>
  <si>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</si>
  <si>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</si>
  <si>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</si>
  <si>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</si>
  <si>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</si>
  <si>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</si>
  <si>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</si>
  <si>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</si>
  <si>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</si>
  <si>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</si>
  <si>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</si>
  <si>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</si>
  <si>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</si>
  <si>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</si>
  <si>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</si>
  <si>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</si>
  <si>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</si>
  <si>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</si>
  <si>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</si>
  <si>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</si>
  <si>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</si>
  <si>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</si>
  <si>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</si>
  <si>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</si>
  <si>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</si>
  <si>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</si>
  <si>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</si>
  <si>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</si>
  <si>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</si>
  <si>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</si>
  <si>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</si>
  <si>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</si>
  <si>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</si>
  <si>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</si>
  <si>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</si>
  <si>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</si>
  <si>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</si>
  <si>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</si>
  <si>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</si>
  <si>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</si>
  <si>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</si>
  <si>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</si>
  <si>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</si>
  <si>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</si>
  <si>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</si>
  <si>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</si>
  <si>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</si>
  <si>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</si>
  <si>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</si>
  <si>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</si>
  <si>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</si>
  <si>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</si>
  <si>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</si>
  <si>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</si>
  <si>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</si>
  <si>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</si>
  <si>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</si>
  <si>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</si>
  <si>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</si>
  <si>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</si>
  <si>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</si>
  <si>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</si>
  <si>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</si>
  <si>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</si>
  <si>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</si>
  <si>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</si>
  <si>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</si>
  <si>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</si>
  <si>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</si>
  <si>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</si>
  <si>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</si>
  <si>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</si>
  <si>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</si>
  <si>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</si>
  <si>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</si>
  <si>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</si>
  <si>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</si>
  <si>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</si>
  <si>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</si>
  <si>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</si>
  <si>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</si>
  <si>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</si>
  <si>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</si>
  <si>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</si>
  <si>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</si>
  <si>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</si>
  <si>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</si>
  <si>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</si>
  <si>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</si>
  <si>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</si>
  <si>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</si>
  <si>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</si>
  <si>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</si>
  <si>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</si>
  <si>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</si>
  <si>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</si>
  <si>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</si>
  <si>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</si>
  <si>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</si>
  <si>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</si>
  <si>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</si>
  <si>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</si>
  <si>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</si>
  <si>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</si>
  <si>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</si>
  <si>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</si>
  <si>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</si>
  <si>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</si>
  <si>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</si>
  <si>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</si>
  <si>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</si>
  <si>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</si>
  <si>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</si>
  <si>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</si>
  <si>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</si>
  <si>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</si>
  <si>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</si>
  <si>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</si>
  <si>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</si>
  <si>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</si>
  <si>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</si>
  <si>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</si>
  <si>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</si>
  <si>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</si>
  <si>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</si>
  <si>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</si>
  <si>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</si>
  <si>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</si>
  <si>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</si>
  <si>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</si>
  <si>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</si>
  <si>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</si>
  <si>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</si>
  <si>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</si>
  <si>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</si>
  <si>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</si>
  <si>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</si>
  <si>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</si>
  <si>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</si>
  <si>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</si>
  <si>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</si>
  <si>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</si>
  <si>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</si>
  <si>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</si>
  <si>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</si>
  <si>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</si>
  <si>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</si>
  <si>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</si>
  <si>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</si>
  <si>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</si>
  <si>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</si>
  <si>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</si>
  <si>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</si>
  <si>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</si>
  <si>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</si>
  <si>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</si>
  <si>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</si>
  <si>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</si>
  <si>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</si>
  <si>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</si>
  <si>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</si>
  <si>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</si>
  <si>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</si>
  <si>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</si>
  <si>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</si>
  <si>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</si>
  <si>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</si>
  <si>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</si>
  <si>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</si>
  <si>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</si>
  <si>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</si>
  <si>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</si>
  <si>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</si>
  <si>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</si>
  <si>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</si>
  <si>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</si>
  <si>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</si>
  <si>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</si>
  <si>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</si>
  <si>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</si>
  <si>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</si>
  <si>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</si>
  <si>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</si>
  <si>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</si>
  <si>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</si>
  <si>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</si>
  <si>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</si>
  <si>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</si>
  <si>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</si>
  <si>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</si>
  <si>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</si>
  <si>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</si>
  <si>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</si>
  <si>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</si>
  <si>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</si>
  <si>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</si>
  <si>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</si>
  <si>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</si>
  <si>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</si>
  <si>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</si>
  <si>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</si>
  <si>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</si>
  <si>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</si>
  <si>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</si>
  <si>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</si>
  <si>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</si>
  <si>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</si>
  <si>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</si>
  <si>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</si>
  <si>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</si>
  <si>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</si>
  <si>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</si>
  <si>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</si>
  <si>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</si>
  <si>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</si>
  <si>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</si>
  <si>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</si>
  <si>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</si>
  <si>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</si>
  <si>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</si>
  <si>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</si>
  <si>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</si>
  <si>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</si>
  <si>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</si>
  <si>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</si>
  <si>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</si>
  <si>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</si>
  <si>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</si>
  <si>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</si>
  <si>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</si>
  <si>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</si>
  <si>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</si>
  <si>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</si>
  <si>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</si>
  <si>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</si>
  <si>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</si>
  <si>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</si>
  <si>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</si>
  <si>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</si>
  <si>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</si>
  <si>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</si>
  <si>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</si>
  <si>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</si>
  <si>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</si>
  <si>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</si>
  <si>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</si>
  <si>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</si>
  <si>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</si>
  <si>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</si>
  <si>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</si>
  <si>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</si>
  <si>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</si>
  <si>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</si>
  <si>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</si>
  <si>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</si>
  <si>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</si>
  <si>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</si>
  <si>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</si>
  <si>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</si>
  <si>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</si>
  <si>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</si>
  <si>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</si>
  <si>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</si>
  <si>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</si>
  <si>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</si>
  <si>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</si>
  <si>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</si>
  <si>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</si>
  <si>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</si>
  <si>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</si>
  <si>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</si>
  <si>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</si>
  <si>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</si>
  <si>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</si>
  <si>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</si>
  <si>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</si>
  <si>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</si>
  <si>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</si>
  <si>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</si>
  <si>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</si>
  <si>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</si>
  <si>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</si>
  <si>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</si>
  <si>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</si>
  <si>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</si>
  <si>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</si>
  <si>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</si>
  <si>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</si>
  <si>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</si>
  <si>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</si>
  <si>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</si>
  <si>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</si>
  <si>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</si>
  <si>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</si>
  <si>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</si>
  <si>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</si>
  <si>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</si>
  <si>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</si>
  <si>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</si>
  <si>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</si>
  <si>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</si>
  <si>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</si>
  <si>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</si>
  <si>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</si>
  <si>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</si>
  <si>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</si>
  <si>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</si>
  <si>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</si>
  <si>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</si>
  <si>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</si>
  <si>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</si>
  <si>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</si>
  <si>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</si>
  <si>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</si>
  <si>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</si>
  <si>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</si>
  <si>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</si>
  <si>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</si>
  <si>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</si>
  <si>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</si>
  <si>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</si>
  <si>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</si>
  <si>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</si>
  <si>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</si>
  <si>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</si>
  <si>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</si>
  <si>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</si>
  <si>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</si>
  <si>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</si>
  <si>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</si>
  <si>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</si>
  <si>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</si>
  <si>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</si>
  <si>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</si>
  <si>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</si>
  <si>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</si>
  <si>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</si>
  <si>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</si>
  <si>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</si>
  <si>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</si>
  <si>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</si>
  <si>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</si>
  <si>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</si>
  <si>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</si>
  <si>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</si>
  <si>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</si>
  <si>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</si>
  <si>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</si>
  <si>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</si>
  <si>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</si>
  <si>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</si>
  <si>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</si>
  <si>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</si>
  <si>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</si>
  <si>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</si>
  <si>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</si>
  <si>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</si>
  <si>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</si>
  <si>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Starting ART and CD4 Count Done</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</si>
  <si>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</si>
  <si>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</si>
  <si>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</si>
  <si>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</si>
  <si>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</si>
  <si>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</si>
  <si>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</si>
  <si>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</si>
  <si>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</si>
  <si>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</si>
  <si>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</si>
  <si>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</si>
  <si>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</si>
  <si>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</si>
  <si>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</si>
  <si>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</si>
  <si>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</si>
  <si>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</si>
  <si>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</si>
  <si>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</si>
  <si>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</si>
  <si>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</si>
  <si>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</si>
  <si>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</si>
  <si>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</si>
  <si>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</si>
  <si>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</si>
  <si>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</si>
  <si>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</si>
  <si>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</si>
  <si>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</si>
  <si>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</si>
  <si>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</si>
  <si>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</si>
  <si>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</si>
  <si>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</si>
  <si>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</si>
  <si>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</si>
  <si>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</si>
  <si>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</si>
  <si>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</si>
  <si>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</si>
  <si>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</si>
  <si>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</si>
  <si>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</si>
  <si>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</si>
  <si>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</si>
  <si>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</si>
  <si>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</si>
  <si>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</si>
  <si>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</si>
  <si>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</si>
  <si>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</si>
  <si>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</si>
  <si>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</si>
  <si>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</si>
  <si>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</si>
  <si>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</si>
  <si>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</si>
  <si>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</si>
  <si>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</si>
  <si>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</si>
  <si>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</si>
  <si>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</si>
  <si>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</si>
  <si>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</si>
  <si>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</si>
  <si>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</si>
  <si>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</si>
  <si>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</si>
  <si>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</si>
  <si>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</si>
  <si>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</si>
  <si>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</si>
  <si>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</si>
  <si>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</si>
  <si>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</si>
  <si>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</si>
  <si>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</si>
  <si>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</si>
  <si>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</si>
  <si>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</si>
  <si>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</si>
  <si>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</si>
  <si>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</si>
  <si>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</si>
  <si>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</si>
  <si>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</si>
  <si>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</si>
  <si>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</si>
  <si>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</si>
  <si>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</si>
  <si>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</si>
  <si>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</si>
  <si>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</si>
  <si>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</si>
  <si>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</si>
  <si>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</si>
  <si>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</si>
  <si>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</si>
  <si>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</si>
  <si>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</si>
  <si>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</si>
  <si>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</si>
  <si>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</si>
  <si>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</si>
  <si>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</si>
  <si>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</si>
  <si>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</si>
  <si>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</si>
  <si>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</si>
  <si>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</si>
  <si>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</si>
  <si>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</si>
  <si>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</si>
  <si>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</si>
  <si>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</si>
  <si>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</si>
  <si>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</si>
  <si>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</si>
  <si>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</si>
  <si>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</si>
  <si>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</si>
  <si>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</si>
  <si>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</si>
  <si>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</si>
  <si>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</si>
  <si>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</si>
  <si>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</si>
  <si>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</si>
  <si>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</si>
  <si>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</si>
  <si>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</si>
  <si>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</si>
  <si>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</si>
  <si>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</si>
  <si>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</si>
  <si>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</si>
  <si>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</si>
  <si>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</si>
  <si>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</si>
  <si>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</si>
  <si>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</si>
  <si>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</si>
  <si>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</si>
  <si>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</si>
  <si>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</si>
  <si>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</si>
  <si>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</si>
  <si>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</si>
  <si>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</si>
  <si>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</si>
  <si>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</si>
  <si>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</si>
  <si>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</si>
  <si>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</si>
  <si>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</si>
  <si>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</si>
  <si>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</si>
  <si>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</si>
  <si>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</si>
  <si>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</si>
  <si>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</si>
  <si>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</si>
  <si>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</si>
  <si>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</si>
  <si>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</si>
  <si>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</si>
  <si>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</si>
  <si>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</si>
  <si>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</si>
  <si>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</si>
  <si>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</si>
  <si>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</si>
  <si>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</si>
  <si>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</si>
  <si>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</si>
  <si>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</si>
  <si>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</si>
  <si>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</si>
  <si>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</si>
  <si>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</si>
  <si>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</si>
  <si>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</si>
  <si>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</si>
  <si>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</si>
  <si>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</si>
  <si>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</si>
  <si>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</si>
  <si>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</si>
  <si>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</si>
  <si>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</si>
  <si>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</si>
  <si>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</si>
  <si>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</si>
  <si>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</si>
  <si>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</si>
  <si>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</si>
  <si>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</si>
  <si>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</si>
  <si>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</si>
  <si>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</si>
  <si>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</si>
  <si>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</si>
  <si>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</si>
  <si>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</si>
  <si>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</si>
  <si>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</si>
  <si>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</si>
  <si>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</si>
  <si>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</si>
  <si>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</si>
  <si>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</si>
  <si>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</si>
  <si>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</si>
  <si>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</si>
  <si>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</si>
  <si>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</si>
  <si>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</si>
  <si>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</si>
  <si>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</si>
  <si>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</si>
  <si>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</si>
  <si>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</si>
  <si>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</si>
  <si>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</si>
  <si>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</si>
  <si>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</si>
  <si>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</si>
  <si>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</si>
  <si>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</si>
  <si>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</si>
  <si>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</si>
  <si>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</si>
  <si>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</si>
  <si>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</si>
  <si>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</si>
  <si>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</si>
  <si>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</si>
  <si>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</si>
  <si>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</si>
  <si>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</si>
  <si>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</si>
  <si>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</si>
  <si>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</si>
  <si>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</si>
  <si>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</si>
  <si>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</si>
  <si>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</si>
  <si>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</si>
  <si>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</si>
  <si>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</si>
  <si>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</si>
  <si>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</si>
  <si>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</si>
  <si>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</si>
  <si>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</si>
  <si>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</si>
  <si>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</si>
  <si>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</si>
  <si>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</si>
  <si>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</si>
  <si>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</si>
  <si>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</si>
  <si>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</si>
  <si>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</si>
  <si>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</si>
  <si>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</si>
  <si>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</si>
  <si>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</si>
  <si>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</si>
  <si>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</si>
  <si>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</si>
  <si>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</si>
  <si>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</si>
  <si>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</si>
  <si>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</si>
  <si>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</si>
  <si>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</si>
  <si>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</si>
  <si>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</si>
  <si>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</si>
  <si>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</si>
  <si>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</si>
  <si>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</si>
  <si>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</si>
  <si>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</si>
  <si>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</si>
  <si>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</si>
  <si>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</si>
  <si>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</si>
  <si>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</si>
  <si>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</si>
  <si>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</si>
  <si>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</si>
  <si>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Initiated on other forms of TPT (Rifampcin &amp; Rifapentine) this month</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</si>
  <si>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</si>
  <si>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</si>
  <si>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</si>
  <si>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</si>
  <si>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</si>
  <si>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</si>
  <si>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</si>
  <si>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</si>
  <si>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</si>
  <si>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</si>
  <si>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</si>
  <si>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</si>
  <si>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</si>
  <si>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</si>
  <si>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</si>
  <si>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</si>
  <si>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</si>
  <si>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</si>
  <si>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</si>
  <si>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</si>
  <si>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</si>
  <si>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</si>
  <si>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</si>
  <si>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</si>
  <si>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</si>
  <si>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</si>
  <si>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</si>
  <si>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</si>
  <si>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</si>
  <si>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</si>
  <si>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</si>
  <si>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</si>
  <si>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</si>
  <si>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</si>
  <si>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</si>
  <si>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</si>
  <si>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</si>
  <si>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Form 1A  version 8.0.0</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</si>
  <si>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</si>
  <si>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</si>
  <si>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</si>
  <si>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</si>
  <si>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</si>
  <si>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</si>
  <si>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</si>
  <si>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</si>
  <si>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</si>
  <si>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</si>
  <si>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</si>
  <si>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</si>
  <si>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</si>
  <si>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</si>
  <si>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</si>
  <si>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</si>
  <si>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</si>
  <si>
    <t>Prep_CT by Distribution Type</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</si>
  <si>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</si>
  <si>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</si>
  <si>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</si>
  <si>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</si>
  <si>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</si>
  <si>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</si>
  <si>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</si>
  <si>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</si>
  <si>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</si>
  <si>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</si>
  <si>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</si>
  <si>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</si>
  <si>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</si>
  <si>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</si>
  <si>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</si>
  <si>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</si>
  <si>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Total Patients Starting ART and CD4 Count Done</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</si>
  <si>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</si>
  <si>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</si>
  <si>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</si>
  <si>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</si>
  <si>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</si>
  <si>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</si>
  <si>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</si>
  <si>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</si>
  <si>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</si>
  <si>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</si>
  <si>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</si>
  <si>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</si>
  <si>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</si>
  <si>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</si>
  <si>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</si>
  <si>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</si>
  <si>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r>
      <rPr>
        <b/>
        <sz val="20"/>
        <color theme="4"/>
        <rFont val="Calibri"/>
        <family val="2"/>
        <scheme val="minor"/>
      </rPr>
      <t>Unassisted</t>
    </r>
    <r>
      <rPr>
        <b/>
        <sz val="20"/>
        <color theme="1"/>
        <rFont val="Calibri"/>
        <family val="2"/>
        <scheme val="minor"/>
      </rPr>
      <t xml:space="preserve"> : </t>
    </r>
    <r>
      <rPr>
        <b/>
        <sz val="20"/>
        <color theme="4"/>
        <rFont val="Calibri"/>
        <family val="2"/>
        <scheme val="minor"/>
      </rPr>
      <t>Caregiver for child</t>
    </r>
  </si>
  <si>
    <t>Initial Start HAART at L&amp;D</t>
  </si>
  <si>
    <t>Initial Start HAART at PNC &gt; 6 weeks to 6 months</t>
  </si>
  <si>
    <t>Initial Test at PNC &gt; 6 weeks to 6 months</t>
  </si>
  <si>
    <t>Prep_CT by Type</t>
  </si>
  <si>
    <t>CXR (Chest X_Ray)</t>
  </si>
  <si>
    <t>Prep Register/EMR</t>
  </si>
  <si>
    <t>Refers to the number of individuals starting PrEP for the first time (outside of any clinical trial participation) through oral prep.</t>
  </si>
  <si>
    <t>Refers to the number of individuals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</si>
  <si>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</si>
  <si>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</si>
  <si>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</si>
  <si>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were newly initiated on Prep through facility-based delivery mechanisms.</t>
  </si>
  <si>
    <t>This is a count of clients who were newly initiated on Prep through a community or other non-traditional setting (still associated with a facility) delivery mechanisms.</t>
  </si>
  <si>
    <t>This is a count of clients who took prep with a planned sex act to prevent HIV exposure</t>
  </si>
  <si>
    <t>This is a count of returning prep clients who received an HIV testing result</t>
  </si>
  <si>
    <t>This is a count of returning prep clients who received an HIV Positive testing result</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</si>
  <si>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</si>
  <si>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</si>
  <si>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</si>
  <si>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</si>
  <si>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</si>
  <si>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</si>
  <si>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</si>
  <si>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</si>
  <si>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</si>
  <si>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</si>
  <si>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</si>
  <si>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t>This is a count of individuals starting HAART treatment (TX_NEW) done for CD4 but with Unknown CD4 results</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</si>
  <si>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theme="8" tint="-0.249977111117893"/>
        <rFont val="Calibri"/>
        <family val="2"/>
        <scheme val="minor"/>
      </rPr>
      <t>Note: a client cannot be reported on both prep_new and prep_ct within the same quarter</t>
    </r>
  </si>
  <si>
    <t>This is a count of returning prep clients who received Prep refills through facility-based delivery</t>
  </si>
  <si>
    <t>This is a count of returning Prep clients who received Prep-Refills through a community or other non-traditional setting (still associated with a facility) delivery mechanisms.</t>
  </si>
  <si>
    <t>Refers to the number of returning prep individuals who received oral-based prep regimen</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</si>
  <si>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</si>
  <si>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Refers to the number of returning prep individuals who received long-acting Prep injection including the initial first or second injection for indivinduals new to long acting-Injectible Prep Regimen prep regimen</t>
  </si>
  <si>
    <t>Refers to the number of returning Prep refill/restart individuals who received other non Oral and Injectable prep regimens to prevent them from HIV exposure</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</si>
  <si>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</si>
  <si>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</si>
  <si>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</si>
  <si>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A count of Indivindual test kits distributed to parents or caregivers of children ≥2 years of age with an unknown HIV status for use in testing the children</t>
  </si>
  <si>
    <t>HIV Testing Register</t>
  </si>
  <si>
    <t>mWRD (molecular WHO-recommended rapid diagnostic testing) e.g., Gene Xpert/ TB LAM, Truenat MTB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</si>
</sst>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8"/>
      <name val="Calibri"/>
      <family val="2"/>
      <scheme val="minor"/>
    </font>
    <font>
      <b/>
      <sz val="20"/>
      <color theme="4"/>
      <name val="Calibri"/>
      <family val="2"/>
      <scheme val="minor"/>
    </font>
    <font>
      <sz val="22"/>
      <name val="Calibri"/>
      <family val="2"/>
      <scheme val="minor"/>
    </font>
    <font>
      <b/>
      <sz val="22"/>
      <color theme="8"/>
      <name val="Calibri"/>
      <family val="2"/>
      <scheme val="minor"/>
    </font>
    <font>
      <b/>
      <sz val="20"/>
      <color theme="8" tint="-0.249977111117893"/>
      <name val="Calibri"/>
      <family val="2"/>
      <scheme val="minor"/>
    </font>
    <font>
      <sz val="20"/>
      <color theme="8" tint="-0.249977111117893"/>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06">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15" fillId="2" borderId="0" xfId="0" applyFont="1" applyFill="1" applyBorder="1" applyAlignment="1">
      <alignment horizontal="left" vertical="top" wrapText="1"/>
    </xf>
    <xf numFmtId="0" fontId="7" fillId="4" borderId="222"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7" fillId="5" borderId="60" xfId="0" applyFont="1" applyFill="1" applyBorder="1" applyAlignment="1">
      <alignment vertical="top" wrapText="1"/>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0" borderId="41" xfId="0" applyFont="1" applyBorder="1" applyAlignment="1">
      <alignmen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0" borderId="24" xfId="0" applyFont="1" applyBorder="1" applyAlignment="1">
      <alignment vertical="top" wrapText="1"/>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7" fillId="0" borderId="40" xfId="0" applyFont="1" applyBorder="1" applyAlignment="1">
      <alignment horizontal="left" vertical="top" wrapText="1"/>
    </xf>
    <xf numFmtId="0" fontId="20" fillId="4" borderId="41" xfId="0" applyFont="1" applyFill="1" applyBorder="1" applyAlignment="1">
      <alignment vertical="center"/>
    </xf>
    <xf numFmtId="0" fontId="20" fillId="4" borderId="60" xfId="0" applyFont="1" applyFill="1" applyBorder="1" applyAlignment="1">
      <alignment vertical="center"/>
    </xf>
    <xf numFmtId="0" fontId="7" fillId="4" borderId="21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0" borderId="267" xfId="0" applyFont="1" applyBorder="1" applyAlignment="1" applyProtection="1">
      <alignment horizontal="center" vertical="center"/>
      <protection locked="0"/>
    </xf>
    <xf numFmtId="0" fontId="7" fillId="4" borderId="221"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7" fillId="0" borderId="269"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9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7" fillId="0" borderId="205" xfId="0" applyFont="1" applyBorder="1" applyAlignment="1" applyProtection="1">
      <alignment horizontal="center" vertical="center"/>
      <protection locked="0"/>
    </xf>
    <xf numFmtId="0" fontId="38" fillId="5" borderId="91" xfId="0" applyFont="1" applyFill="1" applyBorder="1" applyAlignment="1">
      <alignment vertical="center" wrapText="1"/>
    </xf>
    <xf numFmtId="0" fontId="38" fillId="0" borderId="91" xfId="0" applyFont="1" applyBorder="1" applyAlignment="1">
      <alignmen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5" xfId="0" applyFont="1" applyFill="1" applyBorder="1" applyAlignment="1">
      <alignment vertical="center"/>
    </xf>
    <xf numFmtId="0" fontId="7" fillId="4" borderId="27" xfId="0" applyFont="1" applyFill="1" applyBorder="1" applyAlignment="1">
      <alignment vertical="center"/>
    </xf>
    <xf numFmtId="0" fontId="20" fillId="5" borderId="60" xfId="0" applyFont="1" applyFill="1" applyBorder="1" applyAlignment="1">
      <alignment horizontal="left" vertical="center"/>
    </xf>
    <xf numFmtId="0" fontId="18" fillId="4" borderId="24" xfId="0" applyFont="1" applyFill="1" applyBorder="1" applyAlignment="1">
      <alignment vertical="center"/>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78"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0" fontId="48" fillId="5" borderId="22" xfId="0" applyFont="1" applyFill="1" applyBorder="1" applyAlignment="1">
      <alignment horizontal="left" wrapText="1"/>
    </xf>
    <xf numFmtId="0" fontId="7" fillId="0" borderId="7" xfId="0" applyFont="1" applyBorder="1" applyAlignment="1" applyProtection="1">
      <alignment horizontal="center" wrapText="1"/>
      <protection locked="0"/>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49" fontId="14" fillId="4" borderId="35" xfId="1" applyNumberFormat="1" applyFont="1" applyFill="1" applyBorder="1" applyAlignment="1">
      <alignment horizontal="center"/>
    </xf>
    <xf numFmtId="49" fontId="14" fillId="4" borderId="8" xfId="1" applyNumberFormat="1" applyFont="1" applyFill="1" applyBorder="1" applyAlignment="1">
      <alignment horizontal="center"/>
    </xf>
    <xf numFmtId="0" fontId="7" fillId="3" borderId="8" xfId="0" applyFont="1" applyFill="1" applyBorder="1" applyAlignment="1" applyProtection="1">
      <alignment horizontal="center"/>
    </xf>
    <xf numFmtId="0" fontId="8" fillId="6" borderId="174"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49" fillId="0" borderId="28" xfId="0" applyFont="1" applyBorder="1" applyAlignment="1">
      <alignment horizontal="left" vertical="center" wrapText="1"/>
    </xf>
    <xf numFmtId="0" fontId="49" fillId="4" borderId="49" xfId="0" applyFont="1" applyFill="1" applyBorder="1" applyAlignment="1">
      <alignment vertical="center"/>
    </xf>
    <xf numFmtId="0" fontId="49" fillId="4" borderId="28" xfId="0" applyFont="1" applyFill="1" applyBorder="1" applyAlignment="1">
      <alignment vertical="center"/>
    </xf>
    <xf numFmtId="0" fontId="49" fillId="4" borderId="48" xfId="0" applyFont="1" applyFill="1" applyBorder="1" applyAlignment="1">
      <alignment vertical="center"/>
    </xf>
    <xf numFmtId="0" fontId="49" fillId="4" borderId="29" xfId="0" applyFont="1" applyFill="1" applyBorder="1" applyAlignment="1">
      <alignment vertical="center"/>
    </xf>
    <xf numFmtId="0" fontId="7" fillId="0" borderId="297" xfId="0" applyFont="1" applyBorder="1" applyAlignment="1" applyProtection="1">
      <alignment horizontal="center" vertical="center"/>
      <protection locked="0"/>
    </xf>
    <xf numFmtId="0" fontId="7" fillId="0" borderId="206"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25" xfId="0" applyFont="1" applyBorder="1" applyAlignment="1">
      <alignment horizontal="left" vertical="center"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14" fillId="5" borderId="233" xfId="0" applyFont="1" applyFill="1" applyBorder="1" applyAlignment="1">
      <alignment horizontal="left" vertical="center" wrapText="1"/>
    </xf>
    <xf numFmtId="0" fontId="18" fillId="4" borderId="234" xfId="0" applyFont="1" applyFill="1" applyBorder="1" applyAlignment="1">
      <alignment vertical="center"/>
    </xf>
    <xf numFmtId="0" fontId="14" fillId="5" borderId="41" xfId="0" applyFont="1" applyFill="1" applyBorder="1" applyAlignment="1">
      <alignment horizontal="left" vertical="center" wrapText="1"/>
    </xf>
    <xf numFmtId="0" fontId="18" fillId="4" borderId="238" xfId="0" applyFont="1" applyFill="1" applyBorder="1" applyAlignment="1">
      <alignment vertical="center"/>
    </xf>
    <xf numFmtId="0" fontId="14" fillId="0" borderId="213" xfId="0" applyFont="1" applyBorder="1" applyAlignment="1">
      <alignment horizontal="left" vertical="center" wrapText="1"/>
    </xf>
    <xf numFmtId="0" fontId="50" fillId="0" borderId="53" xfId="0" applyFont="1" applyBorder="1" applyAlignment="1">
      <alignment horizontal="left" vertical="center" wrapText="1"/>
    </xf>
    <xf numFmtId="0" fontId="46" fillId="4" borderId="75" xfId="0" applyFont="1" applyFill="1" applyBorder="1" applyAlignment="1">
      <alignment vertical="center"/>
    </xf>
    <xf numFmtId="0" fontId="46" fillId="0" borderId="52" xfId="0" applyFont="1" applyBorder="1" applyAlignment="1">
      <alignment horizontal="left" vertical="center" wrapText="1"/>
    </xf>
    <xf numFmtId="0" fontId="18" fillId="0" borderId="53" xfId="0" applyFont="1" applyBorder="1" applyAlignment="1">
      <alignment horizontal="left" vertical="center" wrapText="1"/>
    </xf>
    <xf numFmtId="0" fontId="14" fillId="0" borderId="52" xfId="0" applyFont="1" applyBorder="1" applyAlignment="1">
      <alignment horizontal="left" vertical="center" wrapText="1"/>
    </xf>
    <xf numFmtId="0" fontId="18" fillId="0" borderId="43" xfId="0" applyFont="1" applyBorder="1" applyAlignment="1">
      <alignment horizontal="left" vertical="center" wrapText="1"/>
    </xf>
    <xf numFmtId="0" fontId="18" fillId="0" borderId="224" xfId="0" applyFont="1" applyBorder="1" applyAlignment="1">
      <alignment horizontal="left" vertical="center" wrapText="1"/>
    </xf>
    <xf numFmtId="0" fontId="18" fillId="4" borderId="225" xfId="0" applyFont="1" applyFill="1" applyBorder="1" applyAlignment="1">
      <alignment vertical="center"/>
    </xf>
    <xf numFmtId="0" fontId="18" fillId="0" borderId="170" xfId="0" applyFont="1" applyBorder="1" applyAlignment="1">
      <alignment horizontal="left" vertical="center" wrapText="1"/>
    </xf>
    <xf numFmtId="0" fontId="18" fillId="4" borderId="228" xfId="0" applyFont="1" applyFill="1" applyBorder="1" applyAlignment="1">
      <alignment vertical="center"/>
    </xf>
    <xf numFmtId="0" fontId="18" fillId="0" borderId="40" xfId="0" applyFont="1" applyBorder="1" applyAlignment="1">
      <alignment vertical="top" wrapText="1"/>
    </xf>
    <xf numFmtId="0" fontId="29" fillId="4" borderId="0" xfId="0" applyFont="1" applyFill="1" applyBorder="1" applyAlignment="1">
      <alignment vertical="center" wrapText="1"/>
    </xf>
    <xf numFmtId="0" fontId="51" fillId="0" borderId="75" xfId="0" applyFont="1" applyFill="1" applyBorder="1" applyAlignment="1">
      <alignment horizontal="left" vertical="center" wrapText="1"/>
    </xf>
    <xf numFmtId="0" fontId="51" fillId="0" borderId="75" xfId="0" applyFont="1" applyFill="1" applyBorder="1" applyAlignment="1">
      <alignment vertical="center"/>
    </xf>
    <xf numFmtId="0" fontId="7" fillId="0" borderId="54" xfId="0" applyFont="1" applyBorder="1" applyAlignment="1">
      <alignment horizontal="left" vertical="center" wrapText="1"/>
    </xf>
    <xf numFmtId="0" fontId="7" fillId="4" borderId="215" xfId="0" applyFont="1" applyFill="1" applyBorder="1" applyAlignment="1">
      <alignment vertical="center"/>
    </xf>
    <xf numFmtId="0" fontId="49" fillId="4" borderId="41" xfId="0" applyFont="1" applyFill="1" applyBorder="1" applyAlignment="1">
      <alignment vertical="center"/>
    </xf>
    <xf numFmtId="0" fontId="49" fillId="0" borderId="23" xfId="0" applyFont="1" applyBorder="1" applyAlignment="1">
      <alignment horizontal="left" vertical="center" wrapText="1"/>
    </xf>
    <xf numFmtId="0" fontId="49" fillId="4" borderId="23" xfId="0" applyFont="1" applyFill="1" applyBorder="1" applyAlignment="1">
      <alignment vertical="center"/>
    </xf>
    <xf numFmtId="0" fontId="49" fillId="0" borderId="25" xfId="0" applyFont="1" applyBorder="1" applyAlignment="1">
      <alignment horizontal="left" vertical="center" wrapText="1"/>
    </xf>
    <xf numFmtId="0" fontId="49" fillId="4" borderId="60" xfId="0" applyFont="1" applyFill="1" applyBorder="1" applyAlignment="1">
      <alignment vertical="center"/>
    </xf>
    <xf numFmtId="0" fontId="49" fillId="0" borderId="49" xfId="0" applyFont="1" applyBorder="1" applyAlignment="1">
      <alignment horizontal="left" vertical="center" wrapText="1"/>
    </xf>
    <xf numFmtId="0" fontId="49" fillId="5" borderId="60" xfId="0" applyFont="1" applyFill="1" applyBorder="1" applyAlignment="1">
      <alignment horizontal="left" vertical="center"/>
    </xf>
    <xf numFmtId="0" fontId="7" fillId="0" borderId="48" xfId="0" applyFont="1" applyBorder="1" applyAlignment="1">
      <alignment horizontal="left" vertical="center" wrapText="1"/>
    </xf>
    <xf numFmtId="0" fontId="49" fillId="0" borderId="181" xfId="0" applyFont="1" applyBorder="1" applyAlignment="1">
      <alignment horizontal="left" vertical="center" wrapText="1"/>
    </xf>
    <xf numFmtId="0" fontId="49" fillId="0" borderId="182" xfId="0" applyFont="1" applyBorder="1" applyAlignment="1">
      <alignment horizontal="left" vertical="center" wrapText="1"/>
    </xf>
    <xf numFmtId="0" fontId="49" fillId="0" borderId="183" xfId="0" applyFont="1" applyBorder="1" applyAlignment="1">
      <alignment horizontal="left" vertical="center" wrapText="1"/>
    </xf>
    <xf numFmtId="0" fontId="49" fillId="5" borderId="22" xfId="0" applyFont="1" applyFill="1" applyBorder="1" applyAlignment="1">
      <alignment horizontal="left"/>
    </xf>
    <xf numFmtId="0" fontId="49" fillId="4" borderId="24" xfId="0" applyFont="1" applyFill="1" applyBorder="1" applyAlignment="1"/>
    <xf numFmtId="0" fontId="7" fillId="4" borderId="61" xfId="0" applyFont="1" applyFill="1" applyBorder="1" applyAlignment="1">
      <alignment vertical="center"/>
    </xf>
    <xf numFmtId="0" fontId="7" fillId="4" borderId="225" xfId="0" applyFont="1" applyFill="1" applyBorder="1" applyAlignment="1">
      <alignment vertical="center"/>
    </xf>
    <xf numFmtId="0" fontId="7" fillId="4" borderId="228" xfId="0" applyFont="1" applyFill="1" applyBorder="1" applyAlignment="1">
      <alignment vertical="center"/>
    </xf>
    <xf numFmtId="0" fontId="8" fillId="6" borderId="40" xfId="0" applyFont="1" applyFill="1" applyBorder="1" applyAlignment="1">
      <alignment horizontal="center" vertical="center"/>
    </xf>
    <xf numFmtId="0" fontId="8" fillId="6" borderId="209" xfId="0" applyFont="1" applyFill="1" applyBorder="1" applyAlignment="1">
      <alignment horizontal="center" vertical="center"/>
    </xf>
    <xf numFmtId="0" fontId="8" fillId="6" borderId="78" xfId="0" applyFont="1" applyFill="1" applyBorder="1" applyAlignment="1">
      <alignment horizontal="center" vertical="center"/>
    </xf>
    <xf numFmtId="0" fontId="52" fillId="4" borderId="27" xfId="0" applyFont="1" applyFill="1" applyBorder="1" applyAlignment="1">
      <alignment vertical="center"/>
    </xf>
    <xf numFmtId="0" fontId="52" fillId="4" borderId="44" xfId="0" applyFont="1" applyFill="1" applyBorder="1" applyAlignment="1">
      <alignment vertical="center"/>
    </xf>
    <xf numFmtId="0" fontId="52" fillId="4" borderId="79" xfId="0" applyFont="1" applyFill="1" applyBorder="1" applyAlignment="1">
      <alignment vertical="center"/>
    </xf>
    <xf numFmtId="0" fontId="38" fillId="12" borderId="75" xfId="0" applyFont="1" applyFill="1" applyBorder="1" applyAlignment="1"/>
    <xf numFmtId="0" fontId="38" fillId="5" borderId="75" xfId="0" applyFont="1" applyFill="1" applyBorder="1" applyAlignment="1"/>
    <xf numFmtId="0" fontId="38" fillId="12" borderId="97" xfId="0" applyFont="1" applyFill="1" applyBorder="1" applyAlignment="1"/>
    <xf numFmtId="0" fontId="38" fillId="12" borderId="177" xfId="0" applyFont="1" applyFill="1" applyBorder="1" applyAlignment="1"/>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38" fillId="0" borderId="91" xfId="0" applyFont="1" applyBorder="1" applyAlignment="1">
      <alignment vertical="center" wrapText="1"/>
    </xf>
    <xf numFmtId="0" fontId="20" fillId="5" borderId="59" xfId="0" applyFont="1" applyFill="1" applyBorder="1" applyAlignment="1">
      <alignment horizontal="left" vertical="center" wrapText="1"/>
    </xf>
    <xf numFmtId="0" fontId="20" fillId="5" borderId="49" xfId="0" applyFont="1" applyFill="1" applyBorder="1" applyAlignment="1">
      <alignment horizontal="left" vertical="center" wrapText="1"/>
    </xf>
    <xf numFmtId="0" fontId="20" fillId="5" borderId="60" xfId="0" applyFont="1" applyFill="1" applyBorder="1" applyAlignment="1">
      <alignment horizontal="left" vertical="center" wrapText="1"/>
    </xf>
    <xf numFmtId="0" fontId="20" fillId="0" borderId="59" xfId="0" applyFont="1" applyBorder="1" applyAlignment="1">
      <alignment horizontal="left" vertical="top" wrapText="1"/>
    </xf>
    <xf numFmtId="0" fontId="20" fillId="0" borderId="49" xfId="0" applyFont="1" applyBorder="1" applyAlignment="1">
      <alignment horizontal="left" vertical="top" wrapText="1"/>
    </xf>
    <xf numFmtId="0" fontId="20" fillId="0" borderId="60" xfId="0" applyFont="1" applyBorder="1" applyAlignment="1">
      <alignment horizontal="left" vertical="top" wrapText="1"/>
    </xf>
    <xf numFmtId="0" fontId="29" fillId="0" borderId="287" xfId="0" applyFont="1" applyBorder="1" applyAlignment="1">
      <alignment horizontal="center" vertical="center" wrapText="1"/>
    </xf>
    <xf numFmtId="0" fontId="29" fillId="0" borderId="286" xfId="0" applyFont="1" applyBorder="1" applyAlignment="1">
      <alignment horizontal="center" vertical="center" wrapText="1"/>
    </xf>
    <xf numFmtId="0" fontId="49" fillId="0" borderId="59" xfId="0" applyFont="1" applyBorder="1" applyAlignment="1">
      <alignment horizontal="left" vertical="center" wrapText="1"/>
    </xf>
    <xf numFmtId="0" fontId="49" fillId="0" borderId="49" xfId="0" applyFont="1" applyBorder="1" applyAlignment="1">
      <alignment horizontal="left" vertical="center" wrapText="1"/>
    </xf>
    <xf numFmtId="0" fontId="49" fillId="0" borderId="60" xfId="0" applyFont="1" applyBorder="1" applyAlignment="1">
      <alignment horizontal="left" vertical="center" wrapText="1"/>
    </xf>
    <xf numFmtId="0" fontId="29" fillId="0" borderId="279" xfId="0" applyFont="1" applyBorder="1" applyAlignment="1">
      <alignment horizontal="center" vertical="center" wrapText="1"/>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29" fillId="0" borderId="91" xfId="0" applyFont="1" applyBorder="1" applyAlignment="1">
      <alignment vertical="center" wrapText="1"/>
    </xf>
    <xf numFmtId="0" fontId="29" fillId="5" borderId="91" xfId="0" applyFont="1" applyFill="1" applyBorder="1" applyAlignment="1">
      <alignment vertical="center"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29" fillId="0" borderId="91" xfId="0" applyFont="1" applyFill="1" applyBorder="1" applyAlignment="1">
      <alignment vertical="center" wrapText="1"/>
    </xf>
    <xf numFmtId="0" fontId="42" fillId="5" borderId="91" xfId="0" applyFont="1" applyFill="1" applyBorder="1" applyAlignment="1">
      <alignment vertical="center" wrapText="1"/>
    </xf>
    <xf numFmtId="0" fontId="38" fillId="5" borderId="91" xfId="0" applyFont="1" applyFill="1" applyBorder="1" applyAlignment="1">
      <alignment vertical="center"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38" fillId="5" borderId="0" xfId="0" applyFont="1" applyFill="1" applyBorder="1" applyAlignment="1">
      <alignment horizontal="center" wrapText="1"/>
    </xf>
    <xf numFmtId="0" fontId="18" fillId="0" borderId="59" xfId="0" applyFont="1" applyBorder="1" applyAlignment="1">
      <alignment vertical="top" wrapText="1"/>
    </xf>
    <xf numFmtId="0" fontId="18" fillId="0" borderId="60" xfId="0" applyFont="1" applyBorder="1" applyAlignment="1">
      <alignment vertical="top" wrapText="1"/>
    </xf>
    <xf numFmtId="0" fontId="42" fillId="3" borderId="91" xfId="0" applyFont="1" applyFill="1" applyBorder="1" applyAlignment="1">
      <alignment horizontal="left" vertical="center"/>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14" fillId="5" borderId="233" xfId="0" applyFont="1" applyFill="1" applyBorder="1" applyAlignment="1">
      <alignment vertical="center" wrapText="1"/>
    </xf>
    <xf numFmtId="0" fontId="14" fillId="5" borderId="41" xfId="0" applyFont="1" applyFill="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8" fillId="0" borderId="40" xfId="0" applyFont="1" applyBorder="1" applyAlignment="1">
      <alignment vertical="top" wrapText="1"/>
    </xf>
    <xf numFmtId="0" fontId="18" fillId="0" borderId="25" xfId="0" applyFont="1" applyBorder="1" applyAlignment="1">
      <alignment vertical="top" wrapText="1"/>
    </xf>
    <xf numFmtId="0" fontId="18" fillId="0" borderId="23"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8" fillId="0" borderId="54" xfId="0" applyFont="1" applyBorder="1" applyAlignment="1">
      <alignment vertical="top" wrapText="1"/>
    </xf>
    <xf numFmtId="0" fontId="49" fillId="0" borderId="59" xfId="0" applyFont="1" applyBorder="1" applyAlignment="1">
      <alignment horizontal="left" vertical="top" wrapText="1"/>
    </xf>
    <xf numFmtId="0" fontId="49" fillId="0" borderId="49" xfId="0" applyFont="1" applyBorder="1" applyAlignment="1">
      <alignment horizontal="left" vertical="top" wrapText="1"/>
    </xf>
    <xf numFmtId="0" fontId="49" fillId="0" borderId="60" xfId="0" applyFont="1" applyBorder="1" applyAlignment="1">
      <alignment horizontal="left" vertical="top" wrapText="1"/>
    </xf>
    <xf numFmtId="0" fontId="49" fillId="0" borderId="54" xfId="0" applyFont="1" applyBorder="1" applyAlignment="1">
      <alignment horizontal="left" vertical="center" wrapText="1"/>
    </xf>
    <xf numFmtId="0" fontId="49" fillId="0" borderId="48" xfId="0" applyFont="1" applyBorder="1" applyAlignment="1">
      <alignment horizontal="left" vertical="center" wrapText="1"/>
    </xf>
    <xf numFmtId="0" fontId="49" fillId="0" borderId="79" xfId="0" applyFont="1" applyBorder="1" applyAlignment="1">
      <alignment horizontal="left" vertical="center" wrapText="1"/>
    </xf>
    <xf numFmtId="0" fontId="7" fillId="0" borderId="59" xfId="0" applyFont="1" applyBorder="1" applyAlignment="1">
      <alignment horizontal="center" vertical="top" wrapText="1"/>
    </xf>
    <xf numFmtId="0" fontId="7" fillId="0" borderId="49" xfId="0" applyFont="1" applyBorder="1" applyAlignment="1">
      <alignment horizontal="center" vertical="top" wrapText="1"/>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60" xfId="0" applyFont="1" applyBorder="1" applyAlignment="1">
      <alignment horizontal="center" vertical="top" wrapText="1"/>
    </xf>
    <xf numFmtId="0" fontId="7" fillId="0" borderId="54" xfId="0" applyFont="1" applyBorder="1" applyAlignment="1">
      <alignment horizontal="left" vertical="center" wrapText="1"/>
    </xf>
    <xf numFmtId="0" fontId="7" fillId="0" borderId="48" xfId="0" applyFont="1" applyBorder="1" applyAlignment="1">
      <alignment horizontal="left" vertical="center" wrapText="1"/>
    </xf>
    <xf numFmtId="0" fontId="7" fillId="0" borderId="79" xfId="0" applyFont="1" applyBorder="1" applyAlignment="1">
      <alignment horizontal="left" vertical="center" wrapText="1"/>
    </xf>
    <xf numFmtId="0" fontId="8" fillId="2" borderId="22" xfId="0" applyFont="1" applyFill="1" applyBorder="1" applyAlignment="1">
      <alignment horizontal="left" vertical="top"/>
    </xf>
    <xf numFmtId="49" fontId="18" fillId="4" borderId="168" xfId="1" applyNumberFormat="1" applyFont="1" applyFill="1" applyBorder="1" applyAlignment="1">
      <alignment horizontal="center" vertical="center"/>
    </xf>
    <xf numFmtId="49" fontId="18" fillId="4" borderId="30"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49" fontId="18" fillId="4" borderId="11" xfId="1" applyNumberFormat="1" applyFont="1" applyFill="1" applyBorder="1" applyAlignment="1">
      <alignment horizontal="center" vertical="center"/>
    </xf>
    <xf numFmtId="0" fontId="7" fillId="0" borderId="23" xfId="0" applyFont="1" applyBorder="1" applyAlignment="1">
      <alignment horizontal="left" vertical="top" wrapText="1"/>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49" fontId="18" fillId="4" borderId="9" xfId="1" applyNumberFormat="1" applyFont="1" applyFill="1" applyBorder="1" applyAlignment="1">
      <alignment horizontal="center" vertical="center"/>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49" fontId="14" fillId="4" borderId="9" xfId="1" applyNumberFormat="1" applyFont="1" applyFill="1" applyBorder="1" applyAlignment="1">
      <alignment horizontal="center" vertical="center"/>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72" xfId="0" applyFont="1" applyFill="1" applyBorder="1" applyAlignment="1">
      <alignment horizontal="left" vertical="center"/>
    </xf>
    <xf numFmtId="0" fontId="9" fillId="3" borderId="51" xfId="0" applyFont="1" applyFill="1" applyBorder="1" applyAlignment="1">
      <alignment horizontal="left" vertical="center"/>
    </xf>
    <xf numFmtId="0" fontId="8" fillId="8" borderId="44"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8" fillId="8" borderId="43" xfId="0" applyFont="1" applyFill="1" applyBorder="1" applyAlignment="1">
      <alignment horizontal="center" vertical="center"/>
    </xf>
    <xf numFmtId="0" fontId="8" fillId="8" borderId="22" xfId="0" applyFont="1" applyFill="1" applyBorder="1" applyAlignment="1">
      <alignment horizontal="center" vertical="center"/>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0" borderId="41" xfId="0" applyFont="1" applyBorder="1" applyAlignment="1">
      <alignment horizontal="lef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10" borderId="50"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79" xfId="0" applyFont="1" applyFill="1" applyBorder="1" applyAlignment="1">
      <alignment horizontal="center" vertical="top"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5" borderId="23"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4" borderId="9" xfId="0" applyFont="1" applyFill="1" applyBorder="1" applyAlignment="1">
      <alignment horizontal="center" wrapText="1"/>
    </xf>
    <xf numFmtId="0" fontId="7" fillId="4" borderId="8" xfId="0" applyFont="1" applyFill="1" applyBorder="1" applyAlignment="1">
      <alignment horizont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22" fillId="2" borderId="41" xfId="0" applyFont="1" applyFill="1" applyBorder="1" applyAlignment="1">
      <alignment horizontal="center" vertical="top" wrapText="1"/>
    </xf>
    <xf numFmtId="0" fontId="7" fillId="5" borderId="41" xfId="0" applyFont="1" applyFill="1" applyBorder="1" applyAlignment="1">
      <alignment horizontal="left" vertical="top" wrapText="1"/>
    </xf>
    <xf numFmtId="0" fontId="8" fillId="5" borderId="23"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9" fillId="3" borderId="16" xfId="0" applyFont="1" applyFill="1" applyBorder="1" applyAlignment="1">
      <alignment horizontal="left" vertical="center"/>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4" xfId="0" applyFont="1" applyFill="1" applyBorder="1" applyAlignment="1">
      <alignment horizontal="center" vertical="top" wrapText="1"/>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40"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7" fillId="0" borderId="41" xfId="0" applyFont="1" applyBorder="1" applyAlignment="1">
      <alignment horizontal="left" vertical="top" wrapText="1"/>
    </xf>
    <xf numFmtId="0" fontId="8" fillId="5" borderId="40" xfId="0" applyFont="1" applyFill="1" applyBorder="1" applyAlignment="1">
      <alignment horizontal="left" vertical="top" wrapText="1"/>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xf numFmtId="0" fontId="7" fillId="4" borderId="41" xfId="0" applyFont="1" applyFill="1" applyBorder="1" applyAlignment="1">
      <alignment vertical="center"/>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horizontal="left" vertical="top" wrapText="1"/>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8" fillId="8" borderId="27" xfId="0" applyFont="1" applyFill="1" applyBorder="1" applyAlignment="1">
      <alignment horizontal="center" vertical="center" wrapText="1"/>
    </xf>
    <xf numFmtId="0" fontId="22" fillId="2" borderId="60" xfId="0" applyFont="1" applyFill="1" applyBorder="1" applyAlignment="1">
      <alignment horizontal="center" vertical="top" wrapText="1"/>
    </xf>
    <xf numFmtId="0" fontId="8" fillId="6" borderId="38" xfId="0" applyFont="1" applyFill="1" applyBorder="1" applyAlignment="1">
      <alignment horizontal="center" vertical="center"/>
    </xf>
    <xf numFmtId="0" fontId="8" fillId="6" borderId="139" xfId="0" applyFont="1" applyFill="1" applyBorder="1" applyAlignment="1">
      <alignment horizontal="center" vertical="center"/>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12" fillId="7" borderId="40" xfId="0" applyFont="1" applyFill="1" applyBorder="1" applyAlignment="1">
      <alignment horizontal="center" vertical="center" wrapText="1"/>
    </xf>
    <xf numFmtId="0" fontId="12" fillId="7" borderId="25" xfId="0" applyFont="1" applyFill="1" applyBorder="1" applyAlignment="1">
      <alignment horizontal="center" vertical="center" wrapText="1"/>
    </xf>
    <xf numFmtId="0" fontId="8" fillId="8" borderId="52" xfId="0" applyFont="1" applyFill="1" applyBorder="1" applyAlignment="1">
      <alignment horizontal="center" vertical="center"/>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9" fillId="3" borderId="19"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6" borderId="47" xfId="0" applyFont="1" applyFill="1" applyBorder="1" applyAlignment="1">
      <alignment horizontal="center" vertical="center"/>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12" fillId="7" borderId="23" xfId="0" applyFont="1" applyFill="1" applyBorder="1" applyAlignment="1">
      <alignment horizontal="center" vertical="center" wrapText="1"/>
    </xf>
    <xf numFmtId="0" fontId="9" fillId="0" borderId="47" xfId="0" applyFont="1" applyBorder="1" applyAlignment="1">
      <alignment horizontal="center" vertical="center" wrapText="1"/>
    </xf>
    <xf numFmtId="0" fontId="8" fillId="0" borderId="38" xfId="0" applyFont="1" applyBorder="1" applyAlignment="1">
      <alignment horizontal="center" vertical="center"/>
    </xf>
    <xf numFmtId="0" fontId="8" fillId="0" borderId="47" xfId="0" applyFont="1" applyBorder="1" applyAlignment="1">
      <alignment horizontal="center" vertical="center"/>
    </xf>
    <xf numFmtId="0" fontId="8" fillId="0" borderId="139"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8" fillId="5" borderId="41" xfId="0" applyFont="1" applyFill="1" applyBorder="1" applyAlignment="1">
      <alignment horizontal="left" vertical="top"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4" borderId="30"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2" borderId="22" xfId="0" applyFont="1" applyFill="1" applyBorder="1" applyAlignment="1">
      <alignment horizontal="left" vertical="top"/>
    </xf>
    <xf numFmtId="0" fontId="7" fillId="4" borderId="31" xfId="0" applyFont="1" applyFill="1" applyBorder="1" applyAlignment="1">
      <alignment horizontal="center" vertical="center" wrapText="1"/>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12" borderId="62"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6" xfId="0" applyFont="1" applyFill="1" applyBorder="1" applyAlignment="1">
      <alignment horizontal="left" vertical="top" wrapText="1"/>
    </xf>
    <xf numFmtId="0" fontId="8" fillId="6" borderId="232" xfId="0" applyFont="1" applyFill="1" applyBorder="1" applyAlignment="1">
      <alignment horizontal="left" vertical="top" wrapText="1"/>
    </xf>
    <xf numFmtId="0" fontId="8" fillId="6" borderId="235" xfId="0" applyFont="1" applyFill="1" applyBorder="1" applyAlignment="1">
      <alignment horizontal="left" vertical="top" wrapText="1"/>
    </xf>
    <xf numFmtId="0" fontId="7" fillId="0" borderId="54" xfId="0" applyFont="1" applyBorder="1" applyAlignment="1">
      <alignment horizontal="left" vertical="top" wrapText="1"/>
    </xf>
    <xf numFmtId="0" fontId="7" fillId="0" borderId="48" xfId="0" applyFont="1" applyBorder="1" applyAlignment="1">
      <alignment horizontal="lef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49" fontId="18" fillId="4" borderId="71" xfId="1" applyNumberFormat="1" applyFont="1" applyFill="1" applyBorder="1" applyAlignment="1">
      <alignment horizontal="center" vertical="center"/>
    </xf>
    <xf numFmtId="0" fontId="7" fillId="4" borderId="14" xfId="0" applyFont="1" applyFill="1" applyBorder="1" applyAlignment="1">
      <alignment horizontal="center" wrapText="1"/>
    </xf>
    <xf numFmtId="0" fontId="7" fillId="5" borderId="40" xfId="0" applyFont="1" applyFill="1" applyBorder="1" applyAlignment="1">
      <alignment horizontal="lef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8" fillId="2" borderId="43" xfId="0" applyFont="1" applyFill="1" applyBorder="1" applyAlignment="1">
      <alignment horizontal="left" vertical="top"/>
    </xf>
    <xf numFmtId="0" fontId="8" fillId="2" borderId="75"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49" fontId="18" fillId="4" borderId="54" xfId="1" applyNumberFormat="1" applyFont="1" applyFill="1" applyBorder="1" applyAlignment="1">
      <alignment horizontal="center" vertical="center"/>
    </xf>
    <xf numFmtId="0" fontId="49" fillId="5" borderId="59" xfId="0" applyFont="1" applyFill="1" applyBorder="1" applyAlignment="1">
      <alignment horizontal="left" vertical="top" wrapText="1"/>
    </xf>
    <xf numFmtId="0" fontId="49" fillId="5" borderId="60" xfId="0" applyFont="1" applyFill="1" applyBorder="1" applyAlignment="1">
      <alignment horizontal="left" vertical="top" wrapText="1"/>
    </xf>
    <xf numFmtId="0" fontId="49" fillId="5" borderId="59" xfId="0" applyFont="1" applyFill="1" applyBorder="1" applyAlignment="1">
      <alignment horizontal="left" vertical="center" wrapText="1"/>
    </xf>
    <xf numFmtId="0" fontId="49" fillId="5" borderId="60" xfId="0" applyFont="1" applyFill="1" applyBorder="1" applyAlignment="1">
      <alignment horizontal="left" vertical="center" wrapText="1"/>
    </xf>
    <xf numFmtId="0" fontId="49" fillId="5" borderId="49" xfId="0" applyFont="1" applyFill="1" applyBorder="1" applyAlignment="1">
      <alignment horizontal="left" vertical="center" wrapText="1"/>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60" xfId="0" applyFont="1" applyFill="1" applyBorder="1" applyAlignment="1">
      <alignment horizontal="center" vertical="top" wrapText="1"/>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8" fillId="5" borderId="23" xfId="0" applyFont="1" applyFill="1" applyBorder="1" applyAlignment="1">
      <alignment horizontal="left" vertical="top" wrapText="1"/>
    </xf>
    <xf numFmtId="0" fontId="18" fillId="5" borderId="25" xfId="0" applyFont="1" applyFill="1" applyBorder="1" applyAlignment="1">
      <alignment horizontal="left" vertical="top" wrapText="1"/>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8" fillId="0" borderId="38" xfId="0" applyFont="1" applyBorder="1" applyAlignment="1">
      <alignment horizontal="center" wrapText="1"/>
    </xf>
    <xf numFmtId="0" fontId="8" fillId="0" borderId="47" xfId="0" applyFont="1" applyBorder="1" applyAlignment="1">
      <alignment horizontal="center" wrapText="1"/>
    </xf>
    <xf numFmtId="0" fontId="8" fillId="0" borderId="139" xfId="0" applyFont="1" applyBorder="1" applyAlignment="1">
      <alignment horizont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26" fillId="2" borderId="60" xfId="0" applyFont="1" applyFill="1" applyBorder="1" applyAlignment="1">
      <alignment horizontal="center" vertical="top" wrapText="1"/>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12" fillId="7" borderId="41" xfId="0" applyFont="1" applyFill="1" applyBorder="1" applyAlignment="1">
      <alignment horizontal="center" vertical="center"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0" borderId="40" xfId="0" applyFont="1" applyBorder="1" applyAlignment="1">
      <alignment horizontal="left" vertical="top" wrapText="1"/>
    </xf>
    <xf numFmtId="0" fontId="18" fillId="5" borderId="41" xfId="0" applyFont="1" applyFill="1" applyBorder="1" applyAlignment="1">
      <alignment horizontal="left" vertical="top" wrapText="1"/>
    </xf>
    <xf numFmtId="0" fontId="8" fillId="0" borderId="60" xfId="0" applyFont="1" applyBorder="1" applyAlignment="1">
      <alignment horizontal="left"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15" fillId="2" borderId="40" xfId="0" applyFont="1" applyFill="1" applyBorder="1" applyAlignment="1">
      <alignment horizontal="center" vertical="top" wrapText="1"/>
    </xf>
    <xf numFmtId="0" fontId="15" fillId="2" borderId="41" xfId="0" applyFont="1" applyFill="1" applyBorder="1" applyAlignment="1">
      <alignment horizontal="center" vertical="top" wrapText="1"/>
    </xf>
  </cellXfs>
  <cellStyles count="4">
    <cellStyle name="Hyperlink" xfId="3" builtinId="8"/>
    <cellStyle name="Neutral" xfId="2" builtinId="28"/>
    <cellStyle name="Normal" xfId="0" builtinId="0"/>
    <cellStyle name="Normal 3" xfId="1"/>
  </cellStyles>
  <dxfs count="197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77"/>
      <tableStyleElement type="headerRow" dxfId="19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1</xdr:col>
      <xdr:colOff>5083453</xdr:colOff>
      <xdr:row>1</xdr:row>
      <xdr:rowOff>43255</xdr:rowOff>
    </xdr:from>
    <xdr:to>
      <xdr:col>1</xdr:col>
      <xdr:colOff>6460067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8112403" y="43255"/>
          <a:ext cx="1376614" cy="1100666"/>
        </a:xfrm>
        <a:prstGeom prst="rect">
          <a:avLst/>
        </a:prstGeom>
        <a:noFill/>
        <a:ln>
          <a:noFill/>
        </a:ln>
      </xdr:spPr>
    </xdr:pic>
    <xdr:clientData/>
  </xdr:twoCellAnchor>
  <xdr:twoCellAnchor editAs="oneCell">
    <xdr:from>
      <xdr:col>6</xdr:col>
      <xdr:colOff>74855</xdr:colOff>
      <xdr:row>1</xdr:row>
      <xdr:rowOff>63502</xdr:rowOff>
    </xdr:from>
    <xdr:to>
      <xdr:col>10</xdr:col>
      <xdr:colOff>29633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4133755" y="63502"/>
          <a:ext cx="2012178" cy="1079500"/>
        </a:xfrm>
        <a:prstGeom prst="rect">
          <a:avLst/>
        </a:prstGeom>
        <a:noFill/>
        <a:ln>
          <a:noFill/>
        </a:ln>
      </xdr:spPr>
    </xdr:pic>
    <xdr:clientData/>
  </xdr:twoCellAnchor>
  <xdr:twoCellAnchor editAs="oneCell">
    <xdr:from>
      <xdr:col>18</xdr:col>
      <xdr:colOff>205210</xdr:colOff>
      <xdr:row>1</xdr:row>
      <xdr:rowOff>374649</xdr:rowOff>
    </xdr:from>
    <xdr:to>
      <xdr:col>23</xdr:col>
      <xdr:colOff>306148</xdr:colOff>
      <xdr:row>1</xdr:row>
      <xdr:rowOff>810434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0436310" y="3746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50" zoomScaleNormal="50" zoomScalePageLayoutView="30" workbookViewId="0">
      <pane xSplit="4" ySplit="2" topLeftCell="E331" activePane="bottomRight" state="frozen"/>
      <selection pane="topRight" activeCell="D1" sqref="D1"/>
      <selection pane="bottomLeft" activeCell="A3" sqref="A3"/>
      <selection pane="bottomRight" activeCell="O103" sqref="O103"/>
    </sheetView>
  </sheetViews>
  <sheetFormatPr defaultColWidth="9" defaultRowHeight="28.5" x14ac:dyDescent="0.85"/>
  <cols>
    <col min="1" max="1" width="6.3984375" style="404" customWidth="1"/>
    <col min="2" max="2" width="52.1328125" style="767" customWidth="1" collapsed="1"/>
    <col min="3" max="3" width="79.59765625" style="457" customWidth="1" collapsed="1"/>
    <col min="4" max="4" width="20.1328125" style="783" bestFit="1" customWidth="1" collapsed="1"/>
    <col min="5" max="5" width="116.1328125" style="458" customWidth="1" collapsed="1"/>
    <col min="6" max="6" width="86" style="459" customWidth="1" collapsed="1"/>
    <col min="7" max="35" width="9" style="817"/>
    <col min="36" max="139" width="9" style="817" collapsed="1"/>
    <col min="140" max="16384" width="9" style="404" collapsed="1"/>
  </cols>
  <sheetData>
    <row r="1" spans="2:139" ht="79.5" customHeight="1" x14ac:dyDescent="0.85">
      <c r="B1" s="1066" t="s">
        <v>98</v>
      </c>
      <c r="C1" s="1067"/>
      <c r="D1" s="1067"/>
      <c r="E1" s="1067"/>
      <c r="F1" s="823"/>
    </row>
    <row r="2" spans="2:139" s="405" customFormat="1" x14ac:dyDescent="0.85">
      <c r="B2" s="765" t="s">
        <v>36</v>
      </c>
      <c r="C2" s="406" t="s">
        <v>37</v>
      </c>
      <c r="D2" s="768" t="s">
        <v>130</v>
      </c>
      <c r="E2" s="407" t="s">
        <v>35</v>
      </c>
      <c r="F2" s="824" t="s">
        <v>119</v>
      </c>
      <c r="G2" s="826"/>
      <c r="H2" s="826"/>
      <c r="I2" s="826"/>
      <c r="J2" s="826"/>
      <c r="K2" s="826"/>
      <c r="L2" s="826"/>
      <c r="M2" s="826"/>
      <c r="N2" s="826"/>
      <c r="O2" s="826"/>
      <c r="P2" s="826"/>
      <c r="Q2" s="826"/>
      <c r="R2" s="826"/>
      <c r="S2" s="826"/>
      <c r="T2" s="826"/>
      <c r="U2" s="826"/>
      <c r="V2" s="826"/>
      <c r="W2" s="826"/>
      <c r="X2" s="826"/>
      <c r="Y2" s="826"/>
      <c r="Z2" s="826"/>
      <c r="AA2" s="826"/>
      <c r="AB2" s="826"/>
      <c r="AC2" s="826"/>
      <c r="AD2" s="826"/>
      <c r="AE2" s="826"/>
      <c r="AF2" s="826"/>
      <c r="AG2" s="826"/>
      <c r="AH2" s="826"/>
      <c r="AI2" s="826"/>
      <c r="AJ2" s="826"/>
      <c r="AK2" s="826"/>
      <c r="AL2" s="826"/>
      <c r="AM2" s="826"/>
      <c r="AN2" s="826"/>
      <c r="AO2" s="826"/>
      <c r="AP2" s="826"/>
      <c r="AQ2" s="826"/>
      <c r="AR2" s="826"/>
      <c r="AS2" s="826"/>
      <c r="AT2" s="826"/>
      <c r="AU2" s="826"/>
      <c r="AV2" s="826"/>
      <c r="AW2" s="826"/>
      <c r="AX2" s="826"/>
      <c r="AY2" s="826"/>
      <c r="AZ2" s="826"/>
      <c r="BA2" s="826"/>
      <c r="BB2" s="826"/>
      <c r="BC2" s="826"/>
      <c r="BD2" s="826"/>
      <c r="BE2" s="826"/>
      <c r="BF2" s="826"/>
      <c r="BG2" s="826"/>
      <c r="BH2" s="826"/>
      <c r="BI2" s="826"/>
      <c r="BJ2" s="826"/>
      <c r="BK2" s="826"/>
      <c r="BL2" s="826"/>
      <c r="BM2" s="826"/>
      <c r="BN2" s="826"/>
      <c r="BO2" s="826"/>
      <c r="BP2" s="826"/>
      <c r="BQ2" s="826"/>
      <c r="BR2" s="826"/>
      <c r="BS2" s="826"/>
      <c r="BT2" s="826"/>
      <c r="BU2" s="826"/>
      <c r="BV2" s="826"/>
      <c r="BW2" s="826"/>
      <c r="BX2" s="826"/>
      <c r="BY2" s="826"/>
      <c r="BZ2" s="826"/>
      <c r="CA2" s="826"/>
      <c r="CB2" s="826"/>
      <c r="CC2" s="826"/>
      <c r="CD2" s="826"/>
      <c r="CE2" s="826"/>
      <c r="CF2" s="826"/>
      <c r="CG2" s="826"/>
      <c r="CH2" s="826"/>
      <c r="CI2" s="826"/>
      <c r="CJ2" s="826"/>
      <c r="CK2" s="826"/>
      <c r="CL2" s="826"/>
      <c r="CM2" s="826"/>
      <c r="CN2" s="826"/>
      <c r="CO2" s="826"/>
      <c r="CP2" s="826"/>
      <c r="CQ2" s="826"/>
      <c r="CR2" s="826"/>
      <c r="CS2" s="826"/>
      <c r="CT2" s="826"/>
      <c r="CU2" s="826"/>
      <c r="CV2" s="826"/>
      <c r="CW2" s="826"/>
      <c r="CX2" s="826"/>
      <c r="CY2" s="826"/>
      <c r="CZ2" s="826"/>
      <c r="DA2" s="826"/>
      <c r="DB2" s="826"/>
      <c r="DC2" s="826"/>
      <c r="DD2" s="826"/>
      <c r="DE2" s="826"/>
      <c r="DF2" s="826"/>
      <c r="DG2" s="826"/>
      <c r="DH2" s="826"/>
      <c r="DI2" s="826"/>
      <c r="DJ2" s="826"/>
      <c r="DK2" s="826"/>
      <c r="DL2" s="826"/>
      <c r="DM2" s="826"/>
      <c r="DN2" s="826"/>
      <c r="DO2" s="826"/>
      <c r="DP2" s="826"/>
      <c r="DQ2" s="826"/>
      <c r="DR2" s="826"/>
      <c r="DS2" s="826"/>
      <c r="DT2" s="826"/>
      <c r="DU2" s="826"/>
      <c r="DV2" s="826"/>
      <c r="DW2" s="826"/>
      <c r="DX2" s="826"/>
      <c r="DY2" s="826"/>
      <c r="DZ2" s="826"/>
      <c r="EA2" s="826"/>
      <c r="EB2" s="826"/>
      <c r="EC2" s="826"/>
      <c r="ED2" s="826"/>
      <c r="EE2" s="826"/>
      <c r="EF2" s="826"/>
      <c r="EG2" s="826"/>
      <c r="EH2" s="826"/>
      <c r="EI2" s="826"/>
    </row>
    <row r="3" spans="2:139" s="405" customFormat="1" ht="7.5" customHeight="1" x14ac:dyDescent="0.85">
      <c r="B3" s="766"/>
      <c r="C3" s="408"/>
      <c r="D3" s="769"/>
      <c r="E3" s="409"/>
      <c r="F3" s="825"/>
      <c r="G3" s="826"/>
      <c r="H3" s="826"/>
      <c r="I3" s="826"/>
      <c r="J3" s="826"/>
      <c r="K3" s="826"/>
      <c r="L3" s="826"/>
      <c r="M3" s="826"/>
      <c r="N3" s="826"/>
      <c r="O3" s="826"/>
      <c r="P3" s="826"/>
      <c r="Q3" s="826"/>
      <c r="R3" s="826"/>
      <c r="S3" s="826"/>
      <c r="T3" s="826"/>
      <c r="U3" s="826"/>
      <c r="V3" s="826"/>
      <c r="W3" s="826"/>
      <c r="X3" s="826"/>
      <c r="Y3" s="826"/>
      <c r="Z3" s="826"/>
      <c r="AA3" s="826"/>
      <c r="AB3" s="826"/>
      <c r="AC3" s="826"/>
      <c r="AD3" s="826"/>
      <c r="AE3" s="826"/>
      <c r="AF3" s="826"/>
      <c r="AG3" s="826"/>
      <c r="AH3" s="826"/>
      <c r="AI3" s="826"/>
      <c r="AJ3" s="826"/>
      <c r="AK3" s="826"/>
      <c r="AL3" s="826"/>
      <c r="AM3" s="826"/>
      <c r="AN3" s="826"/>
      <c r="AO3" s="826"/>
      <c r="AP3" s="826"/>
      <c r="AQ3" s="826"/>
      <c r="AR3" s="826"/>
      <c r="AS3" s="826"/>
      <c r="AT3" s="826"/>
      <c r="AU3" s="826"/>
      <c r="AV3" s="826"/>
      <c r="AW3" s="826"/>
      <c r="AX3" s="826"/>
      <c r="AY3" s="826"/>
      <c r="AZ3" s="826"/>
      <c r="BA3" s="826"/>
      <c r="BB3" s="826"/>
      <c r="BC3" s="826"/>
      <c r="BD3" s="826"/>
      <c r="BE3" s="826"/>
      <c r="BF3" s="826"/>
      <c r="BG3" s="826"/>
      <c r="BH3" s="826"/>
      <c r="BI3" s="826"/>
      <c r="BJ3" s="826"/>
      <c r="BK3" s="826"/>
      <c r="BL3" s="826"/>
      <c r="BM3" s="826"/>
      <c r="BN3" s="826"/>
      <c r="BO3" s="826"/>
      <c r="BP3" s="826"/>
      <c r="BQ3" s="826"/>
      <c r="BR3" s="826"/>
      <c r="BS3" s="826"/>
      <c r="BT3" s="826"/>
      <c r="BU3" s="826"/>
      <c r="BV3" s="826"/>
      <c r="BW3" s="826"/>
      <c r="BX3" s="826"/>
      <c r="BY3" s="826"/>
      <c r="BZ3" s="826"/>
      <c r="CA3" s="826"/>
      <c r="CB3" s="826"/>
      <c r="CC3" s="826"/>
      <c r="CD3" s="826"/>
      <c r="CE3" s="826"/>
      <c r="CF3" s="826"/>
      <c r="CG3" s="826"/>
      <c r="CH3" s="826"/>
      <c r="CI3" s="826"/>
      <c r="CJ3" s="826"/>
      <c r="CK3" s="826"/>
      <c r="CL3" s="826"/>
      <c r="CM3" s="826"/>
      <c r="CN3" s="826"/>
      <c r="CO3" s="826"/>
      <c r="CP3" s="826"/>
      <c r="CQ3" s="826"/>
      <c r="CR3" s="826"/>
      <c r="CS3" s="826"/>
      <c r="CT3" s="826"/>
      <c r="CU3" s="826"/>
      <c r="CV3" s="826"/>
      <c r="CW3" s="826"/>
      <c r="CX3" s="826"/>
      <c r="CY3" s="826"/>
      <c r="CZ3" s="826"/>
      <c r="DA3" s="826"/>
      <c r="DB3" s="826"/>
      <c r="DC3" s="826"/>
      <c r="DD3" s="826"/>
      <c r="DE3" s="826"/>
      <c r="DF3" s="826"/>
      <c r="DG3" s="826"/>
      <c r="DH3" s="826"/>
      <c r="DI3" s="826"/>
      <c r="DJ3" s="826"/>
      <c r="DK3" s="826"/>
      <c r="DL3" s="826"/>
      <c r="DM3" s="826"/>
      <c r="DN3" s="826"/>
      <c r="DO3" s="826"/>
      <c r="DP3" s="826"/>
      <c r="DQ3" s="826"/>
      <c r="DR3" s="826"/>
      <c r="DS3" s="826"/>
      <c r="DT3" s="826"/>
      <c r="DU3" s="826"/>
      <c r="DV3" s="826"/>
      <c r="DW3" s="826"/>
      <c r="DX3" s="826"/>
      <c r="DY3" s="826"/>
      <c r="DZ3" s="826"/>
      <c r="EA3" s="826"/>
      <c r="EB3" s="826"/>
      <c r="EC3" s="826"/>
      <c r="ED3" s="826"/>
      <c r="EE3" s="826"/>
      <c r="EF3" s="826"/>
      <c r="EG3" s="826"/>
      <c r="EH3" s="826"/>
      <c r="EI3" s="826"/>
    </row>
    <row r="4" spans="2:139" s="405" customFormat="1" ht="28.9" hidden="1" thickBot="1" x14ac:dyDescent="0.9">
      <c r="B4" s="1072" t="s">
        <v>444</v>
      </c>
      <c r="C4" s="1073"/>
      <c r="D4" s="1073"/>
      <c r="E4" s="1073"/>
      <c r="F4" s="1074"/>
      <c r="G4" s="826"/>
      <c r="H4" s="826"/>
      <c r="I4" s="826"/>
      <c r="J4" s="826"/>
      <c r="K4" s="826"/>
      <c r="L4" s="826"/>
      <c r="M4" s="826"/>
      <c r="N4" s="826"/>
      <c r="O4" s="826"/>
      <c r="P4" s="826"/>
      <c r="Q4" s="826"/>
      <c r="R4" s="826"/>
      <c r="S4" s="826"/>
      <c r="T4" s="826"/>
      <c r="U4" s="826"/>
      <c r="V4" s="826"/>
      <c r="W4" s="826"/>
      <c r="X4" s="826"/>
      <c r="Y4" s="826"/>
      <c r="Z4" s="826"/>
      <c r="AA4" s="826"/>
      <c r="AB4" s="826"/>
      <c r="AC4" s="826"/>
      <c r="AD4" s="826"/>
      <c r="AE4" s="826"/>
      <c r="AF4" s="826"/>
      <c r="AG4" s="826"/>
      <c r="AH4" s="826"/>
      <c r="AI4" s="826"/>
      <c r="AJ4" s="826"/>
      <c r="AK4" s="826"/>
      <c r="AL4" s="826"/>
      <c r="AM4" s="826"/>
      <c r="AN4" s="826"/>
      <c r="AO4" s="826"/>
      <c r="AP4" s="826"/>
      <c r="AQ4" s="826"/>
      <c r="AR4" s="826"/>
      <c r="AS4" s="826"/>
      <c r="AT4" s="826"/>
      <c r="AU4" s="826"/>
      <c r="AV4" s="826"/>
      <c r="AW4" s="826"/>
      <c r="AX4" s="826"/>
      <c r="AY4" s="826"/>
      <c r="AZ4" s="826"/>
      <c r="BA4" s="826"/>
      <c r="BB4" s="826"/>
      <c r="BC4" s="826"/>
      <c r="BD4" s="826"/>
      <c r="BE4" s="826"/>
      <c r="BF4" s="826"/>
      <c r="BG4" s="826"/>
      <c r="BH4" s="826"/>
      <c r="BI4" s="826"/>
      <c r="BJ4" s="826"/>
      <c r="BK4" s="826"/>
      <c r="BL4" s="826"/>
      <c r="BM4" s="826"/>
      <c r="BN4" s="826"/>
      <c r="BO4" s="826"/>
      <c r="BP4" s="826"/>
      <c r="BQ4" s="826"/>
      <c r="BR4" s="826"/>
      <c r="BS4" s="826"/>
      <c r="BT4" s="826"/>
      <c r="BU4" s="826"/>
      <c r="BV4" s="826"/>
      <c r="BW4" s="826"/>
      <c r="BX4" s="826"/>
      <c r="BY4" s="826"/>
      <c r="BZ4" s="826"/>
      <c r="CA4" s="826"/>
      <c r="CB4" s="826"/>
      <c r="CC4" s="826"/>
      <c r="CD4" s="826"/>
      <c r="CE4" s="826"/>
      <c r="CF4" s="826"/>
      <c r="CG4" s="826"/>
      <c r="CH4" s="826"/>
      <c r="CI4" s="826"/>
      <c r="CJ4" s="826"/>
      <c r="CK4" s="826"/>
      <c r="CL4" s="826"/>
      <c r="CM4" s="826"/>
      <c r="CN4" s="826"/>
      <c r="CO4" s="826"/>
      <c r="CP4" s="826"/>
      <c r="CQ4" s="826"/>
      <c r="CR4" s="826"/>
      <c r="CS4" s="826"/>
      <c r="CT4" s="826"/>
      <c r="CU4" s="826"/>
      <c r="CV4" s="826"/>
      <c r="CW4" s="826"/>
      <c r="CX4" s="826"/>
      <c r="CY4" s="826"/>
      <c r="CZ4" s="826"/>
      <c r="DA4" s="826"/>
      <c r="DB4" s="826"/>
      <c r="DC4" s="826"/>
      <c r="DD4" s="826"/>
      <c r="DE4" s="826"/>
      <c r="DF4" s="826"/>
      <c r="DG4" s="826"/>
      <c r="DH4" s="826"/>
      <c r="DI4" s="826"/>
      <c r="DJ4" s="826"/>
      <c r="DK4" s="826"/>
      <c r="DL4" s="826"/>
      <c r="DM4" s="826"/>
      <c r="DN4" s="826"/>
      <c r="DO4" s="826"/>
      <c r="DP4" s="826"/>
      <c r="DQ4" s="826"/>
      <c r="DR4" s="826"/>
      <c r="DS4" s="826"/>
      <c r="DT4" s="826"/>
      <c r="DU4" s="826"/>
      <c r="DV4" s="826"/>
      <c r="DW4" s="826"/>
      <c r="DX4" s="826"/>
      <c r="DY4" s="826"/>
      <c r="DZ4" s="826"/>
      <c r="EA4" s="826"/>
      <c r="EB4" s="826"/>
      <c r="EC4" s="826"/>
      <c r="ED4" s="826"/>
      <c r="EE4" s="826"/>
      <c r="EF4" s="826"/>
      <c r="EG4" s="826"/>
      <c r="EH4" s="826"/>
      <c r="EI4" s="826"/>
    </row>
    <row r="5" spans="2:139" hidden="1" x14ac:dyDescent="0.85">
      <c r="B5" s="1043" t="s">
        <v>794</v>
      </c>
      <c r="C5" s="410" t="s">
        <v>673</v>
      </c>
      <c r="D5" s="770" t="s">
        <v>446</v>
      </c>
      <c r="E5" s="411" t="s">
        <v>674</v>
      </c>
      <c r="F5" s="836" t="s">
        <v>913</v>
      </c>
    </row>
    <row r="6" spans="2:139" ht="57" hidden="1" x14ac:dyDescent="0.85">
      <c r="B6" s="1044"/>
      <c r="C6" s="412" t="s">
        <v>676</v>
      </c>
      <c r="D6" s="771" t="s">
        <v>447</v>
      </c>
      <c r="E6" s="413" t="s">
        <v>677</v>
      </c>
      <c r="F6" s="837" t="s">
        <v>678</v>
      </c>
    </row>
    <row r="7" spans="2:139" ht="57.4" hidden="1" thickBot="1" x14ac:dyDescent="0.9">
      <c r="B7" s="1045"/>
      <c r="C7" s="414" t="s">
        <v>679</v>
      </c>
      <c r="D7" s="772" t="s">
        <v>448</v>
      </c>
      <c r="E7" s="415" t="s">
        <v>680</v>
      </c>
      <c r="F7" s="838" t="s">
        <v>678</v>
      </c>
    </row>
    <row r="8" spans="2:139" s="416" customFormat="1" hidden="1" x14ac:dyDescent="0.85">
      <c r="B8" s="1043" t="s">
        <v>795</v>
      </c>
      <c r="C8" s="417" t="s">
        <v>804</v>
      </c>
      <c r="D8" s="773" t="s">
        <v>797</v>
      </c>
      <c r="E8" s="418" t="s">
        <v>674</v>
      </c>
      <c r="F8" s="839" t="s">
        <v>913</v>
      </c>
      <c r="G8" s="827"/>
      <c r="H8" s="827"/>
      <c r="I8" s="827"/>
      <c r="J8" s="827"/>
      <c r="K8" s="827"/>
      <c r="L8" s="827"/>
      <c r="M8" s="827"/>
      <c r="N8" s="827"/>
      <c r="O8" s="827"/>
      <c r="P8" s="827"/>
      <c r="Q8" s="827"/>
      <c r="R8" s="827"/>
      <c r="S8" s="827"/>
      <c r="T8" s="827"/>
      <c r="U8" s="827"/>
      <c r="V8" s="827"/>
      <c r="W8" s="827"/>
      <c r="X8" s="827"/>
      <c r="Y8" s="827"/>
      <c r="Z8" s="827"/>
      <c r="AA8" s="827"/>
      <c r="AB8" s="827"/>
      <c r="AC8" s="827"/>
      <c r="AD8" s="827"/>
      <c r="AE8" s="827"/>
      <c r="AF8" s="827"/>
      <c r="AG8" s="827"/>
      <c r="AH8" s="827"/>
      <c r="AI8" s="827"/>
      <c r="AJ8" s="827"/>
      <c r="AK8" s="827"/>
      <c r="AL8" s="827"/>
      <c r="AM8" s="827"/>
      <c r="AN8" s="827"/>
      <c r="AO8" s="827"/>
      <c r="AP8" s="827"/>
      <c r="AQ8" s="827"/>
      <c r="AR8" s="827"/>
      <c r="AS8" s="827"/>
      <c r="AT8" s="827"/>
      <c r="AU8" s="827"/>
      <c r="AV8" s="827"/>
      <c r="AW8" s="827"/>
      <c r="AX8" s="827"/>
      <c r="AY8" s="827"/>
      <c r="AZ8" s="827"/>
      <c r="BA8" s="827"/>
      <c r="BB8" s="827"/>
      <c r="BC8" s="827"/>
      <c r="BD8" s="827"/>
      <c r="BE8" s="827"/>
      <c r="BF8" s="827"/>
      <c r="BG8" s="827"/>
      <c r="BH8" s="827"/>
      <c r="BI8" s="827"/>
      <c r="BJ8" s="827"/>
      <c r="BK8" s="827"/>
      <c r="BL8" s="827"/>
      <c r="BM8" s="827"/>
      <c r="BN8" s="827"/>
      <c r="BO8" s="827"/>
      <c r="BP8" s="827"/>
      <c r="BQ8" s="827"/>
      <c r="BR8" s="827"/>
      <c r="BS8" s="827"/>
      <c r="BT8" s="827"/>
      <c r="BU8" s="827"/>
      <c r="BV8" s="827"/>
      <c r="BW8" s="827"/>
      <c r="BX8" s="827"/>
      <c r="BY8" s="827"/>
      <c r="BZ8" s="827"/>
      <c r="CA8" s="827"/>
      <c r="CB8" s="827"/>
      <c r="CC8" s="827"/>
      <c r="CD8" s="827"/>
      <c r="CE8" s="827"/>
      <c r="CF8" s="827"/>
      <c r="CG8" s="827"/>
      <c r="CH8" s="827"/>
      <c r="CI8" s="827"/>
      <c r="CJ8" s="827"/>
      <c r="CK8" s="827"/>
      <c r="CL8" s="827"/>
      <c r="CM8" s="827"/>
      <c r="CN8" s="827"/>
      <c r="CO8" s="827"/>
      <c r="CP8" s="827"/>
      <c r="CQ8" s="827"/>
      <c r="CR8" s="827"/>
      <c r="CS8" s="827"/>
      <c r="CT8" s="827"/>
      <c r="CU8" s="827"/>
      <c r="CV8" s="827"/>
      <c r="CW8" s="827"/>
      <c r="CX8" s="827"/>
      <c r="CY8" s="827"/>
      <c r="CZ8" s="827"/>
      <c r="DA8" s="827"/>
      <c r="DB8" s="827"/>
      <c r="DC8" s="827"/>
      <c r="DD8" s="827"/>
      <c r="DE8" s="827"/>
      <c r="DF8" s="827"/>
      <c r="DG8" s="827"/>
      <c r="DH8" s="827"/>
      <c r="DI8" s="827"/>
      <c r="DJ8" s="827"/>
      <c r="DK8" s="827"/>
      <c r="DL8" s="827"/>
      <c r="DM8" s="827"/>
      <c r="DN8" s="827"/>
      <c r="DO8" s="827"/>
      <c r="DP8" s="827"/>
      <c r="DQ8" s="827"/>
      <c r="DR8" s="827"/>
      <c r="DS8" s="827"/>
      <c r="DT8" s="827"/>
      <c r="DU8" s="827"/>
      <c r="DV8" s="827"/>
      <c r="DW8" s="827"/>
      <c r="DX8" s="827"/>
      <c r="DY8" s="827"/>
      <c r="DZ8" s="827"/>
      <c r="EA8" s="827"/>
      <c r="EB8" s="827"/>
      <c r="EC8" s="827"/>
      <c r="ED8" s="827"/>
      <c r="EE8" s="827"/>
      <c r="EF8" s="827"/>
      <c r="EG8" s="827"/>
      <c r="EH8" s="827"/>
      <c r="EI8" s="827"/>
    </row>
    <row r="9" spans="2:139" s="416" customFormat="1" ht="57" hidden="1" x14ac:dyDescent="0.85">
      <c r="B9" s="1044"/>
      <c r="C9" s="412" t="s">
        <v>611</v>
      </c>
      <c r="D9" s="771" t="s">
        <v>798</v>
      </c>
      <c r="E9" s="419" t="s">
        <v>677</v>
      </c>
      <c r="F9" s="840" t="s">
        <v>678</v>
      </c>
      <c r="G9" s="827"/>
      <c r="H9" s="827"/>
      <c r="I9" s="827"/>
      <c r="J9" s="827"/>
      <c r="K9" s="827"/>
      <c r="L9" s="827"/>
      <c r="M9" s="827"/>
      <c r="N9" s="827"/>
      <c r="O9" s="827"/>
      <c r="P9" s="827"/>
      <c r="Q9" s="827"/>
      <c r="R9" s="827"/>
      <c r="S9" s="827"/>
      <c r="T9" s="827"/>
      <c r="U9" s="827"/>
      <c r="V9" s="827"/>
      <c r="W9" s="827"/>
      <c r="X9" s="827"/>
      <c r="Y9" s="827"/>
      <c r="Z9" s="827"/>
      <c r="AA9" s="827"/>
      <c r="AB9" s="827"/>
      <c r="AC9" s="827"/>
      <c r="AD9" s="827"/>
      <c r="AE9" s="827"/>
      <c r="AF9" s="827"/>
      <c r="AG9" s="827"/>
      <c r="AH9" s="827"/>
      <c r="AI9" s="827"/>
      <c r="AJ9" s="827"/>
      <c r="AK9" s="827"/>
      <c r="AL9" s="827"/>
      <c r="AM9" s="827"/>
      <c r="AN9" s="827"/>
      <c r="AO9" s="827"/>
      <c r="AP9" s="827"/>
      <c r="AQ9" s="827"/>
      <c r="AR9" s="827"/>
      <c r="AS9" s="827"/>
      <c r="AT9" s="827"/>
      <c r="AU9" s="827"/>
      <c r="AV9" s="827"/>
      <c r="AW9" s="827"/>
      <c r="AX9" s="827"/>
      <c r="AY9" s="827"/>
      <c r="AZ9" s="827"/>
      <c r="BA9" s="827"/>
      <c r="BB9" s="827"/>
      <c r="BC9" s="827"/>
      <c r="BD9" s="827"/>
      <c r="BE9" s="827"/>
      <c r="BF9" s="827"/>
      <c r="BG9" s="827"/>
      <c r="BH9" s="827"/>
      <c r="BI9" s="827"/>
      <c r="BJ9" s="827"/>
      <c r="BK9" s="827"/>
      <c r="BL9" s="827"/>
      <c r="BM9" s="827"/>
      <c r="BN9" s="827"/>
      <c r="BO9" s="827"/>
      <c r="BP9" s="827"/>
      <c r="BQ9" s="827"/>
      <c r="BR9" s="827"/>
      <c r="BS9" s="827"/>
      <c r="BT9" s="827"/>
      <c r="BU9" s="827"/>
      <c r="BV9" s="827"/>
      <c r="BW9" s="827"/>
      <c r="BX9" s="827"/>
      <c r="BY9" s="827"/>
      <c r="BZ9" s="827"/>
      <c r="CA9" s="827"/>
      <c r="CB9" s="827"/>
      <c r="CC9" s="827"/>
      <c r="CD9" s="827"/>
      <c r="CE9" s="827"/>
      <c r="CF9" s="827"/>
      <c r="CG9" s="827"/>
      <c r="CH9" s="827"/>
      <c r="CI9" s="827"/>
      <c r="CJ9" s="827"/>
      <c r="CK9" s="827"/>
      <c r="CL9" s="827"/>
      <c r="CM9" s="827"/>
      <c r="CN9" s="827"/>
      <c r="CO9" s="827"/>
      <c r="CP9" s="827"/>
      <c r="CQ9" s="827"/>
      <c r="CR9" s="827"/>
      <c r="CS9" s="827"/>
      <c r="CT9" s="827"/>
      <c r="CU9" s="827"/>
      <c r="CV9" s="827"/>
      <c r="CW9" s="827"/>
      <c r="CX9" s="827"/>
      <c r="CY9" s="827"/>
      <c r="CZ9" s="827"/>
      <c r="DA9" s="827"/>
      <c r="DB9" s="827"/>
      <c r="DC9" s="827"/>
      <c r="DD9" s="827"/>
      <c r="DE9" s="827"/>
      <c r="DF9" s="827"/>
      <c r="DG9" s="827"/>
      <c r="DH9" s="827"/>
      <c r="DI9" s="827"/>
      <c r="DJ9" s="827"/>
      <c r="DK9" s="827"/>
      <c r="DL9" s="827"/>
      <c r="DM9" s="827"/>
      <c r="DN9" s="827"/>
      <c r="DO9" s="827"/>
      <c r="DP9" s="827"/>
      <c r="DQ9" s="827"/>
      <c r="DR9" s="827"/>
      <c r="DS9" s="827"/>
      <c r="DT9" s="827"/>
      <c r="DU9" s="827"/>
      <c r="DV9" s="827"/>
      <c r="DW9" s="827"/>
      <c r="DX9" s="827"/>
      <c r="DY9" s="827"/>
      <c r="DZ9" s="827"/>
      <c r="EA9" s="827"/>
      <c r="EB9" s="827"/>
      <c r="EC9" s="827"/>
      <c r="ED9" s="827"/>
      <c r="EE9" s="827"/>
      <c r="EF9" s="827"/>
      <c r="EG9" s="827"/>
      <c r="EH9" s="827"/>
      <c r="EI9" s="827"/>
    </row>
    <row r="10" spans="2:139" s="416" customFormat="1" ht="57.4" hidden="1" thickBot="1" x14ac:dyDescent="0.9">
      <c r="B10" s="1045"/>
      <c r="C10" s="414" t="s">
        <v>445</v>
      </c>
      <c r="D10" s="772" t="s">
        <v>799</v>
      </c>
      <c r="E10" s="420" t="s">
        <v>680</v>
      </c>
      <c r="F10" s="841" t="s">
        <v>678</v>
      </c>
      <c r="G10" s="827"/>
      <c r="H10" s="827"/>
      <c r="I10" s="827"/>
      <c r="J10" s="827"/>
      <c r="K10" s="827"/>
      <c r="L10" s="827"/>
      <c r="M10" s="827"/>
      <c r="N10" s="827"/>
      <c r="O10" s="827"/>
      <c r="P10" s="827"/>
      <c r="Q10" s="827"/>
      <c r="R10" s="827"/>
      <c r="S10" s="827"/>
      <c r="T10" s="827"/>
      <c r="U10" s="827"/>
      <c r="V10" s="827"/>
      <c r="W10" s="827"/>
      <c r="X10" s="827"/>
      <c r="Y10" s="827"/>
      <c r="Z10" s="827"/>
      <c r="AA10" s="827"/>
      <c r="AB10" s="827"/>
      <c r="AC10" s="827"/>
      <c r="AD10" s="827"/>
      <c r="AE10" s="827"/>
      <c r="AF10" s="827"/>
      <c r="AG10" s="827"/>
      <c r="AH10" s="827"/>
      <c r="AI10" s="827"/>
      <c r="AJ10" s="827"/>
      <c r="AK10" s="827"/>
      <c r="AL10" s="827"/>
      <c r="AM10" s="827"/>
      <c r="AN10" s="827"/>
      <c r="AO10" s="827"/>
      <c r="AP10" s="827"/>
      <c r="AQ10" s="827"/>
      <c r="AR10" s="827"/>
      <c r="AS10" s="827"/>
      <c r="AT10" s="827"/>
      <c r="AU10" s="827"/>
      <c r="AV10" s="827"/>
      <c r="AW10" s="827"/>
      <c r="AX10" s="827"/>
      <c r="AY10" s="827"/>
      <c r="AZ10" s="827"/>
      <c r="BA10" s="827"/>
      <c r="BB10" s="827"/>
      <c r="BC10" s="827"/>
      <c r="BD10" s="827"/>
      <c r="BE10" s="827"/>
      <c r="BF10" s="827"/>
      <c r="BG10" s="827"/>
      <c r="BH10" s="827"/>
      <c r="BI10" s="827"/>
      <c r="BJ10" s="827"/>
      <c r="BK10" s="827"/>
      <c r="BL10" s="827"/>
      <c r="BM10" s="827"/>
      <c r="BN10" s="827"/>
      <c r="BO10" s="827"/>
      <c r="BP10" s="827"/>
      <c r="BQ10" s="827"/>
      <c r="BR10" s="827"/>
      <c r="BS10" s="827"/>
      <c r="BT10" s="827"/>
      <c r="BU10" s="827"/>
      <c r="BV10" s="827"/>
      <c r="BW10" s="827"/>
      <c r="BX10" s="827"/>
      <c r="BY10" s="827"/>
      <c r="BZ10" s="827"/>
      <c r="CA10" s="827"/>
      <c r="CB10" s="827"/>
      <c r="CC10" s="827"/>
      <c r="CD10" s="827"/>
      <c r="CE10" s="827"/>
      <c r="CF10" s="827"/>
      <c r="CG10" s="827"/>
      <c r="CH10" s="827"/>
      <c r="CI10" s="827"/>
      <c r="CJ10" s="827"/>
      <c r="CK10" s="827"/>
      <c r="CL10" s="827"/>
      <c r="CM10" s="827"/>
      <c r="CN10" s="827"/>
      <c r="CO10" s="827"/>
      <c r="CP10" s="827"/>
      <c r="CQ10" s="827"/>
      <c r="CR10" s="827"/>
      <c r="CS10" s="827"/>
      <c r="CT10" s="827"/>
      <c r="CU10" s="827"/>
      <c r="CV10" s="827"/>
      <c r="CW10" s="827"/>
      <c r="CX10" s="827"/>
      <c r="CY10" s="827"/>
      <c r="CZ10" s="827"/>
      <c r="DA10" s="827"/>
      <c r="DB10" s="827"/>
      <c r="DC10" s="827"/>
      <c r="DD10" s="827"/>
      <c r="DE10" s="827"/>
      <c r="DF10" s="827"/>
      <c r="DG10" s="827"/>
      <c r="DH10" s="827"/>
      <c r="DI10" s="827"/>
      <c r="DJ10" s="827"/>
      <c r="DK10" s="827"/>
      <c r="DL10" s="827"/>
      <c r="DM10" s="827"/>
      <c r="DN10" s="827"/>
      <c r="DO10" s="827"/>
      <c r="DP10" s="827"/>
      <c r="DQ10" s="827"/>
      <c r="DR10" s="827"/>
      <c r="DS10" s="827"/>
      <c r="DT10" s="827"/>
      <c r="DU10" s="827"/>
      <c r="DV10" s="827"/>
      <c r="DW10" s="827"/>
      <c r="DX10" s="827"/>
      <c r="DY10" s="827"/>
      <c r="DZ10" s="827"/>
      <c r="EA10" s="827"/>
      <c r="EB10" s="827"/>
      <c r="EC10" s="827"/>
      <c r="ED10" s="827"/>
      <c r="EE10" s="827"/>
      <c r="EF10" s="827"/>
      <c r="EG10" s="827"/>
      <c r="EH10" s="827"/>
      <c r="EI10" s="827"/>
    </row>
    <row r="11" spans="2:139" s="416" customFormat="1" hidden="1" x14ac:dyDescent="0.85">
      <c r="B11" s="1075" t="s">
        <v>796</v>
      </c>
      <c r="C11" s="421" t="s">
        <v>805</v>
      </c>
      <c r="D11" s="773" t="s">
        <v>801</v>
      </c>
      <c r="E11" s="418" t="s">
        <v>674</v>
      </c>
      <c r="F11" s="839" t="s">
        <v>675</v>
      </c>
      <c r="G11" s="827"/>
      <c r="H11" s="827"/>
      <c r="I11" s="827"/>
      <c r="J11" s="827"/>
      <c r="K11" s="827"/>
      <c r="L11" s="827"/>
      <c r="M11" s="827"/>
      <c r="N11" s="827"/>
      <c r="O11" s="827"/>
      <c r="P11" s="827"/>
      <c r="Q11" s="827"/>
      <c r="R11" s="827"/>
      <c r="S11" s="827"/>
      <c r="T11" s="827"/>
      <c r="U11" s="827"/>
      <c r="V11" s="827"/>
      <c r="W11" s="827"/>
      <c r="X11" s="827"/>
      <c r="Y11" s="827"/>
      <c r="Z11" s="827"/>
      <c r="AA11" s="827"/>
      <c r="AB11" s="827"/>
      <c r="AC11" s="827"/>
      <c r="AD11" s="827"/>
      <c r="AE11" s="827"/>
      <c r="AF11" s="827"/>
      <c r="AG11" s="827"/>
      <c r="AH11" s="827"/>
      <c r="AI11" s="827"/>
      <c r="AJ11" s="827"/>
      <c r="AK11" s="827"/>
      <c r="AL11" s="827"/>
      <c r="AM11" s="827"/>
      <c r="AN11" s="827"/>
      <c r="AO11" s="827"/>
      <c r="AP11" s="827"/>
      <c r="AQ11" s="827"/>
      <c r="AR11" s="827"/>
      <c r="AS11" s="827"/>
      <c r="AT11" s="827"/>
      <c r="AU11" s="827"/>
      <c r="AV11" s="827"/>
      <c r="AW11" s="827"/>
      <c r="AX11" s="827"/>
      <c r="AY11" s="827"/>
      <c r="AZ11" s="827"/>
      <c r="BA11" s="827"/>
      <c r="BB11" s="827"/>
      <c r="BC11" s="827"/>
      <c r="BD11" s="827"/>
      <c r="BE11" s="827"/>
      <c r="BF11" s="827"/>
      <c r="BG11" s="827"/>
      <c r="BH11" s="827"/>
      <c r="BI11" s="827"/>
      <c r="BJ11" s="827"/>
      <c r="BK11" s="827"/>
      <c r="BL11" s="827"/>
      <c r="BM11" s="827"/>
      <c r="BN11" s="827"/>
      <c r="BO11" s="827"/>
      <c r="BP11" s="827"/>
      <c r="BQ11" s="827"/>
      <c r="BR11" s="827"/>
      <c r="BS11" s="827"/>
      <c r="BT11" s="827"/>
      <c r="BU11" s="827"/>
      <c r="BV11" s="827"/>
      <c r="BW11" s="827"/>
      <c r="BX11" s="827"/>
      <c r="BY11" s="827"/>
      <c r="BZ11" s="827"/>
      <c r="CA11" s="827"/>
      <c r="CB11" s="827"/>
      <c r="CC11" s="827"/>
      <c r="CD11" s="827"/>
      <c r="CE11" s="827"/>
      <c r="CF11" s="827"/>
      <c r="CG11" s="827"/>
      <c r="CH11" s="827"/>
      <c r="CI11" s="827"/>
      <c r="CJ11" s="827"/>
      <c r="CK11" s="827"/>
      <c r="CL11" s="827"/>
      <c r="CM11" s="827"/>
      <c r="CN11" s="827"/>
      <c r="CO11" s="827"/>
      <c r="CP11" s="827"/>
      <c r="CQ11" s="827"/>
      <c r="CR11" s="827"/>
      <c r="CS11" s="827"/>
      <c r="CT11" s="827"/>
      <c r="CU11" s="827"/>
      <c r="CV11" s="827"/>
      <c r="CW11" s="827"/>
      <c r="CX11" s="827"/>
      <c r="CY11" s="827"/>
      <c r="CZ11" s="827"/>
      <c r="DA11" s="827"/>
      <c r="DB11" s="827"/>
      <c r="DC11" s="827"/>
      <c r="DD11" s="827"/>
      <c r="DE11" s="827"/>
      <c r="DF11" s="827"/>
      <c r="DG11" s="827"/>
      <c r="DH11" s="827"/>
      <c r="DI11" s="827"/>
      <c r="DJ11" s="827"/>
      <c r="DK11" s="827"/>
      <c r="DL11" s="827"/>
      <c r="DM11" s="827"/>
      <c r="DN11" s="827"/>
      <c r="DO11" s="827"/>
      <c r="DP11" s="827"/>
      <c r="DQ11" s="827"/>
      <c r="DR11" s="827"/>
      <c r="DS11" s="827"/>
      <c r="DT11" s="827"/>
      <c r="DU11" s="827"/>
      <c r="DV11" s="827"/>
      <c r="DW11" s="827"/>
      <c r="DX11" s="827"/>
      <c r="DY11" s="827"/>
      <c r="DZ11" s="827"/>
      <c r="EA11" s="827"/>
      <c r="EB11" s="827"/>
      <c r="EC11" s="827"/>
      <c r="ED11" s="827"/>
      <c r="EE11" s="827"/>
      <c r="EF11" s="827"/>
      <c r="EG11" s="827"/>
      <c r="EH11" s="827"/>
      <c r="EI11" s="827"/>
    </row>
    <row r="12" spans="2:139" s="416" customFormat="1" ht="57" hidden="1" x14ac:dyDescent="0.85">
      <c r="B12" s="1076"/>
      <c r="C12" s="482" t="s">
        <v>611</v>
      </c>
      <c r="D12" s="771" t="s">
        <v>802</v>
      </c>
      <c r="E12" s="419" t="s">
        <v>677</v>
      </c>
      <c r="F12" s="840" t="s">
        <v>678</v>
      </c>
      <c r="G12" s="827"/>
      <c r="H12" s="827"/>
      <c r="I12" s="827"/>
      <c r="J12" s="827"/>
      <c r="K12" s="827"/>
      <c r="L12" s="827"/>
      <c r="M12" s="827"/>
      <c r="N12" s="827"/>
      <c r="O12" s="827"/>
      <c r="P12" s="827"/>
      <c r="Q12" s="827"/>
      <c r="R12" s="827"/>
      <c r="S12" s="827"/>
      <c r="T12" s="827"/>
      <c r="U12" s="827"/>
      <c r="V12" s="827"/>
      <c r="W12" s="827"/>
      <c r="X12" s="827"/>
      <c r="Y12" s="827"/>
      <c r="Z12" s="827"/>
      <c r="AA12" s="827"/>
      <c r="AB12" s="827"/>
      <c r="AC12" s="827"/>
      <c r="AD12" s="827"/>
      <c r="AE12" s="827"/>
      <c r="AF12" s="827"/>
      <c r="AG12" s="827"/>
      <c r="AH12" s="827"/>
      <c r="AI12" s="827"/>
      <c r="AJ12" s="827"/>
      <c r="AK12" s="827"/>
      <c r="AL12" s="827"/>
      <c r="AM12" s="827"/>
      <c r="AN12" s="827"/>
      <c r="AO12" s="827"/>
      <c r="AP12" s="827"/>
      <c r="AQ12" s="827"/>
      <c r="AR12" s="827"/>
      <c r="AS12" s="827"/>
      <c r="AT12" s="827"/>
      <c r="AU12" s="827"/>
      <c r="AV12" s="827"/>
      <c r="AW12" s="827"/>
      <c r="AX12" s="827"/>
      <c r="AY12" s="827"/>
      <c r="AZ12" s="827"/>
      <c r="BA12" s="827"/>
      <c r="BB12" s="827"/>
      <c r="BC12" s="827"/>
      <c r="BD12" s="827"/>
      <c r="BE12" s="827"/>
      <c r="BF12" s="827"/>
      <c r="BG12" s="827"/>
      <c r="BH12" s="827"/>
      <c r="BI12" s="827"/>
      <c r="BJ12" s="827"/>
      <c r="BK12" s="827"/>
      <c r="BL12" s="827"/>
      <c r="BM12" s="827"/>
      <c r="BN12" s="827"/>
      <c r="BO12" s="827"/>
      <c r="BP12" s="827"/>
      <c r="BQ12" s="827"/>
      <c r="BR12" s="827"/>
      <c r="BS12" s="827"/>
      <c r="BT12" s="827"/>
      <c r="BU12" s="827"/>
      <c r="BV12" s="827"/>
      <c r="BW12" s="827"/>
      <c r="BX12" s="827"/>
      <c r="BY12" s="827"/>
      <c r="BZ12" s="827"/>
      <c r="CA12" s="827"/>
      <c r="CB12" s="827"/>
      <c r="CC12" s="827"/>
      <c r="CD12" s="827"/>
      <c r="CE12" s="827"/>
      <c r="CF12" s="827"/>
      <c r="CG12" s="827"/>
      <c r="CH12" s="827"/>
      <c r="CI12" s="827"/>
      <c r="CJ12" s="827"/>
      <c r="CK12" s="827"/>
      <c r="CL12" s="827"/>
      <c r="CM12" s="827"/>
      <c r="CN12" s="827"/>
      <c r="CO12" s="827"/>
      <c r="CP12" s="827"/>
      <c r="CQ12" s="827"/>
      <c r="CR12" s="827"/>
      <c r="CS12" s="827"/>
      <c r="CT12" s="827"/>
      <c r="CU12" s="827"/>
      <c r="CV12" s="827"/>
      <c r="CW12" s="827"/>
      <c r="CX12" s="827"/>
      <c r="CY12" s="827"/>
      <c r="CZ12" s="827"/>
      <c r="DA12" s="827"/>
      <c r="DB12" s="827"/>
      <c r="DC12" s="827"/>
      <c r="DD12" s="827"/>
      <c r="DE12" s="827"/>
      <c r="DF12" s="827"/>
      <c r="DG12" s="827"/>
      <c r="DH12" s="827"/>
      <c r="DI12" s="827"/>
      <c r="DJ12" s="827"/>
      <c r="DK12" s="827"/>
      <c r="DL12" s="827"/>
      <c r="DM12" s="827"/>
      <c r="DN12" s="827"/>
      <c r="DO12" s="827"/>
      <c r="DP12" s="827"/>
      <c r="DQ12" s="827"/>
      <c r="DR12" s="827"/>
      <c r="DS12" s="827"/>
      <c r="DT12" s="827"/>
      <c r="DU12" s="827"/>
      <c r="DV12" s="827"/>
      <c r="DW12" s="827"/>
      <c r="DX12" s="827"/>
      <c r="DY12" s="827"/>
      <c r="DZ12" s="827"/>
      <c r="EA12" s="827"/>
      <c r="EB12" s="827"/>
      <c r="EC12" s="827"/>
      <c r="ED12" s="827"/>
      <c r="EE12" s="827"/>
      <c r="EF12" s="827"/>
      <c r="EG12" s="827"/>
      <c r="EH12" s="827"/>
      <c r="EI12" s="827"/>
    </row>
    <row r="13" spans="2:139" s="416" customFormat="1" ht="57.4" hidden="1" thickBot="1" x14ac:dyDescent="0.9">
      <c r="B13" s="1077"/>
      <c r="C13" s="422" t="s">
        <v>445</v>
      </c>
      <c r="D13" s="772" t="s">
        <v>803</v>
      </c>
      <c r="E13" s="420" t="s">
        <v>680</v>
      </c>
      <c r="F13" s="841" t="s">
        <v>678</v>
      </c>
      <c r="G13" s="827"/>
      <c r="H13" s="827"/>
      <c r="I13" s="827"/>
      <c r="J13" s="827"/>
      <c r="K13" s="827"/>
      <c r="L13" s="827"/>
      <c r="M13" s="827"/>
      <c r="N13" s="827"/>
      <c r="O13" s="827"/>
      <c r="P13" s="827"/>
      <c r="Q13" s="827"/>
      <c r="R13" s="827"/>
      <c r="S13" s="827"/>
      <c r="T13" s="827"/>
      <c r="U13" s="827"/>
      <c r="V13" s="827"/>
      <c r="W13" s="827"/>
      <c r="X13" s="827"/>
      <c r="Y13" s="827"/>
      <c r="Z13" s="827"/>
      <c r="AA13" s="827"/>
      <c r="AB13" s="827"/>
      <c r="AC13" s="827"/>
      <c r="AD13" s="827"/>
      <c r="AE13" s="827"/>
      <c r="AF13" s="827"/>
      <c r="AG13" s="827"/>
      <c r="AH13" s="827"/>
      <c r="AI13" s="827"/>
      <c r="AJ13" s="827"/>
      <c r="AK13" s="827"/>
      <c r="AL13" s="827"/>
      <c r="AM13" s="827"/>
      <c r="AN13" s="827"/>
      <c r="AO13" s="827"/>
      <c r="AP13" s="827"/>
      <c r="AQ13" s="827"/>
      <c r="AR13" s="827"/>
      <c r="AS13" s="827"/>
      <c r="AT13" s="827"/>
      <c r="AU13" s="827"/>
      <c r="AV13" s="827"/>
      <c r="AW13" s="827"/>
      <c r="AX13" s="827"/>
      <c r="AY13" s="827"/>
      <c r="AZ13" s="827"/>
      <c r="BA13" s="827"/>
      <c r="BB13" s="827"/>
      <c r="BC13" s="827"/>
      <c r="BD13" s="827"/>
      <c r="BE13" s="827"/>
      <c r="BF13" s="827"/>
      <c r="BG13" s="827"/>
      <c r="BH13" s="827"/>
      <c r="BI13" s="827"/>
      <c r="BJ13" s="827"/>
      <c r="BK13" s="827"/>
      <c r="BL13" s="827"/>
      <c r="BM13" s="827"/>
      <c r="BN13" s="827"/>
      <c r="BO13" s="827"/>
      <c r="BP13" s="827"/>
      <c r="BQ13" s="827"/>
      <c r="BR13" s="827"/>
      <c r="BS13" s="827"/>
      <c r="BT13" s="827"/>
      <c r="BU13" s="827"/>
      <c r="BV13" s="827"/>
      <c r="BW13" s="827"/>
      <c r="BX13" s="827"/>
      <c r="BY13" s="827"/>
      <c r="BZ13" s="827"/>
      <c r="CA13" s="827"/>
      <c r="CB13" s="827"/>
      <c r="CC13" s="827"/>
      <c r="CD13" s="827"/>
      <c r="CE13" s="827"/>
      <c r="CF13" s="827"/>
      <c r="CG13" s="827"/>
      <c r="CH13" s="827"/>
      <c r="CI13" s="827"/>
      <c r="CJ13" s="827"/>
      <c r="CK13" s="827"/>
      <c r="CL13" s="827"/>
      <c r="CM13" s="827"/>
      <c r="CN13" s="827"/>
      <c r="CO13" s="827"/>
      <c r="CP13" s="827"/>
      <c r="CQ13" s="827"/>
      <c r="CR13" s="827"/>
      <c r="CS13" s="827"/>
      <c r="CT13" s="827"/>
      <c r="CU13" s="827"/>
      <c r="CV13" s="827"/>
      <c r="CW13" s="827"/>
      <c r="CX13" s="827"/>
      <c r="CY13" s="827"/>
      <c r="CZ13" s="827"/>
      <c r="DA13" s="827"/>
      <c r="DB13" s="827"/>
      <c r="DC13" s="827"/>
      <c r="DD13" s="827"/>
      <c r="DE13" s="827"/>
      <c r="DF13" s="827"/>
      <c r="DG13" s="827"/>
      <c r="DH13" s="827"/>
      <c r="DI13" s="827"/>
      <c r="DJ13" s="827"/>
      <c r="DK13" s="827"/>
      <c r="DL13" s="827"/>
      <c r="DM13" s="827"/>
      <c r="DN13" s="827"/>
      <c r="DO13" s="827"/>
      <c r="DP13" s="827"/>
      <c r="DQ13" s="827"/>
      <c r="DR13" s="827"/>
      <c r="DS13" s="827"/>
      <c r="DT13" s="827"/>
      <c r="DU13" s="827"/>
      <c r="DV13" s="827"/>
      <c r="DW13" s="827"/>
      <c r="DX13" s="827"/>
      <c r="DY13" s="827"/>
      <c r="DZ13" s="827"/>
      <c r="EA13" s="827"/>
      <c r="EB13" s="827"/>
      <c r="EC13" s="827"/>
      <c r="ED13" s="827"/>
      <c r="EE13" s="827"/>
      <c r="EF13" s="827"/>
      <c r="EG13" s="827"/>
      <c r="EH13" s="827"/>
      <c r="EI13" s="827"/>
    </row>
    <row r="14" spans="2:139" ht="28.9" thickBot="1" x14ac:dyDescent="0.9">
      <c r="B14" s="1046" t="s">
        <v>12</v>
      </c>
      <c r="C14" s="1047"/>
      <c r="D14" s="1047"/>
      <c r="E14" s="1047"/>
      <c r="F14" s="1048"/>
    </row>
    <row r="15" spans="2:139" ht="114" x14ac:dyDescent="0.85">
      <c r="B15" s="1049" t="s">
        <v>109</v>
      </c>
      <c r="C15" s="503" t="s">
        <v>961</v>
      </c>
      <c r="D15" s="774" t="s">
        <v>129</v>
      </c>
      <c r="E15" s="504" t="s">
        <v>80</v>
      </c>
      <c r="F15" s="842" t="s">
        <v>594</v>
      </c>
    </row>
    <row r="16" spans="2:139" ht="114" x14ac:dyDescent="0.85">
      <c r="B16" s="1050"/>
      <c r="C16" s="76" t="s">
        <v>962</v>
      </c>
      <c r="D16" s="771" t="s">
        <v>131</v>
      </c>
      <c r="E16" s="425" t="s">
        <v>81</v>
      </c>
      <c r="F16" s="843" t="s">
        <v>595</v>
      </c>
    </row>
    <row r="17" spans="2:6" ht="114" x14ac:dyDescent="0.85">
      <c r="B17" s="1050"/>
      <c r="C17" s="424" t="s">
        <v>132</v>
      </c>
      <c r="D17" s="771" t="s">
        <v>322</v>
      </c>
      <c r="E17" s="425" t="s">
        <v>587</v>
      </c>
      <c r="F17" s="843" t="s">
        <v>596</v>
      </c>
    </row>
    <row r="18" spans="2:6" x14ac:dyDescent="0.85">
      <c r="B18" s="1050"/>
      <c r="C18" s="424" t="s">
        <v>1004</v>
      </c>
      <c r="D18" s="771" t="s">
        <v>1003</v>
      </c>
      <c r="E18" s="425"/>
      <c r="F18" s="843"/>
    </row>
    <row r="19" spans="2:6" ht="57" x14ac:dyDescent="0.85">
      <c r="B19" s="1050"/>
      <c r="C19" s="412" t="s">
        <v>133</v>
      </c>
      <c r="D19" s="771" t="s">
        <v>134</v>
      </c>
      <c r="E19" s="425" t="s">
        <v>42</v>
      </c>
      <c r="F19" s="843" t="s">
        <v>597</v>
      </c>
    </row>
    <row r="20" spans="2:6" ht="57" x14ac:dyDescent="0.85">
      <c r="B20" s="1050"/>
      <c r="C20" s="412" t="s">
        <v>146</v>
      </c>
      <c r="D20" s="771" t="s">
        <v>135</v>
      </c>
      <c r="E20" s="425" t="s">
        <v>136</v>
      </c>
      <c r="F20" s="843" t="s">
        <v>598</v>
      </c>
    </row>
    <row r="21" spans="2:6" ht="57" x14ac:dyDescent="0.85">
      <c r="B21" s="1050"/>
      <c r="C21" s="426" t="s">
        <v>138</v>
      </c>
      <c r="D21" s="775" t="s">
        <v>137</v>
      </c>
      <c r="E21" s="425" t="s">
        <v>38</v>
      </c>
      <c r="F21" s="843" t="s">
        <v>304</v>
      </c>
    </row>
    <row r="22" spans="2:6" ht="57" x14ac:dyDescent="0.85">
      <c r="B22" s="1050"/>
      <c r="C22" s="412" t="s">
        <v>139</v>
      </c>
      <c r="D22" s="771" t="s">
        <v>140</v>
      </c>
      <c r="E22" s="425" t="s">
        <v>39</v>
      </c>
      <c r="F22" s="843" t="s">
        <v>599</v>
      </c>
    </row>
    <row r="23" spans="2:6" ht="57" x14ac:dyDescent="0.85">
      <c r="B23" s="1050"/>
      <c r="C23" s="412" t="s">
        <v>602</v>
      </c>
      <c r="D23" s="771" t="s">
        <v>141</v>
      </c>
      <c r="E23" s="425" t="s">
        <v>40</v>
      </c>
      <c r="F23" s="843" t="s">
        <v>600</v>
      </c>
    </row>
    <row r="24" spans="2:6" x14ac:dyDescent="0.85">
      <c r="B24" s="1051"/>
      <c r="C24" s="610" t="s">
        <v>1175</v>
      </c>
      <c r="D24" s="611" t="s">
        <v>1176</v>
      </c>
      <c r="E24" s="460"/>
      <c r="F24" s="844"/>
    </row>
    <row r="25" spans="2:6" ht="57.4" thickBot="1" x14ac:dyDescent="0.9">
      <c r="B25" s="1052"/>
      <c r="C25" s="414" t="s">
        <v>142</v>
      </c>
      <c r="D25" s="772" t="s">
        <v>143</v>
      </c>
      <c r="E25" s="427" t="s">
        <v>41</v>
      </c>
      <c r="F25" s="845" t="s">
        <v>144</v>
      </c>
    </row>
    <row r="26" spans="2:6" ht="85.5" x14ac:dyDescent="0.85">
      <c r="B26" s="1059" t="s">
        <v>13</v>
      </c>
      <c r="C26" s="421" t="s">
        <v>146</v>
      </c>
      <c r="D26" s="773" t="s">
        <v>145</v>
      </c>
      <c r="E26" s="423" t="s">
        <v>82</v>
      </c>
      <c r="F26" s="846" t="s">
        <v>601</v>
      </c>
    </row>
    <row r="27" spans="2:6" ht="85.9" thickBot="1" x14ac:dyDescent="0.9">
      <c r="B27" s="1060"/>
      <c r="C27" s="428" t="s">
        <v>138</v>
      </c>
      <c r="D27" s="772" t="s">
        <v>147</v>
      </c>
      <c r="E27" s="427" t="s">
        <v>90</v>
      </c>
      <c r="F27" s="845" t="s">
        <v>601</v>
      </c>
    </row>
    <row r="28" spans="2:6" ht="57" x14ac:dyDescent="0.85">
      <c r="B28" s="1059" t="s">
        <v>14</v>
      </c>
      <c r="C28" s="421" t="s">
        <v>1008</v>
      </c>
      <c r="D28" s="773" t="s">
        <v>148</v>
      </c>
      <c r="E28" s="423" t="s">
        <v>83</v>
      </c>
      <c r="F28" s="846" t="s">
        <v>601</v>
      </c>
    </row>
    <row r="29" spans="2:6" ht="57.4" thickBot="1" x14ac:dyDescent="0.9">
      <c r="B29" s="1060"/>
      <c r="C29" s="428" t="s">
        <v>436</v>
      </c>
      <c r="D29" s="772" t="s">
        <v>149</v>
      </c>
      <c r="E29" s="427" t="s">
        <v>91</v>
      </c>
      <c r="F29" s="845" t="s">
        <v>601</v>
      </c>
    </row>
    <row r="30" spans="2:6" ht="57" x14ac:dyDescent="0.85">
      <c r="B30" s="1059" t="s">
        <v>15</v>
      </c>
      <c r="C30" s="421" t="s">
        <v>1008</v>
      </c>
      <c r="D30" s="773" t="s">
        <v>150</v>
      </c>
      <c r="E30" s="423" t="s">
        <v>84</v>
      </c>
      <c r="F30" s="846" t="s">
        <v>601</v>
      </c>
    </row>
    <row r="31" spans="2:6" ht="85.9" thickBot="1" x14ac:dyDescent="0.9">
      <c r="B31" s="1060"/>
      <c r="C31" s="428" t="s">
        <v>436</v>
      </c>
      <c r="D31" s="772" t="s">
        <v>151</v>
      </c>
      <c r="E31" s="427" t="s">
        <v>92</v>
      </c>
      <c r="F31" s="845" t="s">
        <v>601</v>
      </c>
    </row>
    <row r="32" spans="2:6" ht="57" x14ac:dyDescent="0.85">
      <c r="B32" s="1059" t="s">
        <v>416</v>
      </c>
      <c r="C32" s="421" t="s">
        <v>1009</v>
      </c>
      <c r="D32" s="773" t="s">
        <v>152</v>
      </c>
      <c r="E32" s="423" t="s">
        <v>85</v>
      </c>
      <c r="F32" s="846" t="s">
        <v>601</v>
      </c>
    </row>
    <row r="33" spans="2:139" ht="57.4" thickBot="1" x14ac:dyDescent="0.9">
      <c r="B33" s="1060"/>
      <c r="C33" s="428" t="s">
        <v>436</v>
      </c>
      <c r="D33" s="772" t="s">
        <v>153</v>
      </c>
      <c r="E33" s="427" t="s">
        <v>93</v>
      </c>
      <c r="F33" s="845" t="s">
        <v>601</v>
      </c>
    </row>
    <row r="34" spans="2:139" ht="57" x14ac:dyDescent="0.85">
      <c r="B34" s="1059" t="s">
        <v>16</v>
      </c>
      <c r="C34" s="421" t="s">
        <v>1009</v>
      </c>
      <c r="D34" s="773" t="s">
        <v>154</v>
      </c>
      <c r="E34" s="423" t="s">
        <v>86</v>
      </c>
      <c r="F34" s="846" t="s">
        <v>601</v>
      </c>
    </row>
    <row r="35" spans="2:139" ht="57.4" thickBot="1" x14ac:dyDescent="0.9">
      <c r="B35" s="1060"/>
      <c r="C35" s="428" t="s">
        <v>436</v>
      </c>
      <c r="D35" s="772" t="s">
        <v>155</v>
      </c>
      <c r="E35" s="427" t="s">
        <v>94</v>
      </c>
      <c r="F35" s="845" t="s">
        <v>601</v>
      </c>
    </row>
    <row r="36" spans="2:139" ht="57" x14ac:dyDescent="0.85">
      <c r="B36" s="1059" t="s">
        <v>17</v>
      </c>
      <c r="C36" s="421" t="s">
        <v>1009</v>
      </c>
      <c r="D36" s="773" t="s">
        <v>323</v>
      </c>
      <c r="E36" s="423" t="s">
        <v>87</v>
      </c>
      <c r="F36" s="846" t="s">
        <v>601</v>
      </c>
    </row>
    <row r="37" spans="2:139" s="429" customFormat="1" ht="57.4" thickBot="1" x14ac:dyDescent="0.5">
      <c r="B37" s="1060"/>
      <c r="C37" s="428" t="s">
        <v>436</v>
      </c>
      <c r="D37" s="772" t="s">
        <v>156</v>
      </c>
      <c r="E37" s="430" t="s">
        <v>95</v>
      </c>
      <c r="F37" s="847" t="s">
        <v>601</v>
      </c>
      <c r="G37" s="828"/>
      <c r="H37" s="828"/>
      <c r="I37" s="828"/>
      <c r="J37" s="828"/>
      <c r="K37" s="828"/>
      <c r="L37" s="828"/>
      <c r="M37" s="828"/>
      <c r="N37" s="828"/>
      <c r="O37" s="828"/>
      <c r="P37" s="828"/>
      <c r="Q37" s="828"/>
      <c r="R37" s="828"/>
      <c r="S37" s="828"/>
      <c r="T37" s="828"/>
      <c r="U37" s="828"/>
      <c r="V37" s="828"/>
      <c r="W37" s="828"/>
      <c r="X37" s="828"/>
      <c r="Y37" s="828"/>
      <c r="Z37" s="828"/>
      <c r="AA37" s="828"/>
      <c r="AB37" s="828"/>
      <c r="AC37" s="828"/>
      <c r="AD37" s="828"/>
      <c r="AE37" s="828"/>
      <c r="AF37" s="828"/>
      <c r="AG37" s="828"/>
      <c r="AH37" s="828"/>
      <c r="AI37" s="828"/>
      <c r="AJ37" s="828"/>
      <c r="AK37" s="828"/>
      <c r="AL37" s="828"/>
      <c r="AM37" s="828"/>
      <c r="AN37" s="828"/>
      <c r="AO37" s="828"/>
      <c r="AP37" s="828"/>
      <c r="AQ37" s="828"/>
      <c r="AR37" s="828"/>
      <c r="AS37" s="828"/>
      <c r="AT37" s="828"/>
      <c r="AU37" s="828"/>
      <c r="AV37" s="828"/>
      <c r="AW37" s="828"/>
      <c r="AX37" s="828"/>
      <c r="AY37" s="828"/>
      <c r="AZ37" s="828"/>
      <c r="BA37" s="828"/>
      <c r="BB37" s="828"/>
      <c r="BC37" s="828"/>
      <c r="BD37" s="828"/>
      <c r="BE37" s="828"/>
      <c r="BF37" s="828"/>
      <c r="BG37" s="828"/>
      <c r="BH37" s="828"/>
      <c r="BI37" s="828"/>
      <c r="BJ37" s="828"/>
      <c r="BK37" s="828"/>
      <c r="BL37" s="828"/>
      <c r="BM37" s="828"/>
      <c r="BN37" s="828"/>
      <c r="BO37" s="828"/>
      <c r="BP37" s="828"/>
      <c r="BQ37" s="828"/>
      <c r="BR37" s="828"/>
      <c r="BS37" s="828"/>
      <c r="BT37" s="828"/>
      <c r="BU37" s="828"/>
      <c r="BV37" s="828"/>
      <c r="BW37" s="828"/>
      <c r="BX37" s="828"/>
      <c r="BY37" s="828"/>
      <c r="BZ37" s="828"/>
      <c r="CA37" s="828"/>
      <c r="CB37" s="828"/>
      <c r="CC37" s="828"/>
      <c r="CD37" s="828"/>
      <c r="CE37" s="828"/>
      <c r="CF37" s="828"/>
      <c r="CG37" s="828"/>
      <c r="CH37" s="828"/>
      <c r="CI37" s="828"/>
      <c r="CJ37" s="828"/>
      <c r="CK37" s="828"/>
      <c r="CL37" s="828"/>
      <c r="CM37" s="828"/>
      <c r="CN37" s="828"/>
      <c r="CO37" s="828"/>
      <c r="CP37" s="828"/>
      <c r="CQ37" s="828"/>
      <c r="CR37" s="828"/>
      <c r="CS37" s="828"/>
      <c r="CT37" s="828"/>
      <c r="CU37" s="828"/>
      <c r="CV37" s="828"/>
      <c r="CW37" s="828"/>
      <c r="CX37" s="828"/>
      <c r="CY37" s="828"/>
      <c r="CZ37" s="828"/>
      <c r="DA37" s="828"/>
      <c r="DB37" s="828"/>
      <c r="DC37" s="828"/>
      <c r="DD37" s="828"/>
      <c r="DE37" s="828"/>
      <c r="DF37" s="828"/>
      <c r="DG37" s="828"/>
      <c r="DH37" s="828"/>
      <c r="DI37" s="828"/>
      <c r="DJ37" s="828"/>
      <c r="DK37" s="828"/>
      <c r="DL37" s="828"/>
      <c r="DM37" s="828"/>
      <c r="DN37" s="828"/>
      <c r="DO37" s="828"/>
      <c r="DP37" s="828"/>
      <c r="DQ37" s="828"/>
      <c r="DR37" s="828"/>
      <c r="DS37" s="828"/>
      <c r="DT37" s="828"/>
      <c r="DU37" s="828"/>
      <c r="DV37" s="828"/>
      <c r="DW37" s="828"/>
      <c r="DX37" s="828"/>
      <c r="DY37" s="828"/>
      <c r="DZ37" s="828"/>
      <c r="EA37" s="828"/>
      <c r="EB37" s="828"/>
      <c r="EC37" s="828"/>
      <c r="ED37" s="828"/>
      <c r="EE37" s="828"/>
      <c r="EF37" s="828"/>
      <c r="EG37" s="828"/>
      <c r="EH37" s="828"/>
      <c r="EI37" s="828"/>
    </row>
    <row r="38" spans="2:139" ht="85.5" x14ac:dyDescent="0.85">
      <c r="B38" s="1059" t="s">
        <v>22</v>
      </c>
      <c r="C38" s="421" t="s">
        <v>1009</v>
      </c>
      <c r="D38" s="773" t="s">
        <v>157</v>
      </c>
      <c r="E38" s="423" t="s">
        <v>88</v>
      </c>
      <c r="F38" s="846" t="s">
        <v>601</v>
      </c>
    </row>
    <row r="39" spans="2:139" ht="114.4" thickBot="1" x14ac:dyDescent="0.9">
      <c r="B39" s="1060"/>
      <c r="C39" s="428" t="s">
        <v>436</v>
      </c>
      <c r="D39" s="772" t="s">
        <v>158</v>
      </c>
      <c r="E39" s="427" t="s">
        <v>96</v>
      </c>
      <c r="F39" s="845" t="s">
        <v>601</v>
      </c>
    </row>
    <row r="40" spans="2:139" ht="57" x14ac:dyDescent="0.85">
      <c r="B40" s="1059" t="s">
        <v>18</v>
      </c>
      <c r="C40" s="421" t="s">
        <v>1009</v>
      </c>
      <c r="D40" s="773" t="s">
        <v>159</v>
      </c>
      <c r="E40" s="423" t="s">
        <v>89</v>
      </c>
      <c r="F40" s="846" t="s">
        <v>601</v>
      </c>
    </row>
    <row r="41" spans="2:139" ht="85.9" thickBot="1" x14ac:dyDescent="0.9">
      <c r="B41" s="1060"/>
      <c r="C41" s="428" t="s">
        <v>436</v>
      </c>
      <c r="D41" s="772" t="s">
        <v>160</v>
      </c>
      <c r="E41" s="427" t="s">
        <v>97</v>
      </c>
      <c r="F41" s="845" t="s">
        <v>601</v>
      </c>
    </row>
    <row r="42" spans="2:139" ht="57" x14ac:dyDescent="0.85">
      <c r="B42" s="1059" t="s">
        <v>101</v>
      </c>
      <c r="C42" s="421" t="s">
        <v>1009</v>
      </c>
      <c r="D42" s="773" t="s">
        <v>324</v>
      </c>
      <c r="E42" s="423" t="s">
        <v>121</v>
      </c>
      <c r="F42" s="846" t="s">
        <v>601</v>
      </c>
    </row>
    <row r="43" spans="2:139" ht="57.4" thickBot="1" x14ac:dyDescent="0.9">
      <c r="B43" s="1060"/>
      <c r="C43" s="428" t="s">
        <v>436</v>
      </c>
      <c r="D43" s="772" t="s">
        <v>161</v>
      </c>
      <c r="E43" s="460" t="s">
        <v>588</v>
      </c>
      <c r="F43" s="844" t="s">
        <v>601</v>
      </c>
    </row>
    <row r="44" spans="2:139" ht="28.9" thickBot="1" x14ac:dyDescent="0.9">
      <c r="B44" s="1096" t="s">
        <v>1000</v>
      </c>
      <c r="C44" s="964" t="s">
        <v>132</v>
      </c>
      <c r="D44" s="614" t="s">
        <v>1177</v>
      </c>
      <c r="E44" s="460"/>
      <c r="F44" s="844"/>
    </row>
    <row r="45" spans="2:139" x14ac:dyDescent="0.85">
      <c r="B45" s="1097"/>
      <c r="C45" s="91" t="s">
        <v>146</v>
      </c>
      <c r="D45" s="776" t="s">
        <v>1001</v>
      </c>
      <c r="E45" s="425"/>
      <c r="F45" s="843"/>
    </row>
    <row r="46" spans="2:139" ht="28.9" thickBot="1" x14ac:dyDescent="0.9">
      <c r="B46" s="1098"/>
      <c r="C46" s="95" t="s">
        <v>138</v>
      </c>
      <c r="D46" s="776" t="s">
        <v>1002</v>
      </c>
      <c r="E46" s="425"/>
      <c r="F46" s="843"/>
    </row>
    <row r="47" spans="2:139" ht="57" x14ac:dyDescent="0.85">
      <c r="B47" s="1086" t="s">
        <v>1183</v>
      </c>
      <c r="C47" s="784" t="s">
        <v>604</v>
      </c>
      <c r="D47" s="649" t="s">
        <v>325</v>
      </c>
      <c r="E47" s="411" t="s">
        <v>892</v>
      </c>
      <c r="F47" s="836"/>
    </row>
    <row r="48" spans="2:139" ht="57.4" thickBot="1" x14ac:dyDescent="0.9">
      <c r="B48" s="1087"/>
      <c r="C48" s="785" t="s">
        <v>613</v>
      </c>
      <c r="D48" s="651" t="s">
        <v>326</v>
      </c>
      <c r="E48" s="413" t="s">
        <v>893</v>
      </c>
      <c r="F48" s="837"/>
    </row>
    <row r="49" spans="2:6" ht="57" x14ac:dyDescent="0.85">
      <c r="B49" s="1088" t="s">
        <v>1184</v>
      </c>
      <c r="C49" s="960" t="s">
        <v>1185</v>
      </c>
      <c r="D49" s="961" t="s">
        <v>1187</v>
      </c>
      <c r="E49" s="411" t="s">
        <v>1215</v>
      </c>
      <c r="F49" s="836"/>
    </row>
    <row r="50" spans="2:6" ht="57" x14ac:dyDescent="0.85">
      <c r="B50" s="1089"/>
      <c r="C50" s="962" t="s">
        <v>1186</v>
      </c>
      <c r="D50" s="963" t="s">
        <v>1188</v>
      </c>
      <c r="E50" s="498" t="s">
        <v>1216</v>
      </c>
      <c r="F50" s="848"/>
    </row>
    <row r="51" spans="2:6" x14ac:dyDescent="0.85">
      <c r="B51" s="1090" t="s">
        <v>1199</v>
      </c>
      <c r="C51" s="1091"/>
      <c r="D51" s="1091"/>
      <c r="E51" s="1091"/>
      <c r="F51" s="1092"/>
    </row>
    <row r="52" spans="2:6" x14ac:dyDescent="0.85">
      <c r="B52" s="1093" t="s">
        <v>367</v>
      </c>
      <c r="C52" s="970" t="s">
        <v>146</v>
      </c>
      <c r="D52" s="577" t="s">
        <v>1195</v>
      </c>
      <c r="E52" s="764"/>
      <c r="F52" s="836"/>
    </row>
    <row r="53" spans="2:6" ht="28.9" thickBot="1" x14ac:dyDescent="0.9">
      <c r="B53" s="1094"/>
      <c r="C53" s="969" t="s">
        <v>138</v>
      </c>
      <c r="D53" s="576" t="s">
        <v>1196</v>
      </c>
      <c r="E53" s="763"/>
      <c r="F53" s="837"/>
    </row>
    <row r="54" spans="2:6" x14ac:dyDescent="0.85">
      <c r="B54" s="1095" t="s">
        <v>365</v>
      </c>
      <c r="C54" s="968" t="s">
        <v>146</v>
      </c>
      <c r="D54" s="575" t="s">
        <v>1197</v>
      </c>
      <c r="E54" s="763"/>
      <c r="F54" s="837"/>
    </row>
    <row r="55" spans="2:6" ht="28.9" thickBot="1" x14ac:dyDescent="0.9">
      <c r="B55" s="1094"/>
      <c r="C55" s="969" t="s">
        <v>138</v>
      </c>
      <c r="D55" s="576" t="s">
        <v>1198</v>
      </c>
      <c r="E55" s="763"/>
      <c r="F55" s="837"/>
    </row>
    <row r="56" spans="2:6" ht="28.9" hidden="1" thickBot="1" x14ac:dyDescent="0.9">
      <c r="B56" s="1078" t="s">
        <v>967</v>
      </c>
      <c r="C56" s="1079"/>
      <c r="D56" s="1079"/>
      <c r="E56" s="1080"/>
      <c r="F56" s="1081"/>
    </row>
    <row r="57" spans="2:6" hidden="1" x14ac:dyDescent="0.85">
      <c r="B57" s="1056" t="s">
        <v>980</v>
      </c>
      <c r="C57" s="1" t="s">
        <v>1134</v>
      </c>
      <c r="D57" s="562" t="s">
        <v>968</v>
      </c>
      <c r="E57" s="461"/>
      <c r="F57" s="849"/>
    </row>
    <row r="58" spans="2:6" ht="28.9" hidden="1" thickBot="1" x14ac:dyDescent="0.9">
      <c r="B58" s="1057"/>
      <c r="C58" s="356" t="s">
        <v>1135</v>
      </c>
      <c r="D58" s="563" t="s">
        <v>969</v>
      </c>
      <c r="E58" s="461"/>
      <c r="F58" s="849"/>
    </row>
    <row r="59" spans="2:6" hidden="1" x14ac:dyDescent="0.85">
      <c r="B59" s="1057"/>
      <c r="C59" s="1" t="s">
        <v>1136</v>
      </c>
      <c r="D59" s="562" t="s">
        <v>1138</v>
      </c>
      <c r="E59" s="461"/>
      <c r="F59" s="849"/>
    </row>
    <row r="60" spans="2:6" ht="28.9" hidden="1" thickBot="1" x14ac:dyDescent="0.9">
      <c r="B60" s="1058"/>
      <c r="C60" s="356" t="s">
        <v>1137</v>
      </c>
      <c r="D60" s="564" t="s">
        <v>1139</v>
      </c>
      <c r="E60" s="461"/>
      <c r="F60" s="849"/>
    </row>
    <row r="61" spans="2:6" hidden="1" x14ac:dyDescent="0.85">
      <c r="B61" s="1053" t="s">
        <v>981</v>
      </c>
      <c r="C61" s="1" t="s">
        <v>1134</v>
      </c>
      <c r="D61" s="562" t="s">
        <v>970</v>
      </c>
      <c r="E61" s="461"/>
      <c r="F61" s="849"/>
    </row>
    <row r="62" spans="2:6" ht="28.9" hidden="1" thickBot="1" x14ac:dyDescent="0.9">
      <c r="B62" s="1054"/>
      <c r="C62" s="356" t="s">
        <v>1135</v>
      </c>
      <c r="D62" s="563" t="s">
        <v>971</v>
      </c>
      <c r="E62" s="461"/>
      <c r="F62" s="849"/>
    </row>
    <row r="63" spans="2:6" hidden="1" x14ac:dyDescent="0.85">
      <c r="B63" s="1054"/>
      <c r="C63" s="1" t="s">
        <v>1136</v>
      </c>
      <c r="D63" s="563" t="s">
        <v>1140</v>
      </c>
      <c r="E63" s="461"/>
      <c r="F63" s="849"/>
    </row>
    <row r="64" spans="2:6" ht="28.9" hidden="1" thickBot="1" x14ac:dyDescent="0.9">
      <c r="B64" s="1055"/>
      <c r="C64" s="356" t="s">
        <v>1137</v>
      </c>
      <c r="D64" s="565" t="s">
        <v>1141</v>
      </c>
      <c r="E64" s="461"/>
      <c r="F64" s="849"/>
    </row>
    <row r="65" spans="2:6" hidden="1" x14ac:dyDescent="0.85">
      <c r="B65" s="1056" t="s">
        <v>982</v>
      </c>
      <c r="C65" s="1" t="s">
        <v>1134</v>
      </c>
      <c r="D65" s="562" t="s">
        <v>972</v>
      </c>
      <c r="E65" s="461"/>
      <c r="F65" s="849"/>
    </row>
    <row r="66" spans="2:6" ht="28.9" hidden="1" thickBot="1" x14ac:dyDescent="0.9">
      <c r="B66" s="1057"/>
      <c r="C66" s="356" t="s">
        <v>1135</v>
      </c>
      <c r="D66" s="563" t="s">
        <v>973</v>
      </c>
      <c r="E66" s="461"/>
      <c r="F66" s="849"/>
    </row>
    <row r="67" spans="2:6" hidden="1" x14ac:dyDescent="0.85">
      <c r="B67" s="1057"/>
      <c r="C67" s="1" t="s">
        <v>1136</v>
      </c>
      <c r="D67" s="563" t="s">
        <v>972</v>
      </c>
      <c r="E67" s="461"/>
      <c r="F67" s="849"/>
    </row>
    <row r="68" spans="2:6" ht="28.9" hidden="1" thickBot="1" x14ac:dyDescent="0.9">
      <c r="B68" s="1058"/>
      <c r="C68" s="356" t="s">
        <v>1137</v>
      </c>
      <c r="D68" s="565" t="s">
        <v>973</v>
      </c>
      <c r="E68" s="461"/>
      <c r="F68" s="849"/>
    </row>
    <row r="69" spans="2:6" hidden="1" x14ac:dyDescent="0.85">
      <c r="B69" s="1053" t="s">
        <v>983</v>
      </c>
      <c r="C69" s="1" t="s">
        <v>1134</v>
      </c>
      <c r="D69" s="562" t="s">
        <v>974</v>
      </c>
      <c r="E69" s="461"/>
      <c r="F69" s="849"/>
    </row>
    <row r="70" spans="2:6" ht="28.9" hidden="1" thickBot="1" x14ac:dyDescent="0.9">
      <c r="B70" s="1054"/>
      <c r="C70" s="356" t="s">
        <v>1135</v>
      </c>
      <c r="D70" s="563" t="s">
        <v>975</v>
      </c>
      <c r="E70" s="461"/>
      <c r="F70" s="849"/>
    </row>
    <row r="71" spans="2:6" hidden="1" x14ac:dyDescent="0.85">
      <c r="B71" s="1054"/>
      <c r="C71" s="1" t="s">
        <v>1136</v>
      </c>
      <c r="D71" s="563" t="s">
        <v>1142</v>
      </c>
      <c r="E71" s="461"/>
      <c r="F71" s="849"/>
    </row>
    <row r="72" spans="2:6" ht="28.9" hidden="1" thickBot="1" x14ac:dyDescent="0.9">
      <c r="B72" s="1055"/>
      <c r="C72" s="356" t="s">
        <v>1137</v>
      </c>
      <c r="D72" s="565" t="s">
        <v>1143</v>
      </c>
      <c r="E72" s="461"/>
      <c r="F72" s="849"/>
    </row>
    <row r="73" spans="2:6" hidden="1" x14ac:dyDescent="0.85">
      <c r="B73" s="1053" t="s">
        <v>991</v>
      </c>
      <c r="C73" s="1" t="s">
        <v>1134</v>
      </c>
      <c r="D73" s="566" t="s">
        <v>976</v>
      </c>
      <c r="E73" s="461"/>
      <c r="F73" s="849"/>
    </row>
    <row r="74" spans="2:6" ht="28.9" hidden="1" thickBot="1" x14ac:dyDescent="0.9">
      <c r="B74" s="1054"/>
      <c r="C74" s="356" t="s">
        <v>1135</v>
      </c>
      <c r="D74" s="563" t="s">
        <v>977</v>
      </c>
      <c r="E74" s="461"/>
      <c r="F74" s="849"/>
    </row>
    <row r="75" spans="2:6" hidden="1" x14ac:dyDescent="0.85">
      <c r="B75" s="1054"/>
      <c r="C75" s="1" t="s">
        <v>1136</v>
      </c>
      <c r="D75" s="563" t="s">
        <v>1144</v>
      </c>
      <c r="E75" s="461"/>
      <c r="F75" s="849"/>
    </row>
    <row r="76" spans="2:6" ht="28.9" hidden="1" thickBot="1" x14ac:dyDescent="0.9">
      <c r="B76" s="1055"/>
      <c r="C76" s="356" t="s">
        <v>1137</v>
      </c>
      <c r="D76" s="563" t="s">
        <v>1145</v>
      </c>
      <c r="E76" s="461"/>
      <c r="F76" s="849"/>
    </row>
    <row r="77" spans="2:6" ht="28.5" hidden="1" customHeight="1" x14ac:dyDescent="0.85">
      <c r="B77" s="1053" t="s">
        <v>984</v>
      </c>
      <c r="C77" s="1" t="s">
        <v>1134</v>
      </c>
      <c r="D77" s="563" t="s">
        <v>978</v>
      </c>
      <c r="E77" s="461"/>
      <c r="F77" s="849"/>
    </row>
    <row r="78" spans="2:6" ht="28.9" hidden="1" thickBot="1" x14ac:dyDescent="0.9">
      <c r="B78" s="1054"/>
      <c r="C78" s="356" t="s">
        <v>1135</v>
      </c>
      <c r="D78" s="563" t="s">
        <v>979</v>
      </c>
      <c r="E78" s="461"/>
      <c r="F78" s="849"/>
    </row>
    <row r="79" spans="2:6" hidden="1" x14ac:dyDescent="0.85">
      <c r="B79" s="1054"/>
      <c r="C79" s="1" t="s">
        <v>1136</v>
      </c>
      <c r="D79" s="563" t="s">
        <v>1146</v>
      </c>
      <c r="E79" s="461"/>
      <c r="F79" s="849"/>
    </row>
    <row r="80" spans="2:6" ht="28.9" hidden="1" thickBot="1" x14ac:dyDescent="0.9">
      <c r="B80" s="1055"/>
      <c r="C80" s="356" t="s">
        <v>1137</v>
      </c>
      <c r="D80" s="563" t="s">
        <v>1147</v>
      </c>
      <c r="E80" s="461"/>
      <c r="F80" s="849"/>
    </row>
    <row r="81" spans="2:139" hidden="1" x14ac:dyDescent="0.85">
      <c r="B81" s="1053" t="s">
        <v>985</v>
      </c>
      <c r="C81" s="1" t="s">
        <v>1134</v>
      </c>
      <c r="D81" s="563" t="s">
        <v>992</v>
      </c>
      <c r="E81" s="461"/>
      <c r="F81" s="849"/>
    </row>
    <row r="82" spans="2:139" ht="28.9" hidden="1" thickBot="1" x14ac:dyDescent="0.9">
      <c r="B82" s="1054"/>
      <c r="C82" s="356" t="s">
        <v>1135</v>
      </c>
      <c r="D82" s="565" t="s">
        <v>993</v>
      </c>
      <c r="E82" s="461"/>
      <c r="F82" s="849"/>
    </row>
    <row r="83" spans="2:139" ht="28.5" hidden="1" customHeight="1" x14ac:dyDescent="0.85">
      <c r="B83" s="1054"/>
      <c r="C83" s="1" t="s">
        <v>1136</v>
      </c>
      <c r="D83" s="563" t="s">
        <v>1148</v>
      </c>
      <c r="E83" s="461"/>
      <c r="F83" s="849"/>
    </row>
    <row r="84" spans="2:139" ht="28.9" hidden="1" thickBot="1" x14ac:dyDescent="0.9">
      <c r="B84" s="1055"/>
      <c r="C84" s="356" t="s">
        <v>1137</v>
      </c>
      <c r="D84" s="565" t="s">
        <v>1149</v>
      </c>
      <c r="E84" s="461"/>
      <c r="F84" s="849"/>
    </row>
    <row r="85" spans="2:139" ht="28.5" hidden="1" customHeight="1" x14ac:dyDescent="0.85">
      <c r="B85" s="1053" t="s">
        <v>986</v>
      </c>
      <c r="C85" s="1" t="s">
        <v>1134</v>
      </c>
      <c r="D85" s="563" t="s">
        <v>994</v>
      </c>
      <c r="E85" s="461"/>
      <c r="F85" s="849"/>
    </row>
    <row r="86" spans="2:139" ht="28.9" hidden="1" thickBot="1" x14ac:dyDescent="0.9">
      <c r="B86" s="1054"/>
      <c r="C86" s="356" t="s">
        <v>1135</v>
      </c>
      <c r="D86" s="565" t="s">
        <v>995</v>
      </c>
      <c r="E86" s="461"/>
      <c r="F86" s="849"/>
    </row>
    <row r="87" spans="2:139" ht="28.5" hidden="1" customHeight="1" x14ac:dyDescent="0.85">
      <c r="B87" s="1054"/>
      <c r="C87" s="1" t="s">
        <v>1136</v>
      </c>
      <c r="D87" s="563" t="s">
        <v>1150</v>
      </c>
      <c r="E87" s="461"/>
      <c r="F87" s="849"/>
    </row>
    <row r="88" spans="2:139" ht="28.9" hidden="1" thickBot="1" x14ac:dyDescent="0.9">
      <c r="B88" s="1055"/>
      <c r="C88" s="356" t="s">
        <v>1137</v>
      </c>
      <c r="D88" s="565" t="s">
        <v>1151</v>
      </c>
      <c r="E88" s="461"/>
      <c r="F88" s="849"/>
    </row>
    <row r="89" spans="2:139" ht="28.5" hidden="1" customHeight="1" x14ac:dyDescent="0.85">
      <c r="B89" s="1053" t="s">
        <v>987</v>
      </c>
      <c r="C89" s="1" t="s">
        <v>1134</v>
      </c>
      <c r="D89" s="563" t="s">
        <v>996</v>
      </c>
      <c r="E89" s="461"/>
      <c r="F89" s="849"/>
    </row>
    <row r="90" spans="2:139" ht="28.9" hidden="1" thickBot="1" x14ac:dyDescent="0.9">
      <c r="B90" s="1054"/>
      <c r="C90" s="356" t="s">
        <v>1135</v>
      </c>
      <c r="D90" s="565" t="s">
        <v>997</v>
      </c>
      <c r="E90" s="461"/>
      <c r="F90" s="849"/>
    </row>
    <row r="91" spans="2:139" ht="28.5" hidden="1" customHeight="1" x14ac:dyDescent="0.85">
      <c r="B91" s="1054"/>
      <c r="C91" s="1" t="s">
        <v>1136</v>
      </c>
      <c r="D91" s="563" t="s">
        <v>1152</v>
      </c>
      <c r="E91" s="461"/>
      <c r="F91" s="849"/>
    </row>
    <row r="92" spans="2:139" ht="28.9" hidden="1" thickBot="1" x14ac:dyDescent="0.9">
      <c r="B92" s="1055"/>
      <c r="C92" s="356" t="s">
        <v>1137</v>
      </c>
      <c r="D92" s="565" t="s">
        <v>1153</v>
      </c>
      <c r="E92" s="461"/>
      <c r="F92" s="849"/>
    </row>
    <row r="93" spans="2:139" s="452" customFormat="1" ht="28.5" hidden="1" customHeight="1" x14ac:dyDescent="0.85">
      <c r="B93" s="1053" t="s">
        <v>1005</v>
      </c>
      <c r="C93" s="1" t="s">
        <v>1134</v>
      </c>
      <c r="D93" s="563" t="s">
        <v>998</v>
      </c>
      <c r="E93" s="461"/>
      <c r="F93" s="849"/>
      <c r="G93" s="829"/>
      <c r="H93" s="829"/>
      <c r="I93" s="829"/>
      <c r="J93" s="829"/>
      <c r="K93" s="829"/>
      <c r="L93" s="829"/>
      <c r="M93" s="829"/>
      <c r="N93" s="829"/>
      <c r="O93" s="829"/>
      <c r="P93" s="829"/>
      <c r="Q93" s="829"/>
      <c r="R93" s="829"/>
      <c r="S93" s="829"/>
      <c r="T93" s="829"/>
      <c r="U93" s="829"/>
      <c r="V93" s="829"/>
      <c r="W93" s="829"/>
      <c r="X93" s="829"/>
      <c r="Y93" s="829"/>
      <c r="Z93" s="829"/>
      <c r="AA93" s="829"/>
      <c r="AB93" s="829"/>
      <c r="AC93" s="829"/>
      <c r="AD93" s="829"/>
      <c r="AE93" s="829"/>
      <c r="AF93" s="829"/>
      <c r="AG93" s="829"/>
      <c r="AH93" s="829"/>
      <c r="AI93" s="829"/>
      <c r="AJ93" s="829"/>
      <c r="AK93" s="829"/>
      <c r="AL93" s="829"/>
      <c r="AM93" s="829"/>
      <c r="AN93" s="829"/>
      <c r="AO93" s="829"/>
      <c r="AP93" s="829"/>
      <c r="AQ93" s="829"/>
      <c r="AR93" s="829"/>
      <c r="AS93" s="829"/>
      <c r="AT93" s="829"/>
      <c r="AU93" s="829"/>
      <c r="AV93" s="829"/>
      <c r="AW93" s="829"/>
      <c r="AX93" s="829"/>
      <c r="AY93" s="829"/>
      <c r="AZ93" s="829"/>
      <c r="BA93" s="829"/>
      <c r="BB93" s="829"/>
      <c r="BC93" s="829"/>
      <c r="BD93" s="829"/>
      <c r="BE93" s="829"/>
      <c r="BF93" s="829"/>
      <c r="BG93" s="829"/>
      <c r="BH93" s="829"/>
      <c r="BI93" s="829"/>
      <c r="BJ93" s="829"/>
      <c r="BK93" s="829"/>
      <c r="BL93" s="829"/>
      <c r="BM93" s="829"/>
      <c r="BN93" s="829"/>
      <c r="BO93" s="829"/>
      <c r="BP93" s="829"/>
      <c r="BQ93" s="829"/>
      <c r="BR93" s="829"/>
      <c r="BS93" s="829"/>
      <c r="BT93" s="829"/>
      <c r="BU93" s="829"/>
      <c r="BV93" s="829"/>
      <c r="BW93" s="829"/>
      <c r="BX93" s="829"/>
      <c r="BY93" s="829"/>
      <c r="BZ93" s="829"/>
      <c r="CA93" s="829"/>
      <c r="CB93" s="829"/>
      <c r="CC93" s="829"/>
      <c r="CD93" s="829"/>
      <c r="CE93" s="829"/>
      <c r="CF93" s="829"/>
      <c r="CG93" s="829"/>
      <c r="CH93" s="829"/>
      <c r="CI93" s="829"/>
      <c r="CJ93" s="829"/>
      <c r="CK93" s="829"/>
      <c r="CL93" s="829"/>
      <c r="CM93" s="829"/>
      <c r="CN93" s="829"/>
      <c r="CO93" s="829"/>
      <c r="CP93" s="829"/>
      <c r="CQ93" s="829"/>
      <c r="CR93" s="829"/>
      <c r="CS93" s="829"/>
      <c r="CT93" s="829"/>
      <c r="CU93" s="829"/>
      <c r="CV93" s="829"/>
      <c r="CW93" s="829"/>
      <c r="CX93" s="829"/>
      <c r="CY93" s="829"/>
      <c r="CZ93" s="829"/>
      <c r="DA93" s="829"/>
      <c r="DB93" s="829"/>
      <c r="DC93" s="829"/>
      <c r="DD93" s="829"/>
      <c r="DE93" s="829"/>
      <c r="DF93" s="829"/>
      <c r="DG93" s="829"/>
      <c r="DH93" s="829"/>
      <c r="DI93" s="829"/>
      <c r="DJ93" s="829"/>
      <c r="DK93" s="829"/>
      <c r="DL93" s="829"/>
      <c r="DM93" s="829"/>
      <c r="DN93" s="829"/>
      <c r="DO93" s="829"/>
      <c r="DP93" s="829"/>
      <c r="DQ93" s="829"/>
      <c r="DR93" s="829"/>
      <c r="DS93" s="829"/>
      <c r="DT93" s="829"/>
      <c r="DU93" s="829"/>
      <c r="DV93" s="829"/>
      <c r="DW93" s="829"/>
      <c r="DX93" s="829"/>
      <c r="DY93" s="829"/>
      <c r="DZ93" s="829"/>
      <c r="EA93" s="829"/>
      <c r="EB93" s="829"/>
      <c r="EC93" s="829"/>
      <c r="ED93" s="829"/>
      <c r="EE93" s="829"/>
      <c r="EF93" s="829"/>
      <c r="EG93" s="829"/>
      <c r="EH93" s="829"/>
      <c r="EI93" s="829"/>
    </row>
    <row r="94" spans="2:139" s="452" customFormat="1" ht="28.9" hidden="1" thickBot="1" x14ac:dyDescent="0.9">
      <c r="B94" s="1054"/>
      <c r="C94" s="356" t="s">
        <v>1135</v>
      </c>
      <c r="D94" s="565" t="s">
        <v>999</v>
      </c>
      <c r="E94" s="461"/>
      <c r="F94" s="84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29"/>
      <c r="AE94" s="829"/>
      <c r="AF94" s="829"/>
      <c r="AG94" s="829"/>
      <c r="AH94" s="829"/>
      <c r="AI94" s="829"/>
      <c r="AJ94" s="829"/>
      <c r="AK94" s="829"/>
      <c r="AL94" s="829"/>
      <c r="AM94" s="829"/>
      <c r="AN94" s="829"/>
      <c r="AO94" s="829"/>
      <c r="AP94" s="829"/>
      <c r="AQ94" s="829"/>
      <c r="AR94" s="829"/>
      <c r="AS94" s="829"/>
      <c r="AT94" s="829"/>
      <c r="AU94" s="829"/>
      <c r="AV94" s="829"/>
      <c r="AW94" s="829"/>
      <c r="AX94" s="829"/>
      <c r="AY94" s="829"/>
      <c r="AZ94" s="829"/>
      <c r="BA94" s="829"/>
      <c r="BB94" s="829"/>
      <c r="BC94" s="829"/>
      <c r="BD94" s="829"/>
      <c r="BE94" s="829"/>
      <c r="BF94" s="829"/>
      <c r="BG94" s="829"/>
      <c r="BH94" s="829"/>
      <c r="BI94" s="829"/>
      <c r="BJ94" s="829"/>
      <c r="BK94" s="829"/>
      <c r="BL94" s="829"/>
      <c r="BM94" s="829"/>
      <c r="BN94" s="829"/>
      <c r="BO94" s="829"/>
      <c r="BP94" s="829"/>
      <c r="BQ94" s="829"/>
      <c r="BR94" s="829"/>
      <c r="BS94" s="829"/>
      <c r="BT94" s="829"/>
      <c r="BU94" s="829"/>
      <c r="BV94" s="829"/>
      <c r="BW94" s="829"/>
      <c r="BX94" s="829"/>
      <c r="BY94" s="829"/>
      <c r="BZ94" s="829"/>
      <c r="CA94" s="829"/>
      <c r="CB94" s="829"/>
      <c r="CC94" s="829"/>
      <c r="CD94" s="829"/>
      <c r="CE94" s="829"/>
      <c r="CF94" s="829"/>
      <c r="CG94" s="829"/>
      <c r="CH94" s="829"/>
      <c r="CI94" s="829"/>
      <c r="CJ94" s="829"/>
      <c r="CK94" s="829"/>
      <c r="CL94" s="829"/>
      <c r="CM94" s="829"/>
      <c r="CN94" s="829"/>
      <c r="CO94" s="829"/>
      <c r="CP94" s="829"/>
      <c r="CQ94" s="829"/>
      <c r="CR94" s="829"/>
      <c r="CS94" s="829"/>
      <c r="CT94" s="829"/>
      <c r="CU94" s="829"/>
      <c r="CV94" s="829"/>
      <c r="CW94" s="829"/>
      <c r="CX94" s="829"/>
      <c r="CY94" s="829"/>
      <c r="CZ94" s="829"/>
      <c r="DA94" s="829"/>
      <c r="DB94" s="829"/>
      <c r="DC94" s="829"/>
      <c r="DD94" s="829"/>
      <c r="DE94" s="829"/>
      <c r="DF94" s="829"/>
      <c r="DG94" s="829"/>
      <c r="DH94" s="829"/>
      <c r="DI94" s="829"/>
      <c r="DJ94" s="829"/>
      <c r="DK94" s="829"/>
      <c r="DL94" s="829"/>
      <c r="DM94" s="829"/>
      <c r="DN94" s="829"/>
      <c r="DO94" s="829"/>
      <c r="DP94" s="829"/>
      <c r="DQ94" s="829"/>
      <c r="DR94" s="829"/>
      <c r="DS94" s="829"/>
      <c r="DT94" s="829"/>
      <c r="DU94" s="829"/>
      <c r="DV94" s="829"/>
      <c r="DW94" s="829"/>
      <c r="DX94" s="829"/>
      <c r="DY94" s="829"/>
      <c r="DZ94" s="829"/>
      <c r="EA94" s="829"/>
      <c r="EB94" s="829"/>
      <c r="EC94" s="829"/>
      <c r="ED94" s="829"/>
      <c r="EE94" s="829"/>
      <c r="EF94" s="829"/>
      <c r="EG94" s="829"/>
      <c r="EH94" s="829"/>
      <c r="EI94" s="829"/>
    </row>
    <row r="95" spans="2:139" s="452" customFormat="1" ht="28.5" hidden="1" customHeight="1" x14ac:dyDescent="0.85">
      <c r="B95" s="1054"/>
      <c r="C95" s="1" t="s">
        <v>1136</v>
      </c>
      <c r="D95" s="563" t="s">
        <v>1154</v>
      </c>
      <c r="E95" s="461"/>
      <c r="F95" s="849"/>
      <c r="G95" s="829"/>
      <c r="H95" s="829"/>
      <c r="I95" s="829"/>
      <c r="J95" s="829"/>
      <c r="K95" s="829"/>
      <c r="L95" s="829"/>
      <c r="M95" s="829"/>
      <c r="N95" s="829"/>
      <c r="O95" s="829"/>
      <c r="P95" s="829"/>
      <c r="Q95" s="829"/>
      <c r="R95" s="829"/>
      <c r="S95" s="829"/>
      <c r="T95" s="829"/>
      <c r="U95" s="829"/>
      <c r="V95" s="829"/>
      <c r="W95" s="829"/>
      <c r="X95" s="829"/>
      <c r="Y95" s="829"/>
      <c r="Z95" s="829"/>
      <c r="AA95" s="829"/>
      <c r="AB95" s="829"/>
      <c r="AC95" s="829"/>
      <c r="AD95" s="829"/>
      <c r="AE95" s="829"/>
      <c r="AF95" s="829"/>
      <c r="AG95" s="829"/>
      <c r="AH95" s="829"/>
      <c r="AI95" s="829"/>
      <c r="AJ95" s="829"/>
      <c r="AK95" s="829"/>
      <c r="AL95" s="829"/>
      <c r="AM95" s="829"/>
      <c r="AN95" s="829"/>
      <c r="AO95" s="829"/>
      <c r="AP95" s="829"/>
      <c r="AQ95" s="829"/>
      <c r="AR95" s="829"/>
      <c r="AS95" s="829"/>
      <c r="AT95" s="829"/>
      <c r="AU95" s="829"/>
      <c r="AV95" s="829"/>
      <c r="AW95" s="829"/>
      <c r="AX95" s="829"/>
      <c r="AY95" s="829"/>
      <c r="AZ95" s="829"/>
      <c r="BA95" s="829"/>
      <c r="BB95" s="829"/>
      <c r="BC95" s="829"/>
      <c r="BD95" s="829"/>
      <c r="BE95" s="829"/>
      <c r="BF95" s="829"/>
      <c r="BG95" s="829"/>
      <c r="BH95" s="829"/>
      <c r="BI95" s="829"/>
      <c r="BJ95" s="829"/>
      <c r="BK95" s="829"/>
      <c r="BL95" s="829"/>
      <c r="BM95" s="829"/>
      <c r="BN95" s="829"/>
      <c r="BO95" s="829"/>
      <c r="BP95" s="829"/>
      <c r="BQ95" s="829"/>
      <c r="BR95" s="829"/>
      <c r="BS95" s="829"/>
      <c r="BT95" s="829"/>
      <c r="BU95" s="829"/>
      <c r="BV95" s="829"/>
      <c r="BW95" s="829"/>
      <c r="BX95" s="829"/>
      <c r="BY95" s="829"/>
      <c r="BZ95" s="829"/>
      <c r="CA95" s="829"/>
      <c r="CB95" s="829"/>
      <c r="CC95" s="829"/>
      <c r="CD95" s="829"/>
      <c r="CE95" s="829"/>
      <c r="CF95" s="829"/>
      <c r="CG95" s="829"/>
      <c r="CH95" s="829"/>
      <c r="CI95" s="829"/>
      <c r="CJ95" s="829"/>
      <c r="CK95" s="829"/>
      <c r="CL95" s="829"/>
      <c r="CM95" s="829"/>
      <c r="CN95" s="829"/>
      <c r="CO95" s="829"/>
      <c r="CP95" s="829"/>
      <c r="CQ95" s="829"/>
      <c r="CR95" s="829"/>
      <c r="CS95" s="829"/>
      <c r="CT95" s="829"/>
      <c r="CU95" s="829"/>
      <c r="CV95" s="829"/>
      <c r="CW95" s="829"/>
      <c r="CX95" s="829"/>
      <c r="CY95" s="829"/>
      <c r="CZ95" s="829"/>
      <c r="DA95" s="829"/>
      <c r="DB95" s="829"/>
      <c r="DC95" s="829"/>
      <c r="DD95" s="829"/>
      <c r="DE95" s="829"/>
      <c r="DF95" s="829"/>
      <c r="DG95" s="829"/>
      <c r="DH95" s="829"/>
      <c r="DI95" s="829"/>
      <c r="DJ95" s="829"/>
      <c r="DK95" s="829"/>
      <c r="DL95" s="829"/>
      <c r="DM95" s="829"/>
      <c r="DN95" s="829"/>
      <c r="DO95" s="829"/>
      <c r="DP95" s="829"/>
      <c r="DQ95" s="829"/>
      <c r="DR95" s="829"/>
      <c r="DS95" s="829"/>
      <c r="DT95" s="829"/>
      <c r="DU95" s="829"/>
      <c r="DV95" s="829"/>
      <c r="DW95" s="829"/>
      <c r="DX95" s="829"/>
      <c r="DY95" s="829"/>
      <c r="DZ95" s="829"/>
      <c r="EA95" s="829"/>
      <c r="EB95" s="829"/>
      <c r="EC95" s="829"/>
      <c r="ED95" s="829"/>
      <c r="EE95" s="829"/>
      <c r="EF95" s="829"/>
      <c r="EG95" s="829"/>
      <c r="EH95" s="829"/>
      <c r="EI95" s="829"/>
    </row>
    <row r="96" spans="2:139" s="452" customFormat="1" ht="28.9" hidden="1" thickBot="1" x14ac:dyDescent="0.9">
      <c r="B96" s="1055"/>
      <c r="C96" s="356" t="s">
        <v>1137</v>
      </c>
      <c r="D96" s="565" t="s">
        <v>1155</v>
      </c>
      <c r="E96" s="461"/>
      <c r="F96" s="84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29"/>
      <c r="AE96" s="829"/>
      <c r="AF96" s="829"/>
      <c r="AG96" s="829"/>
      <c r="AH96" s="829"/>
      <c r="AI96" s="829"/>
      <c r="AJ96" s="829"/>
      <c r="AK96" s="829"/>
      <c r="AL96" s="829"/>
      <c r="AM96" s="829"/>
      <c r="AN96" s="829"/>
      <c r="AO96" s="829"/>
      <c r="AP96" s="829"/>
      <c r="AQ96" s="829"/>
      <c r="AR96" s="829"/>
      <c r="AS96" s="829"/>
      <c r="AT96" s="829"/>
      <c r="AU96" s="829"/>
      <c r="AV96" s="829"/>
      <c r="AW96" s="829"/>
      <c r="AX96" s="829"/>
      <c r="AY96" s="829"/>
      <c r="AZ96" s="829"/>
      <c r="BA96" s="829"/>
      <c r="BB96" s="829"/>
      <c r="BC96" s="829"/>
      <c r="BD96" s="829"/>
      <c r="BE96" s="829"/>
      <c r="BF96" s="829"/>
      <c r="BG96" s="829"/>
      <c r="BH96" s="829"/>
      <c r="BI96" s="829"/>
      <c r="BJ96" s="829"/>
      <c r="BK96" s="829"/>
      <c r="BL96" s="829"/>
      <c r="BM96" s="829"/>
      <c r="BN96" s="829"/>
      <c r="BO96" s="829"/>
      <c r="BP96" s="829"/>
      <c r="BQ96" s="829"/>
      <c r="BR96" s="829"/>
      <c r="BS96" s="829"/>
      <c r="BT96" s="829"/>
      <c r="BU96" s="829"/>
      <c r="BV96" s="829"/>
      <c r="BW96" s="829"/>
      <c r="BX96" s="829"/>
      <c r="BY96" s="829"/>
      <c r="BZ96" s="829"/>
      <c r="CA96" s="829"/>
      <c r="CB96" s="829"/>
      <c r="CC96" s="829"/>
      <c r="CD96" s="829"/>
      <c r="CE96" s="829"/>
      <c r="CF96" s="829"/>
      <c r="CG96" s="829"/>
      <c r="CH96" s="829"/>
      <c r="CI96" s="829"/>
      <c r="CJ96" s="829"/>
      <c r="CK96" s="829"/>
      <c r="CL96" s="829"/>
      <c r="CM96" s="829"/>
      <c r="CN96" s="829"/>
      <c r="CO96" s="829"/>
      <c r="CP96" s="829"/>
      <c r="CQ96" s="829"/>
      <c r="CR96" s="829"/>
      <c r="CS96" s="829"/>
      <c r="CT96" s="829"/>
      <c r="CU96" s="829"/>
      <c r="CV96" s="829"/>
      <c r="CW96" s="829"/>
      <c r="CX96" s="829"/>
      <c r="CY96" s="829"/>
      <c r="CZ96" s="829"/>
      <c r="DA96" s="829"/>
      <c r="DB96" s="829"/>
      <c r="DC96" s="829"/>
      <c r="DD96" s="829"/>
      <c r="DE96" s="829"/>
      <c r="DF96" s="829"/>
      <c r="DG96" s="829"/>
      <c r="DH96" s="829"/>
      <c r="DI96" s="829"/>
      <c r="DJ96" s="829"/>
      <c r="DK96" s="829"/>
      <c r="DL96" s="829"/>
      <c r="DM96" s="829"/>
      <c r="DN96" s="829"/>
      <c r="DO96" s="829"/>
      <c r="DP96" s="829"/>
      <c r="DQ96" s="829"/>
      <c r="DR96" s="829"/>
      <c r="DS96" s="829"/>
      <c r="DT96" s="829"/>
      <c r="DU96" s="829"/>
      <c r="DV96" s="829"/>
      <c r="DW96" s="829"/>
      <c r="DX96" s="829"/>
      <c r="DY96" s="829"/>
      <c r="DZ96" s="829"/>
      <c r="EA96" s="829"/>
      <c r="EB96" s="829"/>
      <c r="EC96" s="829"/>
      <c r="ED96" s="829"/>
      <c r="EE96" s="829"/>
      <c r="EF96" s="829"/>
      <c r="EG96" s="829"/>
      <c r="EH96" s="829"/>
      <c r="EI96" s="829"/>
    </row>
    <row r="97" spans="2:6" x14ac:dyDescent="0.85">
      <c r="B97" s="1085" t="s">
        <v>100</v>
      </c>
      <c r="C97" s="1080"/>
      <c r="D97" s="1080"/>
      <c r="E97" s="1080"/>
      <c r="F97" s="1081"/>
    </row>
    <row r="98" spans="2:6" ht="85.5" x14ac:dyDescent="0.85">
      <c r="B98" s="1011" t="s">
        <v>20</v>
      </c>
      <c r="C98" s="482" t="s">
        <v>1010</v>
      </c>
      <c r="D98" s="771" t="s">
        <v>162</v>
      </c>
      <c r="E98" s="425" t="s">
        <v>43</v>
      </c>
      <c r="F98" s="843" t="s">
        <v>168</v>
      </c>
    </row>
    <row r="99" spans="2:6" ht="57" x14ac:dyDescent="0.85">
      <c r="B99" s="1011"/>
      <c r="C99" s="482" t="s">
        <v>163</v>
      </c>
      <c r="D99" s="771" t="s">
        <v>164</v>
      </c>
      <c r="E99" s="425" t="s">
        <v>110</v>
      </c>
      <c r="F99" s="843"/>
    </row>
    <row r="100" spans="2:6" ht="57" x14ac:dyDescent="0.85">
      <c r="B100" s="1011"/>
      <c r="C100" s="482" t="s">
        <v>306</v>
      </c>
      <c r="D100" s="771" t="s">
        <v>165</v>
      </c>
      <c r="E100" s="425" t="s">
        <v>44</v>
      </c>
      <c r="F100" s="843"/>
    </row>
    <row r="101" spans="2:6" ht="57" x14ac:dyDescent="0.85">
      <c r="B101" s="1011"/>
      <c r="C101" s="432" t="s">
        <v>1011</v>
      </c>
      <c r="D101" s="771" t="s">
        <v>166</v>
      </c>
      <c r="E101" s="425" t="s">
        <v>45</v>
      </c>
      <c r="F101" s="843"/>
    </row>
    <row r="102" spans="2:6" ht="85.5" x14ac:dyDescent="0.85">
      <c r="B102" s="1011"/>
      <c r="C102" s="76" t="s">
        <v>1257</v>
      </c>
      <c r="D102" s="875" t="s">
        <v>1256</v>
      </c>
      <c r="E102" s="425" t="s">
        <v>1346</v>
      </c>
      <c r="F102" s="843" t="s">
        <v>1347</v>
      </c>
    </row>
    <row r="103" spans="2:6" ht="85.9" thickBot="1" x14ac:dyDescent="0.9">
      <c r="B103" s="1011"/>
      <c r="C103" s="432" t="s">
        <v>307</v>
      </c>
      <c r="D103" s="771" t="s">
        <v>167</v>
      </c>
      <c r="E103" s="425" t="s">
        <v>46</v>
      </c>
      <c r="F103" s="843"/>
    </row>
    <row r="104" spans="2:6" ht="57" x14ac:dyDescent="0.85">
      <c r="B104" s="1083" t="s">
        <v>1305</v>
      </c>
      <c r="C104" s="965" t="s">
        <v>146</v>
      </c>
      <c r="D104" s="966" t="s">
        <v>925</v>
      </c>
      <c r="E104" s="425" t="s">
        <v>931</v>
      </c>
      <c r="F104" s="843" t="s">
        <v>932</v>
      </c>
    </row>
    <row r="105" spans="2:6" ht="83.25" customHeight="1" thickBot="1" x14ac:dyDescent="0.9">
      <c r="B105" s="1084"/>
      <c r="C105" s="967" t="s">
        <v>138</v>
      </c>
      <c r="D105" s="966" t="s">
        <v>926</v>
      </c>
      <c r="E105" s="425" t="s">
        <v>933</v>
      </c>
      <c r="F105" s="843" t="s">
        <v>932</v>
      </c>
    </row>
    <row r="106" spans="2:6" ht="31.5" customHeight="1" x14ac:dyDescent="0.85">
      <c r="B106" s="1083" t="s">
        <v>1180</v>
      </c>
      <c r="C106" s="968" t="s">
        <v>146</v>
      </c>
      <c r="D106" s="901" t="s">
        <v>1181</v>
      </c>
      <c r="E106" s="425"/>
      <c r="F106" s="843"/>
    </row>
    <row r="107" spans="2:6" ht="28.9" thickBot="1" x14ac:dyDescent="0.9">
      <c r="B107" s="1084"/>
      <c r="C107" s="969" t="s">
        <v>138</v>
      </c>
      <c r="D107" s="576" t="s">
        <v>1182</v>
      </c>
      <c r="E107" s="425"/>
      <c r="F107" s="843"/>
    </row>
    <row r="108" spans="2:6" x14ac:dyDescent="0.85">
      <c r="B108" s="1085" t="s">
        <v>112</v>
      </c>
      <c r="C108" s="1080"/>
      <c r="D108" s="1080"/>
      <c r="E108" s="1080"/>
      <c r="F108" s="1081"/>
    </row>
    <row r="109" spans="2:6" ht="85.5" x14ac:dyDescent="0.85">
      <c r="B109" s="1036" t="s">
        <v>554</v>
      </c>
      <c r="C109" s="482" t="s">
        <v>1012</v>
      </c>
      <c r="D109" s="771" t="s">
        <v>172</v>
      </c>
      <c r="E109" s="425" t="s">
        <v>48</v>
      </c>
      <c r="F109" s="843" t="s">
        <v>183</v>
      </c>
    </row>
    <row r="110" spans="2:6" ht="57" x14ac:dyDescent="0.85">
      <c r="B110" s="1036"/>
      <c r="C110" s="482" t="s">
        <v>681</v>
      </c>
      <c r="D110" s="771" t="s">
        <v>533</v>
      </c>
      <c r="E110" s="413" t="s">
        <v>682</v>
      </c>
      <c r="F110" s="837" t="s">
        <v>683</v>
      </c>
    </row>
    <row r="111" spans="2:6" ht="57" x14ac:dyDescent="0.85">
      <c r="B111" s="1036"/>
      <c r="C111" s="482" t="s">
        <v>684</v>
      </c>
      <c r="D111" s="771" t="s">
        <v>534</v>
      </c>
      <c r="E111" s="413" t="s">
        <v>685</v>
      </c>
      <c r="F111" s="837" t="s">
        <v>683</v>
      </c>
    </row>
    <row r="112" spans="2:6" ht="142.5" x14ac:dyDescent="0.85">
      <c r="B112" s="1036"/>
      <c r="C112" s="482" t="s">
        <v>1013</v>
      </c>
      <c r="D112" s="771" t="s">
        <v>173</v>
      </c>
      <c r="E112" s="425" t="s">
        <v>47</v>
      </c>
      <c r="F112" s="843" t="s">
        <v>184</v>
      </c>
    </row>
    <row r="113" spans="2:6" ht="85.5" x14ac:dyDescent="0.85">
      <c r="B113" s="893" t="s">
        <v>555</v>
      </c>
      <c r="C113" s="433" t="s">
        <v>603</v>
      </c>
      <c r="D113" s="771" t="s">
        <v>174</v>
      </c>
      <c r="E113" s="425" t="s">
        <v>108</v>
      </c>
      <c r="F113" s="843" t="s">
        <v>185</v>
      </c>
    </row>
    <row r="114" spans="2:6" ht="57" x14ac:dyDescent="0.85">
      <c r="B114" s="1036" t="s">
        <v>547</v>
      </c>
      <c r="C114" s="432" t="s">
        <v>369</v>
      </c>
      <c r="D114" s="771" t="s">
        <v>548</v>
      </c>
      <c r="E114" s="413" t="s">
        <v>686</v>
      </c>
      <c r="F114" s="837" t="s">
        <v>687</v>
      </c>
    </row>
    <row r="115" spans="2:6" ht="57" x14ac:dyDescent="0.85">
      <c r="B115" s="1036"/>
      <c r="C115" s="432" t="s">
        <v>364</v>
      </c>
      <c r="D115" s="771" t="s">
        <v>549</v>
      </c>
      <c r="E115" s="413" t="s">
        <v>688</v>
      </c>
      <c r="F115" s="837" t="s">
        <v>687</v>
      </c>
    </row>
    <row r="116" spans="2:6" ht="57" x14ac:dyDescent="0.85">
      <c r="B116" s="1036"/>
      <c r="C116" s="482" t="s">
        <v>365</v>
      </c>
      <c r="D116" s="771" t="s">
        <v>550</v>
      </c>
      <c r="E116" s="413" t="s">
        <v>689</v>
      </c>
      <c r="F116" s="837" t="s">
        <v>687</v>
      </c>
    </row>
    <row r="117" spans="2:6" ht="57" x14ac:dyDescent="0.85">
      <c r="B117" s="1036"/>
      <c r="C117" s="482" t="s">
        <v>366</v>
      </c>
      <c r="D117" s="771" t="s">
        <v>551</v>
      </c>
      <c r="E117" s="413" t="s">
        <v>690</v>
      </c>
      <c r="F117" s="837" t="s">
        <v>687</v>
      </c>
    </row>
    <row r="118" spans="2:6" ht="57" x14ac:dyDescent="0.85">
      <c r="B118" s="1036"/>
      <c r="C118" s="482" t="s">
        <v>367</v>
      </c>
      <c r="D118" s="771" t="s">
        <v>552</v>
      </c>
      <c r="E118" s="413" t="s">
        <v>691</v>
      </c>
      <c r="F118" s="837" t="s">
        <v>687</v>
      </c>
    </row>
    <row r="119" spans="2:6" ht="57.4" thickBot="1" x14ac:dyDescent="0.9">
      <c r="B119" s="1036"/>
      <c r="C119" s="482" t="s">
        <v>368</v>
      </c>
      <c r="D119" s="771" t="s">
        <v>553</v>
      </c>
      <c r="E119" s="413" t="s">
        <v>692</v>
      </c>
      <c r="F119" s="837" t="s">
        <v>687</v>
      </c>
    </row>
    <row r="120" spans="2:6" ht="32.25" customHeight="1" x14ac:dyDescent="0.85">
      <c r="B120" s="1064" t="s">
        <v>1272</v>
      </c>
      <c r="C120" s="885" t="s">
        <v>1156</v>
      </c>
      <c r="D120" s="887" t="s">
        <v>1258</v>
      </c>
      <c r="E120" s="1003" t="s">
        <v>1316</v>
      </c>
      <c r="F120" s="843" t="s">
        <v>1313</v>
      </c>
    </row>
    <row r="121" spans="2:6" ht="32.25" customHeight="1" thickBot="1" x14ac:dyDescent="0.9">
      <c r="B121" s="1065"/>
      <c r="C121" s="886" t="s">
        <v>1157</v>
      </c>
      <c r="D121" s="876" t="s">
        <v>1259</v>
      </c>
      <c r="E121" s="1003" t="s">
        <v>1317</v>
      </c>
      <c r="F121" s="843" t="s">
        <v>1313</v>
      </c>
    </row>
    <row r="122" spans="2:6" ht="32.25" customHeight="1" x14ac:dyDescent="0.85">
      <c r="B122" s="1012" t="s">
        <v>1267</v>
      </c>
      <c r="C122" s="885" t="s">
        <v>1261</v>
      </c>
      <c r="D122" s="887" t="s">
        <v>1263</v>
      </c>
      <c r="E122" s="1004" t="s">
        <v>1319</v>
      </c>
      <c r="F122" s="843" t="s">
        <v>1313</v>
      </c>
    </row>
    <row r="123" spans="2:6" ht="32.25" customHeight="1" thickBot="1" x14ac:dyDescent="0.9">
      <c r="B123" s="1014"/>
      <c r="C123" s="886" t="s">
        <v>1262</v>
      </c>
      <c r="D123" s="876" t="s">
        <v>1264</v>
      </c>
      <c r="E123" s="1004" t="s">
        <v>1320</v>
      </c>
      <c r="F123" s="843" t="s">
        <v>1313</v>
      </c>
    </row>
    <row r="124" spans="2:6" ht="32.25" customHeight="1" x14ac:dyDescent="0.85">
      <c r="B124" s="1012" t="s">
        <v>1266</v>
      </c>
      <c r="C124" s="885" t="s">
        <v>1265</v>
      </c>
      <c r="D124" s="887" t="s">
        <v>1269</v>
      </c>
      <c r="E124" s="1004" t="s">
        <v>1314</v>
      </c>
      <c r="F124" s="843" t="s">
        <v>1313</v>
      </c>
    </row>
    <row r="125" spans="2:6" ht="32.25" customHeight="1" x14ac:dyDescent="0.85">
      <c r="B125" s="1013"/>
      <c r="C125" s="888" t="s">
        <v>1268</v>
      </c>
      <c r="D125" s="889" t="s">
        <v>1270</v>
      </c>
      <c r="E125" s="1004" t="s">
        <v>1315</v>
      </c>
      <c r="F125" s="843" t="s">
        <v>1313</v>
      </c>
    </row>
    <row r="126" spans="2:6" ht="32.25" customHeight="1" thickBot="1" x14ac:dyDescent="0.9">
      <c r="B126" s="1014"/>
      <c r="C126" s="886" t="s">
        <v>21</v>
      </c>
      <c r="D126" s="876" t="s">
        <v>1271</v>
      </c>
      <c r="E126" s="1004" t="s">
        <v>1318</v>
      </c>
      <c r="F126" s="843" t="s">
        <v>1313</v>
      </c>
    </row>
    <row r="127" spans="2:6" ht="32.25" customHeight="1" thickBot="1" x14ac:dyDescent="0.9">
      <c r="B127" s="900" t="s">
        <v>1279</v>
      </c>
      <c r="C127" s="885" t="s">
        <v>1280</v>
      </c>
      <c r="D127" s="887" t="s">
        <v>1281</v>
      </c>
      <c r="E127" s="1004" t="s">
        <v>1321</v>
      </c>
      <c r="F127" s="837"/>
    </row>
    <row r="128" spans="2:6" ht="89.25" customHeight="1" thickBot="1" x14ac:dyDescent="0.9">
      <c r="B128" s="816" t="s">
        <v>963</v>
      </c>
      <c r="C128" s="497" t="s">
        <v>1161</v>
      </c>
      <c r="D128" s="561" t="s">
        <v>964</v>
      </c>
      <c r="E128" s="425" t="s">
        <v>1340</v>
      </c>
      <c r="F128" s="843" t="s">
        <v>1313</v>
      </c>
    </row>
    <row r="129" spans="2:139" ht="32.25" customHeight="1" x14ac:dyDescent="0.85">
      <c r="B129" s="1007" t="s">
        <v>1131</v>
      </c>
      <c r="C129" s="91" t="s">
        <v>1132</v>
      </c>
      <c r="D129" s="895" t="s">
        <v>176</v>
      </c>
      <c r="E129" s="1003" t="s">
        <v>1322</v>
      </c>
      <c r="F129" s="843"/>
    </row>
    <row r="130" spans="2:139" ht="32.25" customHeight="1" thickBot="1" x14ac:dyDescent="0.9">
      <c r="B130" s="1008"/>
      <c r="C130" s="118" t="s">
        <v>1133</v>
      </c>
      <c r="D130" s="896" t="s">
        <v>177</v>
      </c>
      <c r="E130" s="1003" t="s">
        <v>1323</v>
      </c>
      <c r="F130" s="843"/>
    </row>
    <row r="131" spans="2:139" ht="32.25" customHeight="1" x14ac:dyDescent="0.85">
      <c r="B131" s="1009" t="s">
        <v>1158</v>
      </c>
      <c r="C131" s="501" t="s">
        <v>1156</v>
      </c>
      <c r="D131" s="896" t="s">
        <v>1159</v>
      </c>
      <c r="E131" s="1005" t="s">
        <v>1324</v>
      </c>
      <c r="F131" s="843"/>
    </row>
    <row r="132" spans="2:139" ht="32.25" customHeight="1" thickBot="1" x14ac:dyDescent="0.9">
      <c r="B132" s="1010"/>
      <c r="C132" s="502" t="s">
        <v>1157</v>
      </c>
      <c r="D132" s="777" t="s">
        <v>1160</v>
      </c>
      <c r="E132" s="1005" t="s">
        <v>1325</v>
      </c>
      <c r="F132" s="843"/>
    </row>
    <row r="133" spans="2:139" ht="32.25" customHeight="1" x14ac:dyDescent="0.85">
      <c r="B133" s="1071" t="s">
        <v>102</v>
      </c>
      <c r="C133" s="500" t="s">
        <v>1014</v>
      </c>
      <c r="D133" s="770" t="s">
        <v>330</v>
      </c>
      <c r="E133" s="425" t="s">
        <v>123</v>
      </c>
      <c r="F133" s="843" t="s">
        <v>186</v>
      </c>
    </row>
    <row r="134" spans="2:139" ht="32.25" customHeight="1" thickBot="1" x14ac:dyDescent="0.9">
      <c r="B134" s="1011"/>
      <c r="C134" s="483" t="s">
        <v>308</v>
      </c>
      <c r="D134" s="771" t="s">
        <v>331</v>
      </c>
      <c r="E134" s="425" t="s">
        <v>122</v>
      </c>
      <c r="F134" s="843" t="s">
        <v>187</v>
      </c>
    </row>
    <row r="135" spans="2:139" ht="32.25" customHeight="1" x14ac:dyDescent="0.85">
      <c r="B135" s="1099" t="s">
        <v>1200</v>
      </c>
      <c r="C135" s="971" t="s">
        <v>367</v>
      </c>
      <c r="D135" s="972" t="s">
        <v>1201</v>
      </c>
      <c r="E135" s="1003" t="s">
        <v>1345</v>
      </c>
      <c r="F135" s="843"/>
    </row>
    <row r="136" spans="2:139" ht="32.25" customHeight="1" thickBot="1" x14ac:dyDescent="0.9">
      <c r="B136" s="1084"/>
      <c r="C136" s="973" t="s">
        <v>365</v>
      </c>
      <c r="D136" s="974" t="s">
        <v>1202</v>
      </c>
      <c r="E136" s="1003" t="s">
        <v>1344</v>
      </c>
      <c r="F136" s="843"/>
    </row>
    <row r="137" spans="2:139" ht="32.25" customHeight="1" x14ac:dyDescent="0.85">
      <c r="B137" s="1012" t="s">
        <v>1273</v>
      </c>
      <c r="C137" s="885" t="s">
        <v>1261</v>
      </c>
      <c r="D137" s="887" t="s">
        <v>1274</v>
      </c>
      <c r="E137" s="1006" t="s">
        <v>1337</v>
      </c>
      <c r="F137" s="844"/>
    </row>
    <row r="138" spans="2:139" ht="32.25" customHeight="1" thickBot="1" x14ac:dyDescent="0.9">
      <c r="B138" s="1014"/>
      <c r="C138" s="886" t="s">
        <v>1262</v>
      </c>
      <c r="D138" s="876" t="s">
        <v>1275</v>
      </c>
      <c r="E138" s="1006" t="s">
        <v>1338</v>
      </c>
      <c r="F138" s="844"/>
    </row>
    <row r="139" spans="2:139" ht="32.25" customHeight="1" x14ac:dyDescent="0.85">
      <c r="B139" s="1012" t="s">
        <v>1311</v>
      </c>
      <c r="C139" s="885" t="s">
        <v>1265</v>
      </c>
      <c r="D139" s="887" t="s">
        <v>1276</v>
      </c>
      <c r="E139" s="1006" t="s">
        <v>1339</v>
      </c>
      <c r="F139" s="844"/>
    </row>
    <row r="140" spans="2:139" ht="32.25" customHeight="1" x14ac:dyDescent="0.85">
      <c r="B140" s="1013"/>
      <c r="C140" s="888" t="s">
        <v>1268</v>
      </c>
      <c r="D140" s="889" t="s">
        <v>1277</v>
      </c>
      <c r="E140" s="1006" t="s">
        <v>1341</v>
      </c>
      <c r="F140" s="844"/>
    </row>
    <row r="141" spans="2:139" ht="32.25" customHeight="1" thickBot="1" x14ac:dyDescent="0.9">
      <c r="B141" s="1014"/>
      <c r="C141" s="886" t="s">
        <v>21</v>
      </c>
      <c r="D141" s="876" t="s">
        <v>1278</v>
      </c>
      <c r="E141" s="460" t="s">
        <v>1342</v>
      </c>
      <c r="F141" s="844"/>
    </row>
    <row r="142" spans="2:139" ht="49.5" customHeight="1" thickBot="1" x14ac:dyDescent="0.9">
      <c r="B142" s="900" t="s">
        <v>1282</v>
      </c>
      <c r="C142" s="885" t="s">
        <v>1283</v>
      </c>
      <c r="D142" s="887" t="s">
        <v>1284</v>
      </c>
      <c r="E142" s="460" t="s">
        <v>1343</v>
      </c>
      <c r="F142" s="844"/>
    </row>
    <row r="143" spans="2:139" x14ac:dyDescent="0.85">
      <c r="B143" s="1061" t="s">
        <v>1203</v>
      </c>
      <c r="C143" s="1062"/>
      <c r="D143" s="1062"/>
      <c r="E143" s="1062"/>
      <c r="F143" s="1063"/>
    </row>
    <row r="144" spans="2:139" s="18" customFormat="1" ht="33.4" customHeight="1" thickBot="1" x14ac:dyDescent="0.8">
      <c r="B144" s="1061" t="s">
        <v>1246</v>
      </c>
      <c r="C144" s="1062"/>
      <c r="D144" s="1062"/>
      <c r="E144" s="1062"/>
      <c r="F144" s="1063"/>
      <c r="G144" s="830"/>
      <c r="H144" s="830"/>
      <c r="I144" s="830"/>
      <c r="J144" s="830"/>
      <c r="K144" s="830"/>
      <c r="L144" s="830"/>
      <c r="M144" s="830"/>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0"/>
      <c r="AJ144" s="830"/>
      <c r="AK144" s="830"/>
      <c r="AL144" s="830"/>
      <c r="AM144" s="830"/>
      <c r="AN144" s="830"/>
      <c r="AO144" s="469">
        <v>97</v>
      </c>
      <c r="AP144" s="74"/>
      <c r="AQ144" s="831"/>
      <c r="AR144" s="832"/>
      <c r="AS144" s="832"/>
      <c r="AT144" s="832"/>
      <c r="AU144" s="832"/>
      <c r="AV144" s="832"/>
      <c r="AW144" s="832"/>
      <c r="AX144" s="832"/>
      <c r="AY144" s="832"/>
      <c r="AZ144" s="832"/>
      <c r="BA144" s="832"/>
      <c r="BB144" s="832"/>
      <c r="BC144" s="832"/>
      <c r="BD144" s="832"/>
      <c r="BE144" s="832"/>
      <c r="BF144" s="832"/>
      <c r="BG144" s="832"/>
      <c r="BH144" s="832"/>
      <c r="BI144" s="832"/>
      <c r="BJ144" s="832"/>
      <c r="BK144" s="832"/>
      <c r="BL144" s="832"/>
      <c r="BM144" s="832"/>
      <c r="BN144" s="832"/>
      <c r="BO144" s="832"/>
      <c r="BP144" s="832"/>
      <c r="BQ144" s="832"/>
      <c r="BR144" s="832"/>
      <c r="BS144" s="832"/>
      <c r="BT144" s="832"/>
      <c r="BU144" s="832"/>
      <c r="BV144" s="832"/>
      <c r="BW144" s="832"/>
      <c r="BX144" s="832"/>
      <c r="BY144" s="832"/>
      <c r="BZ144" s="832"/>
      <c r="CA144" s="832"/>
      <c r="CB144" s="832"/>
      <c r="CC144" s="832"/>
      <c r="CD144" s="832"/>
      <c r="CE144" s="832"/>
      <c r="CF144" s="832"/>
      <c r="CG144" s="832"/>
      <c r="CH144" s="832"/>
      <c r="CI144" s="832"/>
      <c r="CJ144" s="832"/>
      <c r="CK144" s="832"/>
      <c r="CL144" s="832"/>
      <c r="CM144" s="832"/>
      <c r="CN144" s="832"/>
      <c r="CO144" s="832"/>
      <c r="CP144" s="832"/>
      <c r="CQ144" s="832"/>
      <c r="CR144" s="832"/>
      <c r="CS144" s="832"/>
      <c r="CT144" s="832"/>
      <c r="CU144" s="832"/>
      <c r="CV144" s="832"/>
      <c r="CW144" s="832"/>
      <c r="CX144" s="832"/>
      <c r="CY144" s="832"/>
      <c r="CZ144" s="832"/>
      <c r="DA144" s="832"/>
      <c r="DB144" s="832"/>
      <c r="DC144" s="832"/>
      <c r="DD144" s="832"/>
      <c r="DE144" s="832"/>
      <c r="DF144" s="832"/>
      <c r="DG144" s="832"/>
      <c r="DH144" s="832"/>
      <c r="DI144" s="832"/>
      <c r="DJ144" s="832"/>
      <c r="DK144" s="832"/>
      <c r="DL144" s="832"/>
      <c r="DM144" s="832"/>
      <c r="DN144" s="832"/>
      <c r="DO144" s="832"/>
      <c r="DP144" s="832"/>
      <c r="DQ144" s="832"/>
      <c r="DR144" s="832"/>
      <c r="DS144" s="832"/>
      <c r="DT144" s="832"/>
      <c r="DU144" s="832"/>
      <c r="DV144" s="832"/>
      <c r="DW144" s="832"/>
      <c r="DX144" s="832"/>
      <c r="DY144" s="832"/>
      <c r="DZ144" s="832"/>
      <c r="EA144" s="832"/>
      <c r="EB144" s="832"/>
      <c r="EC144" s="832"/>
      <c r="ED144" s="832"/>
      <c r="EE144" s="832"/>
      <c r="EF144" s="832"/>
      <c r="EG144" s="832"/>
      <c r="EH144" s="832"/>
      <c r="EI144" s="832"/>
    </row>
    <row r="145" spans="1:139" s="788" customFormat="1" x14ac:dyDescent="0.85">
      <c r="A145" s="819"/>
      <c r="B145" s="975" t="s">
        <v>1204</v>
      </c>
      <c r="C145" s="970" t="s">
        <v>1205</v>
      </c>
      <c r="D145" s="575" t="s">
        <v>1210</v>
      </c>
      <c r="E145" s="787"/>
      <c r="F145" s="850"/>
      <c r="G145" s="817"/>
      <c r="H145" s="817"/>
      <c r="I145" s="817"/>
      <c r="J145" s="817"/>
      <c r="K145" s="817"/>
      <c r="L145" s="817"/>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c r="BC145" s="817"/>
      <c r="BD145" s="817"/>
      <c r="BE145" s="817"/>
      <c r="BF145" s="817"/>
      <c r="BG145" s="817"/>
      <c r="BH145" s="817"/>
      <c r="BI145" s="817"/>
      <c r="BJ145" s="817"/>
      <c r="BK145" s="817"/>
      <c r="BL145" s="817"/>
      <c r="BM145" s="817"/>
      <c r="BN145" s="817"/>
      <c r="BO145" s="817"/>
      <c r="BP145" s="817"/>
      <c r="BQ145" s="817"/>
      <c r="BR145" s="817"/>
      <c r="BS145" s="817"/>
      <c r="BT145" s="817"/>
      <c r="BU145" s="817"/>
      <c r="BV145" s="817"/>
      <c r="BW145" s="817"/>
      <c r="BX145" s="817"/>
      <c r="BY145" s="817"/>
      <c r="BZ145" s="817"/>
      <c r="CA145" s="817"/>
      <c r="CB145" s="817"/>
      <c r="CC145" s="817"/>
      <c r="CD145" s="817"/>
      <c r="CE145" s="817"/>
      <c r="CF145" s="817"/>
      <c r="CG145" s="817"/>
      <c r="CH145" s="817"/>
      <c r="CI145" s="817"/>
      <c r="CJ145" s="817"/>
      <c r="CK145" s="817"/>
      <c r="CL145" s="817"/>
      <c r="CM145" s="817"/>
      <c r="CN145" s="817"/>
      <c r="CO145" s="817"/>
      <c r="CP145" s="817"/>
      <c r="CQ145" s="817"/>
      <c r="CR145" s="817"/>
      <c r="CS145" s="817"/>
      <c r="CT145" s="817"/>
      <c r="CU145" s="817"/>
      <c r="CV145" s="817"/>
      <c r="CW145" s="817"/>
      <c r="CX145" s="817"/>
      <c r="CY145" s="817"/>
      <c r="CZ145" s="817"/>
      <c r="DA145" s="817"/>
      <c r="DB145" s="817"/>
      <c r="DC145" s="817"/>
      <c r="DD145" s="817"/>
      <c r="DE145" s="817"/>
      <c r="DF145" s="817"/>
      <c r="DG145" s="817"/>
      <c r="DH145" s="817"/>
      <c r="DI145" s="817"/>
      <c r="DJ145" s="817"/>
      <c r="DK145" s="817"/>
      <c r="DL145" s="817"/>
      <c r="DM145" s="817"/>
      <c r="DN145" s="817"/>
      <c r="DO145" s="817"/>
      <c r="DP145" s="817"/>
      <c r="DQ145" s="817"/>
      <c r="DR145" s="817"/>
      <c r="DS145" s="817"/>
      <c r="DT145" s="817"/>
      <c r="DU145" s="817"/>
      <c r="DV145" s="817"/>
      <c r="DW145" s="817"/>
      <c r="DX145" s="817"/>
      <c r="DY145" s="817"/>
      <c r="DZ145" s="817"/>
      <c r="EA145" s="817"/>
      <c r="EB145" s="817"/>
      <c r="EC145" s="817"/>
      <c r="ED145" s="817"/>
      <c r="EE145" s="817"/>
      <c r="EF145" s="817"/>
      <c r="EG145" s="817"/>
      <c r="EH145" s="817"/>
      <c r="EI145" s="817"/>
    </row>
    <row r="146" spans="1:139" ht="85.5" x14ac:dyDescent="0.85">
      <c r="B146" s="1011" t="s">
        <v>901</v>
      </c>
      <c r="C146" s="786" t="s">
        <v>1015</v>
      </c>
      <c r="D146" s="770" t="s">
        <v>190</v>
      </c>
      <c r="E146" s="787" t="s">
        <v>75</v>
      </c>
      <c r="F146" s="850" t="s">
        <v>188</v>
      </c>
    </row>
    <row r="147" spans="1:139" ht="85.5" x14ac:dyDescent="0.85">
      <c r="B147" s="1011"/>
      <c r="C147" s="482" t="s">
        <v>1016</v>
      </c>
      <c r="D147" s="771" t="s">
        <v>191</v>
      </c>
      <c r="E147" s="425" t="s">
        <v>903</v>
      </c>
      <c r="F147" s="843" t="s">
        <v>188</v>
      </c>
      <c r="G147" s="1082"/>
      <c r="H147" s="1082"/>
      <c r="I147" s="1082"/>
      <c r="J147" s="1082"/>
      <c r="K147" s="1082"/>
      <c r="L147" s="1082"/>
      <c r="M147" s="1082"/>
      <c r="N147" s="1082"/>
    </row>
    <row r="148" spans="1:139" ht="57" x14ac:dyDescent="0.85">
      <c r="B148" s="1011" t="s">
        <v>902</v>
      </c>
      <c r="C148" s="482" t="s">
        <v>1017</v>
      </c>
      <c r="D148" s="771" t="s">
        <v>192</v>
      </c>
      <c r="E148" s="425" t="s">
        <v>904</v>
      </c>
      <c r="F148" s="843" t="s">
        <v>188</v>
      </c>
    </row>
    <row r="149" spans="1:139" ht="85.5" x14ac:dyDescent="0.85">
      <c r="B149" s="1011"/>
      <c r="C149" s="482" t="s">
        <v>1016</v>
      </c>
      <c r="D149" s="771" t="s">
        <v>193</v>
      </c>
      <c r="E149" s="425" t="s">
        <v>905</v>
      </c>
      <c r="F149" s="843" t="s">
        <v>188</v>
      </c>
    </row>
    <row r="150" spans="1:139" ht="85.5" x14ac:dyDescent="0.85">
      <c r="B150" s="1011" t="s">
        <v>28</v>
      </c>
      <c r="C150" s="483" t="s">
        <v>309</v>
      </c>
      <c r="D150" s="771" t="s">
        <v>194</v>
      </c>
      <c r="E150" s="425" t="s">
        <v>76</v>
      </c>
      <c r="F150" s="843" t="s">
        <v>188</v>
      </c>
    </row>
    <row r="151" spans="1:139" ht="85.5" x14ac:dyDescent="0.85">
      <c r="B151" s="1011"/>
      <c r="C151" s="483" t="s">
        <v>310</v>
      </c>
      <c r="D151" s="771" t="s">
        <v>195</v>
      </c>
      <c r="E151" s="425" t="s">
        <v>189</v>
      </c>
      <c r="F151" s="843" t="s">
        <v>188</v>
      </c>
    </row>
    <row r="152" spans="1:139" ht="85.5" x14ac:dyDescent="0.85">
      <c r="B152" s="1011" t="s">
        <v>29</v>
      </c>
      <c r="C152" s="483" t="s">
        <v>309</v>
      </c>
      <c r="D152" s="771" t="s">
        <v>196</v>
      </c>
      <c r="E152" s="425" t="s">
        <v>77</v>
      </c>
      <c r="F152" s="843" t="s">
        <v>188</v>
      </c>
    </row>
    <row r="153" spans="1:139" ht="85.5" x14ac:dyDescent="0.85">
      <c r="B153" s="1011"/>
      <c r="C153" s="434" t="s">
        <v>1018</v>
      </c>
      <c r="D153" s="771" t="s">
        <v>197</v>
      </c>
      <c r="E153" s="425" t="s">
        <v>189</v>
      </c>
      <c r="F153" s="843" t="s">
        <v>188</v>
      </c>
    </row>
    <row r="154" spans="1:139" ht="57" x14ac:dyDescent="0.85">
      <c r="B154" s="1011" t="s">
        <v>30</v>
      </c>
      <c r="C154" s="434" t="s">
        <v>309</v>
      </c>
      <c r="D154" s="771" t="s">
        <v>198</v>
      </c>
      <c r="E154" s="425" t="s">
        <v>78</v>
      </c>
      <c r="F154" s="843" t="s">
        <v>188</v>
      </c>
    </row>
    <row r="155" spans="1:139" ht="85.5" x14ac:dyDescent="0.85">
      <c r="B155" s="1011"/>
      <c r="C155" s="483" t="s">
        <v>1019</v>
      </c>
      <c r="D155" s="771" t="s">
        <v>199</v>
      </c>
      <c r="E155" s="425" t="s">
        <v>189</v>
      </c>
      <c r="F155" s="843" t="s">
        <v>188</v>
      </c>
    </row>
    <row r="156" spans="1:139" ht="85.5" x14ac:dyDescent="0.85">
      <c r="B156" s="1011" t="s">
        <v>31</v>
      </c>
      <c r="C156" s="483" t="s">
        <v>309</v>
      </c>
      <c r="D156" s="771" t="s">
        <v>200</v>
      </c>
      <c r="E156" s="425" t="s">
        <v>79</v>
      </c>
      <c r="F156" s="843" t="s">
        <v>188</v>
      </c>
    </row>
    <row r="157" spans="1:139" ht="85.5" x14ac:dyDescent="0.85">
      <c r="B157" s="1011"/>
      <c r="C157" s="483" t="s">
        <v>311</v>
      </c>
      <c r="D157" s="771" t="s">
        <v>201</v>
      </c>
      <c r="E157" s="425" t="s">
        <v>189</v>
      </c>
      <c r="F157" s="843" t="s">
        <v>188</v>
      </c>
    </row>
    <row r="158" spans="1:139" s="18" customFormat="1" ht="33.4" customHeight="1" x14ac:dyDescent="0.75">
      <c r="B158" s="1061" t="s">
        <v>1245</v>
      </c>
      <c r="C158" s="1062"/>
      <c r="D158" s="1062"/>
      <c r="E158" s="1062"/>
      <c r="F158" s="1063"/>
      <c r="G158" s="830"/>
      <c r="H158" s="830"/>
      <c r="I158" s="830"/>
      <c r="J158" s="830"/>
      <c r="K158" s="830"/>
      <c r="L158" s="830"/>
      <c r="M158" s="830"/>
      <c r="N158" s="830"/>
      <c r="O158" s="830"/>
      <c r="P158" s="830"/>
      <c r="Q158" s="830"/>
      <c r="R158" s="830"/>
      <c r="S158" s="830"/>
      <c r="T158" s="830"/>
      <c r="U158" s="830"/>
      <c r="V158" s="830"/>
      <c r="W158" s="830"/>
      <c r="X158" s="830"/>
      <c r="Y158" s="830"/>
      <c r="Z158" s="830"/>
      <c r="AA158" s="830"/>
      <c r="AB158" s="830"/>
      <c r="AC158" s="830"/>
      <c r="AD158" s="830"/>
      <c r="AE158" s="830"/>
      <c r="AF158" s="830"/>
      <c r="AG158" s="830"/>
      <c r="AH158" s="830"/>
      <c r="AI158" s="830"/>
      <c r="AJ158" s="830"/>
      <c r="AK158" s="830"/>
      <c r="AL158" s="830"/>
      <c r="AM158" s="830"/>
      <c r="AN158" s="830"/>
      <c r="AO158" s="469">
        <v>97</v>
      </c>
      <c r="AP158" s="74"/>
      <c r="AQ158" s="831"/>
      <c r="AR158" s="832"/>
      <c r="AS158" s="832"/>
      <c r="AT158" s="832"/>
      <c r="AU158" s="832"/>
      <c r="AV158" s="832"/>
      <c r="AW158" s="832"/>
      <c r="AX158" s="832"/>
      <c r="AY158" s="832"/>
      <c r="AZ158" s="832"/>
      <c r="BA158" s="832"/>
      <c r="BB158" s="832"/>
      <c r="BC158" s="832"/>
      <c r="BD158" s="832"/>
      <c r="BE158" s="832"/>
      <c r="BF158" s="832"/>
      <c r="BG158" s="832"/>
      <c r="BH158" s="832"/>
      <c r="BI158" s="832"/>
      <c r="BJ158" s="832"/>
      <c r="BK158" s="832"/>
      <c r="BL158" s="832"/>
      <c r="BM158" s="832"/>
      <c r="BN158" s="832"/>
      <c r="BO158" s="832"/>
      <c r="BP158" s="832"/>
      <c r="BQ158" s="832"/>
      <c r="BR158" s="832"/>
      <c r="BS158" s="832"/>
      <c r="BT158" s="832"/>
      <c r="BU158" s="832"/>
      <c r="BV158" s="832"/>
      <c r="BW158" s="832"/>
      <c r="BX158" s="832"/>
      <c r="BY158" s="832"/>
      <c r="BZ158" s="832"/>
      <c r="CA158" s="832"/>
      <c r="CB158" s="832"/>
      <c r="CC158" s="832"/>
      <c r="CD158" s="832"/>
      <c r="CE158" s="832"/>
      <c r="CF158" s="832"/>
      <c r="CG158" s="832"/>
      <c r="CH158" s="832"/>
      <c r="CI158" s="832"/>
      <c r="CJ158" s="832"/>
      <c r="CK158" s="832"/>
      <c r="CL158" s="832"/>
      <c r="CM158" s="832"/>
      <c r="CN158" s="832"/>
      <c r="CO158" s="832"/>
      <c r="CP158" s="832"/>
      <c r="CQ158" s="832"/>
      <c r="CR158" s="832"/>
      <c r="CS158" s="832"/>
      <c r="CT158" s="832"/>
      <c r="CU158" s="832"/>
      <c r="CV158" s="832"/>
      <c r="CW158" s="832"/>
      <c r="CX158" s="832"/>
      <c r="CY158" s="832"/>
      <c r="CZ158" s="832"/>
      <c r="DA158" s="832"/>
      <c r="DB158" s="832"/>
      <c r="DC158" s="832"/>
      <c r="DD158" s="832"/>
      <c r="DE158" s="832"/>
      <c r="DF158" s="832"/>
      <c r="DG158" s="832"/>
      <c r="DH158" s="832"/>
      <c r="DI158" s="832"/>
      <c r="DJ158" s="832"/>
      <c r="DK158" s="832"/>
      <c r="DL158" s="832"/>
      <c r="DM158" s="832"/>
      <c r="DN158" s="832"/>
      <c r="DO158" s="832"/>
      <c r="DP158" s="832"/>
      <c r="DQ158" s="832"/>
      <c r="DR158" s="832"/>
      <c r="DS158" s="832"/>
      <c r="DT158" s="832"/>
      <c r="DU158" s="832"/>
      <c r="DV158" s="832"/>
      <c r="DW158" s="832"/>
      <c r="DX158" s="832"/>
      <c r="DY158" s="832"/>
      <c r="DZ158" s="832"/>
      <c r="EA158" s="832"/>
      <c r="EB158" s="832"/>
      <c r="EC158" s="832"/>
      <c r="ED158" s="832"/>
      <c r="EE158" s="832"/>
      <c r="EF158" s="832"/>
      <c r="EG158" s="832"/>
      <c r="EH158" s="832"/>
      <c r="EI158" s="832"/>
    </row>
    <row r="159" spans="1:139" s="788" customFormat="1" x14ac:dyDescent="0.85">
      <c r="A159" s="819"/>
      <c r="B159" s="851" t="s">
        <v>1244</v>
      </c>
      <c r="C159" s="818" t="s">
        <v>1206</v>
      </c>
      <c r="D159" s="822" t="s">
        <v>1211</v>
      </c>
      <c r="E159" s="425"/>
      <c r="F159" s="852"/>
      <c r="G159" s="817"/>
      <c r="H159" s="817"/>
      <c r="I159" s="817"/>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c r="BC159" s="817"/>
      <c r="BD159" s="817"/>
      <c r="BE159" s="817"/>
      <c r="BF159" s="817"/>
      <c r="BG159" s="817"/>
      <c r="BH159" s="817"/>
      <c r="BI159" s="817"/>
      <c r="BJ159" s="817"/>
      <c r="BK159" s="817"/>
      <c r="BL159" s="817"/>
      <c r="BM159" s="817"/>
      <c r="BN159" s="817"/>
      <c r="BO159" s="817"/>
      <c r="BP159" s="817"/>
      <c r="BQ159" s="817"/>
      <c r="BR159" s="817"/>
      <c r="BS159" s="817"/>
      <c r="BT159" s="817"/>
      <c r="BU159" s="817"/>
      <c r="BV159" s="817"/>
      <c r="BW159" s="817"/>
      <c r="BX159" s="817"/>
      <c r="BY159" s="817"/>
      <c r="BZ159" s="817"/>
      <c r="CA159" s="817"/>
      <c r="CB159" s="817"/>
      <c r="CC159" s="817"/>
      <c r="CD159" s="817"/>
      <c r="CE159" s="817"/>
      <c r="CF159" s="817"/>
      <c r="CG159" s="817"/>
      <c r="CH159" s="817"/>
      <c r="CI159" s="817"/>
      <c r="CJ159" s="817"/>
      <c r="CK159" s="817"/>
      <c r="CL159" s="817"/>
      <c r="CM159" s="817"/>
      <c r="CN159" s="817"/>
      <c r="CO159" s="817"/>
      <c r="CP159" s="817"/>
      <c r="CQ159" s="817"/>
      <c r="CR159" s="817"/>
      <c r="CS159" s="817"/>
      <c r="CT159" s="817"/>
      <c r="CU159" s="817"/>
      <c r="CV159" s="817"/>
      <c r="CW159" s="817"/>
      <c r="CX159" s="817"/>
      <c r="CY159" s="817"/>
      <c r="CZ159" s="817"/>
      <c r="DA159" s="817"/>
      <c r="DB159" s="817"/>
      <c r="DC159" s="817"/>
      <c r="DD159" s="817"/>
      <c r="DE159" s="817"/>
      <c r="DF159" s="817"/>
      <c r="DG159" s="817"/>
      <c r="DH159" s="817"/>
      <c r="DI159" s="817"/>
      <c r="DJ159" s="817"/>
      <c r="DK159" s="817"/>
      <c r="DL159" s="817"/>
      <c r="DM159" s="817"/>
      <c r="DN159" s="817"/>
      <c r="DO159" s="817"/>
      <c r="DP159" s="817"/>
      <c r="DQ159" s="817"/>
      <c r="DR159" s="817"/>
      <c r="DS159" s="817"/>
      <c r="DT159" s="817"/>
      <c r="DU159" s="817"/>
      <c r="DV159" s="817"/>
      <c r="DW159" s="817"/>
      <c r="DX159" s="817"/>
      <c r="DY159" s="817"/>
      <c r="DZ159" s="817"/>
      <c r="EA159" s="817"/>
      <c r="EB159" s="817"/>
      <c r="EC159" s="817"/>
      <c r="ED159" s="817"/>
      <c r="EE159" s="817"/>
      <c r="EF159" s="817"/>
      <c r="EG159" s="817"/>
      <c r="EH159" s="817"/>
      <c r="EI159" s="817"/>
    </row>
    <row r="160" spans="1:139" s="817" customFormat="1" x14ac:dyDescent="0.85">
      <c r="B160" s="1024" t="s">
        <v>1223</v>
      </c>
      <c r="C160" s="820" t="s">
        <v>1207</v>
      </c>
      <c r="D160" s="822" t="s">
        <v>1225</v>
      </c>
      <c r="E160" s="425"/>
      <c r="F160" s="852"/>
    </row>
    <row r="161" spans="2:6" s="817" customFormat="1" x14ac:dyDescent="0.85">
      <c r="B161" s="1024"/>
      <c r="C161" s="820" t="s">
        <v>1208</v>
      </c>
      <c r="D161" s="822" t="s">
        <v>1226</v>
      </c>
      <c r="E161" s="425"/>
      <c r="F161" s="852"/>
    </row>
    <row r="162" spans="2:6" s="817" customFormat="1" x14ac:dyDescent="0.85">
      <c r="B162" s="1024" t="s">
        <v>1224</v>
      </c>
      <c r="C162" s="820" t="s">
        <v>1209</v>
      </c>
      <c r="D162" s="822" t="s">
        <v>1227</v>
      </c>
      <c r="E162" s="425"/>
      <c r="F162" s="852"/>
    </row>
    <row r="163" spans="2:6" s="817" customFormat="1" x14ac:dyDescent="0.85">
      <c r="B163" s="1024"/>
      <c r="C163" s="820" t="s">
        <v>1208</v>
      </c>
      <c r="D163" s="822" t="s">
        <v>1228</v>
      </c>
      <c r="E163" s="425"/>
      <c r="F163" s="852"/>
    </row>
    <row r="164" spans="2:6" ht="28.5" customHeight="1" x14ac:dyDescent="0.85">
      <c r="B164" s="1025" t="s">
        <v>1238</v>
      </c>
      <c r="C164" s="821" t="s">
        <v>630</v>
      </c>
      <c r="D164" s="822" t="s">
        <v>1229</v>
      </c>
      <c r="E164" s="425"/>
      <c r="F164" s="852"/>
    </row>
    <row r="165" spans="2:6" x14ac:dyDescent="0.85">
      <c r="B165" s="1025"/>
      <c r="C165" s="821" t="s">
        <v>631</v>
      </c>
      <c r="D165" s="822" t="s">
        <v>1230</v>
      </c>
      <c r="E165" s="425"/>
      <c r="F165" s="852"/>
    </row>
    <row r="166" spans="2:6" x14ac:dyDescent="0.85">
      <c r="B166" s="1025" t="s">
        <v>1237</v>
      </c>
      <c r="C166" s="821" t="s">
        <v>630</v>
      </c>
      <c r="D166" s="822" t="s">
        <v>1231</v>
      </c>
      <c r="E166" s="425"/>
      <c r="F166" s="852"/>
    </row>
    <row r="167" spans="2:6" ht="57" customHeight="1" x14ac:dyDescent="0.85">
      <c r="B167" s="1025"/>
      <c r="C167" s="821" t="s">
        <v>631</v>
      </c>
      <c r="D167" s="822" t="s">
        <v>1232</v>
      </c>
      <c r="E167" s="425"/>
      <c r="F167" s="852"/>
    </row>
    <row r="168" spans="2:6" ht="85.5" customHeight="1" x14ac:dyDescent="0.85">
      <c r="B168" s="1025" t="s">
        <v>1239</v>
      </c>
      <c r="C168" s="821" t="s">
        <v>630</v>
      </c>
      <c r="D168" s="822" t="s">
        <v>1233</v>
      </c>
      <c r="E168" s="425"/>
      <c r="F168" s="852"/>
    </row>
    <row r="169" spans="2:6" x14ac:dyDescent="0.85">
      <c r="B169" s="1025"/>
      <c r="C169" s="821" t="s">
        <v>631</v>
      </c>
      <c r="D169" s="822" t="s">
        <v>1234</v>
      </c>
      <c r="E169" s="425"/>
      <c r="F169" s="852"/>
    </row>
    <row r="170" spans="2:6" ht="85.5" customHeight="1" x14ac:dyDescent="0.85">
      <c r="B170" s="1025" t="s">
        <v>1240</v>
      </c>
      <c r="C170" s="821" t="s">
        <v>630</v>
      </c>
      <c r="D170" s="822" t="s">
        <v>1235</v>
      </c>
      <c r="E170" s="425"/>
      <c r="F170" s="852"/>
    </row>
    <row r="171" spans="2:6" x14ac:dyDescent="0.85">
      <c r="B171" s="1025"/>
      <c r="C171" s="821" t="s">
        <v>631</v>
      </c>
      <c r="D171" s="822" t="s">
        <v>1236</v>
      </c>
      <c r="E171" s="425"/>
      <c r="F171" s="852"/>
    </row>
    <row r="172" spans="2:6" x14ac:dyDescent="0.85">
      <c r="B172" s="1068" t="s">
        <v>113</v>
      </c>
      <c r="C172" s="1069"/>
      <c r="D172" s="1069"/>
      <c r="E172" s="1069"/>
      <c r="F172" s="1070"/>
    </row>
    <row r="173" spans="2:6" ht="85.5" x14ac:dyDescent="0.85">
      <c r="B173" s="1011" t="s">
        <v>32</v>
      </c>
      <c r="C173" s="482" t="s">
        <v>1020</v>
      </c>
      <c r="D173" s="771" t="s">
        <v>332</v>
      </c>
      <c r="E173" s="425" t="s">
        <v>49</v>
      </c>
      <c r="F173" s="843" t="s">
        <v>204</v>
      </c>
    </row>
    <row r="174" spans="2:6" ht="85.5" x14ac:dyDescent="0.85">
      <c r="B174" s="1011"/>
      <c r="C174" s="482" t="s">
        <v>203</v>
      </c>
      <c r="D174" s="771" t="s">
        <v>202</v>
      </c>
      <c r="E174" s="425" t="s">
        <v>51</v>
      </c>
      <c r="F174" s="843" t="s">
        <v>205</v>
      </c>
    </row>
    <row r="175" spans="2:6" x14ac:dyDescent="0.85">
      <c r="B175" s="1011"/>
      <c r="C175" s="435" t="s">
        <v>942</v>
      </c>
      <c r="D175" s="778" t="s">
        <v>939</v>
      </c>
      <c r="E175" s="425"/>
      <c r="F175" s="843"/>
    </row>
    <row r="176" spans="2:6" ht="85.5" x14ac:dyDescent="0.85">
      <c r="B176" s="1011"/>
      <c r="C176" s="482" t="s">
        <v>1021</v>
      </c>
      <c r="D176" s="771" t="s">
        <v>333</v>
      </c>
      <c r="E176" s="425" t="s">
        <v>50</v>
      </c>
      <c r="F176" s="843" t="s">
        <v>206</v>
      </c>
    </row>
    <row r="177" spans="2:139" ht="57" x14ac:dyDescent="0.85">
      <c r="B177" s="1011"/>
      <c r="C177" s="482" t="s">
        <v>1022</v>
      </c>
      <c r="D177" s="771" t="s">
        <v>207</v>
      </c>
      <c r="E177" s="425" t="s">
        <v>52</v>
      </c>
      <c r="F177" s="843" t="s">
        <v>210</v>
      </c>
    </row>
    <row r="178" spans="2:139" ht="85.5" x14ac:dyDescent="0.85">
      <c r="B178" s="1011"/>
      <c r="C178" s="482" t="s">
        <v>1023</v>
      </c>
      <c r="D178" s="771" t="s">
        <v>208</v>
      </c>
      <c r="E178" s="425" t="s">
        <v>53</v>
      </c>
      <c r="F178" s="843" t="s">
        <v>211</v>
      </c>
    </row>
    <row r="179" spans="2:139" ht="114" x14ac:dyDescent="0.85">
      <c r="B179" s="1011"/>
      <c r="C179" s="482" t="s">
        <v>1024</v>
      </c>
      <c r="D179" s="771" t="s">
        <v>209</v>
      </c>
      <c r="E179" s="425" t="s">
        <v>54</v>
      </c>
      <c r="F179" s="843" t="s">
        <v>211</v>
      </c>
    </row>
    <row r="180" spans="2:139" ht="85.5" x14ac:dyDescent="0.85">
      <c r="B180" s="1011" t="s">
        <v>442</v>
      </c>
      <c r="C180" s="482" t="s">
        <v>215</v>
      </c>
      <c r="D180" s="771" t="s">
        <v>334</v>
      </c>
      <c r="E180" s="425" t="s">
        <v>49</v>
      </c>
      <c r="F180" s="843" t="s">
        <v>212</v>
      </c>
    </row>
    <row r="181" spans="2:139" ht="85.5" x14ac:dyDescent="0.85">
      <c r="B181" s="1011"/>
      <c r="C181" s="482" t="s">
        <v>1025</v>
      </c>
      <c r="D181" s="771" t="s">
        <v>335</v>
      </c>
      <c r="E181" s="425" t="s">
        <v>51</v>
      </c>
      <c r="F181" s="843" t="s">
        <v>213</v>
      </c>
    </row>
    <row r="182" spans="2:139" ht="85.5" x14ac:dyDescent="0.85">
      <c r="B182" s="1011"/>
      <c r="C182" s="482" t="s">
        <v>216</v>
      </c>
      <c r="D182" s="771" t="s">
        <v>217</v>
      </c>
      <c r="E182" s="425" t="s">
        <v>50</v>
      </c>
      <c r="F182" s="843" t="s">
        <v>214</v>
      </c>
    </row>
    <row r="183" spans="2:139" hidden="1" x14ac:dyDescent="0.85">
      <c r="B183" s="1011"/>
      <c r="C183" s="435" t="s">
        <v>942</v>
      </c>
      <c r="D183" s="778" t="s">
        <v>939</v>
      </c>
      <c r="E183" s="425"/>
      <c r="F183" s="843"/>
    </row>
    <row r="184" spans="2:139" ht="57" hidden="1" x14ac:dyDescent="0.85">
      <c r="B184" s="1011"/>
      <c r="C184" s="432" t="s">
        <v>312</v>
      </c>
      <c r="D184" s="771" t="s">
        <v>218</v>
      </c>
      <c r="E184" s="425" t="s">
        <v>52</v>
      </c>
      <c r="F184" s="843" t="s">
        <v>221</v>
      </c>
    </row>
    <row r="185" spans="2:139" ht="85.5" hidden="1" x14ac:dyDescent="0.85">
      <c r="B185" s="1011"/>
      <c r="C185" s="432" t="s">
        <v>1023</v>
      </c>
      <c r="D185" s="771" t="s">
        <v>336</v>
      </c>
      <c r="E185" s="425" t="s">
        <v>53</v>
      </c>
      <c r="F185" s="843" t="s">
        <v>222</v>
      </c>
    </row>
    <row r="186" spans="2:139" ht="114" hidden="1" x14ac:dyDescent="0.85">
      <c r="B186" s="1011"/>
      <c r="C186" s="482" t="s">
        <v>219</v>
      </c>
      <c r="D186" s="771" t="s">
        <v>220</v>
      </c>
      <c r="E186" s="425" t="s">
        <v>54</v>
      </c>
      <c r="F186" s="843" t="s">
        <v>222</v>
      </c>
    </row>
    <row r="187" spans="2:139" s="436" customFormat="1" ht="85.5" hidden="1" x14ac:dyDescent="0.85">
      <c r="B187" s="1011" t="s">
        <v>25</v>
      </c>
      <c r="C187" s="482" t="s">
        <v>1026</v>
      </c>
      <c r="D187" s="771" t="s">
        <v>337</v>
      </c>
      <c r="E187" s="425" t="s">
        <v>49</v>
      </c>
      <c r="F187" s="843" t="s">
        <v>223</v>
      </c>
      <c r="G187" s="833"/>
      <c r="H187" s="833"/>
      <c r="I187" s="833"/>
      <c r="J187" s="833"/>
      <c r="K187" s="833"/>
      <c r="L187" s="833"/>
      <c r="M187" s="833"/>
      <c r="N187" s="833"/>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c r="BC187" s="833"/>
      <c r="BD187" s="833"/>
      <c r="BE187" s="833"/>
      <c r="BF187" s="833"/>
      <c r="BG187" s="833"/>
      <c r="BH187" s="833"/>
      <c r="BI187" s="833"/>
      <c r="BJ187" s="833"/>
      <c r="BK187" s="833"/>
      <c r="BL187" s="833"/>
      <c r="BM187" s="833"/>
      <c r="BN187" s="833"/>
      <c r="BO187" s="833"/>
      <c r="BP187" s="833"/>
      <c r="BQ187" s="833"/>
      <c r="BR187" s="833"/>
      <c r="BS187" s="833"/>
      <c r="BT187" s="833"/>
      <c r="BU187" s="833"/>
      <c r="BV187" s="833"/>
      <c r="BW187" s="833"/>
      <c r="BX187" s="833"/>
      <c r="BY187" s="833"/>
      <c r="BZ187" s="833"/>
      <c r="CA187" s="833"/>
      <c r="CB187" s="833"/>
      <c r="CC187" s="833"/>
      <c r="CD187" s="833"/>
      <c r="CE187" s="833"/>
      <c r="CF187" s="833"/>
      <c r="CG187" s="833"/>
      <c r="CH187" s="833"/>
      <c r="CI187" s="833"/>
      <c r="CJ187" s="833"/>
      <c r="CK187" s="833"/>
      <c r="CL187" s="833"/>
      <c r="CM187" s="833"/>
      <c r="CN187" s="833"/>
      <c r="CO187" s="833"/>
      <c r="CP187" s="833"/>
      <c r="CQ187" s="833"/>
      <c r="CR187" s="833"/>
      <c r="CS187" s="833"/>
      <c r="CT187" s="833"/>
      <c r="CU187" s="833"/>
      <c r="CV187" s="833"/>
      <c r="CW187" s="833"/>
      <c r="CX187" s="833"/>
      <c r="CY187" s="833"/>
      <c r="CZ187" s="833"/>
      <c r="DA187" s="833"/>
      <c r="DB187" s="833"/>
      <c r="DC187" s="833"/>
      <c r="DD187" s="833"/>
      <c r="DE187" s="833"/>
      <c r="DF187" s="833"/>
      <c r="DG187" s="833"/>
      <c r="DH187" s="833"/>
      <c r="DI187" s="833"/>
      <c r="DJ187" s="833"/>
      <c r="DK187" s="833"/>
      <c r="DL187" s="833"/>
      <c r="DM187" s="833"/>
      <c r="DN187" s="833"/>
      <c r="DO187" s="833"/>
      <c r="DP187" s="833"/>
      <c r="DQ187" s="833"/>
      <c r="DR187" s="833"/>
      <c r="DS187" s="833"/>
      <c r="DT187" s="833"/>
      <c r="DU187" s="833"/>
      <c r="DV187" s="833"/>
      <c r="DW187" s="833"/>
      <c r="DX187" s="833"/>
      <c r="DY187" s="833"/>
      <c r="DZ187" s="833"/>
      <c r="EA187" s="833"/>
      <c r="EB187" s="833"/>
      <c r="EC187" s="833"/>
      <c r="ED187" s="833"/>
      <c r="EE187" s="833"/>
      <c r="EF187" s="833"/>
      <c r="EG187" s="833"/>
      <c r="EH187" s="833"/>
      <c r="EI187" s="833"/>
    </row>
    <row r="188" spans="2:139" ht="85.5" hidden="1" x14ac:dyDescent="0.85">
      <c r="B188" s="1011"/>
      <c r="C188" s="432" t="s">
        <v>203</v>
      </c>
      <c r="D188" s="771" t="s">
        <v>338</v>
      </c>
      <c r="E188" s="425" t="s">
        <v>51</v>
      </c>
      <c r="F188" s="843" t="s">
        <v>224</v>
      </c>
    </row>
    <row r="189" spans="2:139" ht="85.5" hidden="1" x14ac:dyDescent="0.85">
      <c r="B189" s="1011"/>
      <c r="C189" s="482" t="s">
        <v>216</v>
      </c>
      <c r="D189" s="771" t="s">
        <v>339</v>
      </c>
      <c r="E189" s="425" t="s">
        <v>50</v>
      </c>
      <c r="F189" s="843" t="s">
        <v>225</v>
      </c>
    </row>
    <row r="190" spans="2:139" hidden="1" x14ac:dyDescent="0.85">
      <c r="B190" s="1011"/>
      <c r="C190" s="435" t="s">
        <v>942</v>
      </c>
      <c r="D190" s="778" t="s">
        <v>939</v>
      </c>
      <c r="E190" s="425"/>
      <c r="F190" s="843"/>
    </row>
    <row r="191" spans="2:139" ht="57" hidden="1" x14ac:dyDescent="0.85">
      <c r="B191" s="1011"/>
      <c r="C191" s="482" t="s">
        <v>1022</v>
      </c>
      <c r="D191" s="771" t="s">
        <v>228</v>
      </c>
      <c r="E191" s="425" t="s">
        <v>52</v>
      </c>
      <c r="F191" s="843" t="s">
        <v>227</v>
      </c>
    </row>
    <row r="192" spans="2:139" ht="85.5" hidden="1" x14ac:dyDescent="0.85">
      <c r="B192" s="1011"/>
      <c r="C192" s="482" t="s">
        <v>1023</v>
      </c>
      <c r="D192" s="771" t="s">
        <v>340</v>
      </c>
      <c r="E192" s="425" t="s">
        <v>53</v>
      </c>
      <c r="F192" s="843" t="s">
        <v>226</v>
      </c>
    </row>
    <row r="193" spans="2:6" ht="114" hidden="1" x14ac:dyDescent="0.85">
      <c r="B193" s="1011"/>
      <c r="C193" s="482" t="s">
        <v>219</v>
      </c>
      <c r="D193" s="771" t="s">
        <v>341</v>
      </c>
      <c r="E193" s="425" t="s">
        <v>54</v>
      </c>
      <c r="F193" s="843" t="s">
        <v>226</v>
      </c>
    </row>
    <row r="194" spans="2:6" hidden="1" x14ac:dyDescent="0.85">
      <c r="B194" s="1031" t="s">
        <v>114</v>
      </c>
      <c r="C194" s="1032"/>
      <c r="D194" s="1032"/>
      <c r="E194" s="1032"/>
      <c r="F194" s="1033"/>
    </row>
    <row r="195" spans="2:6" hidden="1" x14ac:dyDescent="0.85">
      <c r="B195" s="1011" t="s">
        <v>816</v>
      </c>
      <c r="C195" s="482" t="s">
        <v>637</v>
      </c>
      <c r="D195" s="779" t="s">
        <v>493</v>
      </c>
      <c r="E195" s="425" t="s">
        <v>674</v>
      </c>
      <c r="F195" s="853" t="s">
        <v>693</v>
      </c>
    </row>
    <row r="196" spans="2:6" ht="57" hidden="1" x14ac:dyDescent="0.85">
      <c r="B196" s="1011"/>
      <c r="C196" s="482" t="s">
        <v>855</v>
      </c>
      <c r="D196" s="779" t="s">
        <v>494</v>
      </c>
      <c r="E196" s="425" t="s">
        <v>694</v>
      </c>
      <c r="F196" s="854" t="s">
        <v>695</v>
      </c>
    </row>
    <row r="197" spans="2:6" hidden="1" x14ac:dyDescent="0.85">
      <c r="B197" s="1011"/>
      <c r="C197" s="431" t="s">
        <v>859</v>
      </c>
      <c r="D197" s="779" t="s">
        <v>820</v>
      </c>
      <c r="E197" s="425" t="s">
        <v>870</v>
      </c>
      <c r="F197" s="854" t="s">
        <v>871</v>
      </c>
    </row>
    <row r="198" spans="2:6" ht="57" hidden="1" x14ac:dyDescent="0.85">
      <c r="B198" s="1011"/>
      <c r="C198" s="482" t="s">
        <v>811</v>
      </c>
      <c r="D198" s="779" t="s">
        <v>821</v>
      </c>
      <c r="E198" s="425" t="s">
        <v>872</v>
      </c>
      <c r="F198" s="854" t="s">
        <v>871</v>
      </c>
    </row>
    <row r="199" spans="2:6" ht="57" hidden="1" x14ac:dyDescent="0.85">
      <c r="B199" s="1011"/>
      <c r="C199" s="482" t="s">
        <v>812</v>
      </c>
      <c r="D199" s="779" t="s">
        <v>822</v>
      </c>
      <c r="E199" s="425" t="s">
        <v>873</v>
      </c>
      <c r="F199" s="854" t="s">
        <v>874</v>
      </c>
    </row>
    <row r="200" spans="2:6" ht="57" hidden="1" x14ac:dyDescent="0.85">
      <c r="B200" s="1011"/>
      <c r="C200" s="482" t="s">
        <v>813</v>
      </c>
      <c r="D200" s="779" t="s">
        <v>823</v>
      </c>
      <c r="E200" s="425" t="s">
        <v>875</v>
      </c>
      <c r="F200" s="854" t="s">
        <v>871</v>
      </c>
    </row>
    <row r="201" spans="2:6" ht="57" hidden="1" x14ac:dyDescent="0.85">
      <c r="B201" s="1011"/>
      <c r="C201" s="482" t="s">
        <v>814</v>
      </c>
      <c r="D201" s="779" t="s">
        <v>824</v>
      </c>
      <c r="E201" s="425" t="s">
        <v>876</v>
      </c>
      <c r="F201" s="854" t="s">
        <v>874</v>
      </c>
    </row>
    <row r="202" spans="2:6" ht="57" hidden="1" x14ac:dyDescent="0.85">
      <c r="B202" s="1011"/>
      <c r="C202" s="482" t="s">
        <v>815</v>
      </c>
      <c r="D202" s="779" t="s">
        <v>825</v>
      </c>
      <c r="E202" s="425" t="s">
        <v>877</v>
      </c>
      <c r="F202" s="854" t="s">
        <v>871</v>
      </c>
    </row>
    <row r="203" spans="2:6" ht="57" hidden="1" x14ac:dyDescent="0.85">
      <c r="B203" s="1011"/>
      <c r="C203" s="482" t="s">
        <v>850</v>
      </c>
      <c r="D203" s="779" t="s">
        <v>826</v>
      </c>
      <c r="E203" s="425" t="s">
        <v>881</v>
      </c>
      <c r="F203" s="854" t="s">
        <v>871</v>
      </c>
    </row>
    <row r="204" spans="2:6" hidden="1" x14ac:dyDescent="0.85">
      <c r="B204" s="1011" t="s">
        <v>817</v>
      </c>
      <c r="C204" s="482" t="s">
        <v>861</v>
      </c>
      <c r="D204" s="779" t="s">
        <v>827</v>
      </c>
      <c r="E204" s="425" t="s">
        <v>878</v>
      </c>
      <c r="F204" s="854" t="s">
        <v>879</v>
      </c>
    </row>
    <row r="205" spans="2:6" ht="57" hidden="1" x14ac:dyDescent="0.85">
      <c r="B205" s="1011"/>
      <c r="C205" s="482" t="s">
        <v>856</v>
      </c>
      <c r="D205" s="779" t="s">
        <v>828</v>
      </c>
      <c r="E205" s="425" t="s">
        <v>880</v>
      </c>
      <c r="F205" s="854" t="s">
        <v>695</v>
      </c>
    </row>
    <row r="206" spans="2:6" hidden="1" x14ac:dyDescent="0.85">
      <c r="B206" s="1011"/>
      <c r="C206" s="431" t="s">
        <v>864</v>
      </c>
      <c r="D206" s="779" t="s">
        <v>829</v>
      </c>
      <c r="E206" s="425" t="s">
        <v>870</v>
      </c>
      <c r="F206" s="854" t="s">
        <v>871</v>
      </c>
    </row>
    <row r="207" spans="2:6" ht="57" hidden="1" x14ac:dyDescent="0.85">
      <c r="B207" s="1011"/>
      <c r="C207" s="482" t="s">
        <v>811</v>
      </c>
      <c r="D207" s="779" t="s">
        <v>830</v>
      </c>
      <c r="E207" s="425" t="s">
        <v>872</v>
      </c>
      <c r="F207" s="854" t="s">
        <v>871</v>
      </c>
    </row>
    <row r="208" spans="2:6" ht="57" hidden="1" x14ac:dyDescent="0.85">
      <c r="B208" s="1011"/>
      <c r="C208" s="482" t="s">
        <v>812</v>
      </c>
      <c r="D208" s="779" t="s">
        <v>831</v>
      </c>
      <c r="E208" s="425" t="s">
        <v>873</v>
      </c>
      <c r="F208" s="854" t="s">
        <v>874</v>
      </c>
    </row>
    <row r="209" spans="2:6" ht="57" hidden="1" x14ac:dyDescent="0.85">
      <c r="B209" s="1011"/>
      <c r="C209" s="482" t="s">
        <v>813</v>
      </c>
      <c r="D209" s="779" t="s">
        <v>832</v>
      </c>
      <c r="E209" s="425" t="s">
        <v>875</v>
      </c>
      <c r="F209" s="854" t="s">
        <v>871</v>
      </c>
    </row>
    <row r="210" spans="2:6" ht="57" hidden="1" x14ac:dyDescent="0.85">
      <c r="B210" s="1011"/>
      <c r="C210" s="482" t="s">
        <v>814</v>
      </c>
      <c r="D210" s="779" t="s">
        <v>833</v>
      </c>
      <c r="E210" s="425" t="s">
        <v>876</v>
      </c>
      <c r="F210" s="854" t="s">
        <v>874</v>
      </c>
    </row>
    <row r="211" spans="2:6" ht="57" hidden="1" x14ac:dyDescent="0.85">
      <c r="B211" s="1011"/>
      <c r="C211" s="482" t="s">
        <v>815</v>
      </c>
      <c r="D211" s="779" t="s">
        <v>834</v>
      </c>
      <c r="E211" s="425" t="s">
        <v>877</v>
      </c>
      <c r="F211" s="854" t="s">
        <v>871</v>
      </c>
    </row>
    <row r="212" spans="2:6" ht="57" hidden="1" x14ac:dyDescent="0.85">
      <c r="B212" s="1011"/>
      <c r="C212" s="482" t="s">
        <v>850</v>
      </c>
      <c r="D212" s="779" t="s">
        <v>835</v>
      </c>
      <c r="E212" s="425" t="s">
        <v>881</v>
      </c>
      <c r="F212" s="854" t="s">
        <v>871</v>
      </c>
    </row>
    <row r="213" spans="2:6" hidden="1" x14ac:dyDescent="0.85">
      <c r="B213" s="1011" t="s">
        <v>819</v>
      </c>
      <c r="C213" s="482" t="s">
        <v>862</v>
      </c>
      <c r="D213" s="779" t="s">
        <v>836</v>
      </c>
      <c r="E213" s="425" t="s">
        <v>882</v>
      </c>
      <c r="F213" s="854" t="s">
        <v>883</v>
      </c>
    </row>
    <row r="214" spans="2:6" ht="57" hidden="1" x14ac:dyDescent="0.85">
      <c r="B214" s="1011"/>
      <c r="C214" s="482" t="s">
        <v>857</v>
      </c>
      <c r="D214" s="779" t="s">
        <v>837</v>
      </c>
      <c r="E214" s="425" t="s">
        <v>884</v>
      </c>
      <c r="F214" s="854" t="s">
        <v>695</v>
      </c>
    </row>
    <row r="215" spans="2:6" hidden="1" x14ac:dyDescent="0.85">
      <c r="B215" s="1011"/>
      <c r="C215" s="431" t="s">
        <v>865</v>
      </c>
      <c r="D215" s="779" t="s">
        <v>838</v>
      </c>
      <c r="E215" s="425" t="s">
        <v>870</v>
      </c>
      <c r="F215" s="854" t="s">
        <v>871</v>
      </c>
    </row>
    <row r="216" spans="2:6" ht="57" hidden="1" x14ac:dyDescent="0.85">
      <c r="B216" s="1011"/>
      <c r="C216" s="482" t="s">
        <v>811</v>
      </c>
      <c r="D216" s="779" t="s">
        <v>839</v>
      </c>
      <c r="E216" s="425" t="s">
        <v>885</v>
      </c>
      <c r="F216" s="854" t="s">
        <v>871</v>
      </c>
    </row>
    <row r="217" spans="2:6" ht="57" hidden="1" x14ac:dyDescent="0.85">
      <c r="B217" s="1011"/>
      <c r="C217" s="482" t="s">
        <v>812</v>
      </c>
      <c r="D217" s="779" t="s">
        <v>840</v>
      </c>
      <c r="E217" s="425" t="s">
        <v>886</v>
      </c>
      <c r="F217" s="854" t="s">
        <v>874</v>
      </c>
    </row>
    <row r="218" spans="2:6" ht="57" hidden="1" x14ac:dyDescent="0.85">
      <c r="B218" s="1011"/>
      <c r="C218" s="482" t="s">
        <v>813</v>
      </c>
      <c r="D218" s="779" t="s">
        <v>841</v>
      </c>
      <c r="E218" s="425" t="s">
        <v>887</v>
      </c>
      <c r="F218" s="854" t="s">
        <v>871</v>
      </c>
    </row>
    <row r="219" spans="2:6" ht="57" x14ac:dyDescent="0.85">
      <c r="B219" s="1011"/>
      <c r="C219" s="482" t="s">
        <v>814</v>
      </c>
      <c r="D219" s="779" t="s">
        <v>842</v>
      </c>
      <c r="E219" s="425" t="s">
        <v>888</v>
      </c>
      <c r="F219" s="854" t="s">
        <v>874</v>
      </c>
    </row>
    <row r="220" spans="2:6" ht="57" x14ac:dyDescent="0.85">
      <c r="B220" s="1011"/>
      <c r="C220" s="482" t="s">
        <v>815</v>
      </c>
      <c r="D220" s="779" t="s">
        <v>843</v>
      </c>
      <c r="E220" s="425" t="s">
        <v>877</v>
      </c>
      <c r="F220" s="854" t="s">
        <v>871</v>
      </c>
    </row>
    <row r="221" spans="2:6" ht="57" x14ac:dyDescent="0.85">
      <c r="B221" s="1011"/>
      <c r="C221" s="482" t="s">
        <v>850</v>
      </c>
      <c r="D221" s="779" t="s">
        <v>844</v>
      </c>
      <c r="E221" s="425" t="s">
        <v>881</v>
      </c>
      <c r="F221" s="854" t="s">
        <v>871</v>
      </c>
    </row>
    <row r="222" spans="2:6" x14ac:dyDescent="0.85">
      <c r="B222" s="1011" t="s">
        <v>818</v>
      </c>
      <c r="C222" s="482" t="s">
        <v>863</v>
      </c>
      <c r="D222" s="779" t="s">
        <v>845</v>
      </c>
      <c r="E222" s="425" t="s">
        <v>674</v>
      </c>
      <c r="F222" s="854" t="s">
        <v>889</v>
      </c>
    </row>
    <row r="223" spans="2:6" ht="57" x14ac:dyDescent="0.85">
      <c r="B223" s="1011"/>
      <c r="C223" s="482" t="s">
        <v>858</v>
      </c>
      <c r="D223" s="779" t="s">
        <v>846</v>
      </c>
      <c r="E223" s="425" t="s">
        <v>694</v>
      </c>
      <c r="F223" s="854" t="s">
        <v>695</v>
      </c>
    </row>
    <row r="224" spans="2:6" x14ac:dyDescent="0.85">
      <c r="B224" s="1011"/>
      <c r="C224" s="431" t="s">
        <v>866</v>
      </c>
      <c r="D224" s="779" t="s">
        <v>847</v>
      </c>
      <c r="E224" s="425" t="s">
        <v>870</v>
      </c>
      <c r="F224" s="854" t="s">
        <v>871</v>
      </c>
    </row>
    <row r="225" spans="2:6" ht="57" x14ac:dyDescent="0.85">
      <c r="B225" s="1011"/>
      <c r="C225" s="482" t="s">
        <v>811</v>
      </c>
      <c r="D225" s="779" t="s">
        <v>848</v>
      </c>
      <c r="E225" s="425" t="s">
        <v>872</v>
      </c>
      <c r="F225" s="854" t="s">
        <v>871</v>
      </c>
    </row>
    <row r="226" spans="2:6" ht="57" x14ac:dyDescent="0.85">
      <c r="B226" s="1011"/>
      <c r="C226" s="482" t="s">
        <v>812</v>
      </c>
      <c r="D226" s="779" t="s">
        <v>849</v>
      </c>
      <c r="E226" s="425" t="s">
        <v>873</v>
      </c>
      <c r="F226" s="854" t="s">
        <v>874</v>
      </c>
    </row>
    <row r="227" spans="2:6" ht="57" x14ac:dyDescent="0.85">
      <c r="B227" s="1011"/>
      <c r="C227" s="482" t="s">
        <v>813</v>
      </c>
      <c r="D227" s="779" t="s">
        <v>851</v>
      </c>
      <c r="E227" s="425" t="s">
        <v>875</v>
      </c>
      <c r="F227" s="854" t="s">
        <v>871</v>
      </c>
    </row>
    <row r="228" spans="2:6" ht="57" x14ac:dyDescent="0.85">
      <c r="B228" s="1011"/>
      <c r="C228" s="482" t="s">
        <v>814</v>
      </c>
      <c r="D228" s="779" t="s">
        <v>852</v>
      </c>
      <c r="E228" s="425" t="s">
        <v>876</v>
      </c>
      <c r="F228" s="854" t="s">
        <v>874</v>
      </c>
    </row>
    <row r="229" spans="2:6" ht="57" x14ac:dyDescent="0.85">
      <c r="B229" s="1011"/>
      <c r="C229" s="482" t="s">
        <v>815</v>
      </c>
      <c r="D229" s="779" t="s">
        <v>853</v>
      </c>
      <c r="E229" s="425" t="s">
        <v>877</v>
      </c>
      <c r="F229" s="854" t="s">
        <v>871</v>
      </c>
    </row>
    <row r="230" spans="2:6" ht="57" x14ac:dyDescent="0.85">
      <c r="B230" s="1011"/>
      <c r="C230" s="482" t="s">
        <v>850</v>
      </c>
      <c r="D230" s="779" t="s">
        <v>854</v>
      </c>
      <c r="E230" s="425" t="s">
        <v>881</v>
      </c>
      <c r="F230" s="854" t="s">
        <v>871</v>
      </c>
    </row>
    <row r="231" spans="2:6" ht="57" x14ac:dyDescent="0.85">
      <c r="B231" s="1011" t="s">
        <v>33</v>
      </c>
      <c r="C231" s="482" t="s">
        <v>169</v>
      </c>
      <c r="D231" s="771" t="s">
        <v>171</v>
      </c>
      <c r="E231" s="425" t="s">
        <v>252</v>
      </c>
      <c r="F231" s="843" t="s">
        <v>230</v>
      </c>
    </row>
    <row r="232" spans="2:6" ht="57" x14ac:dyDescent="0.85">
      <c r="B232" s="1011"/>
      <c r="C232" s="482" t="s">
        <v>1027</v>
      </c>
      <c r="D232" s="771" t="s">
        <v>170</v>
      </c>
      <c r="E232" s="425" t="s">
        <v>58</v>
      </c>
      <c r="F232" s="843" t="s">
        <v>231</v>
      </c>
    </row>
    <row r="233" spans="2:6" ht="57" x14ac:dyDescent="0.85">
      <c r="B233" s="1011" t="s">
        <v>34</v>
      </c>
      <c r="C233" s="437" t="s">
        <v>1028</v>
      </c>
      <c r="D233" s="771" t="s">
        <v>229</v>
      </c>
      <c r="E233" s="438" t="s">
        <v>298</v>
      </c>
      <c r="F233" s="855" t="s">
        <v>230</v>
      </c>
    </row>
    <row r="234" spans="2:6" ht="57" x14ac:dyDescent="0.85">
      <c r="B234" s="1011"/>
      <c r="C234" s="432" t="s">
        <v>232</v>
      </c>
      <c r="D234" s="771" t="s">
        <v>233</v>
      </c>
      <c r="E234" s="425" t="s">
        <v>55</v>
      </c>
      <c r="F234" s="843" t="s">
        <v>231</v>
      </c>
    </row>
    <row r="235" spans="2:6" x14ac:dyDescent="0.85">
      <c r="B235" s="1036" t="s">
        <v>26</v>
      </c>
      <c r="C235" s="483" t="s">
        <v>1029</v>
      </c>
      <c r="D235" s="771" t="s">
        <v>234</v>
      </c>
      <c r="E235" s="425" t="s">
        <v>56</v>
      </c>
      <c r="F235" s="843" t="s">
        <v>243</v>
      </c>
    </row>
    <row r="236" spans="2:6" x14ac:dyDescent="0.85">
      <c r="B236" s="1036"/>
      <c r="C236" s="483" t="s">
        <v>313</v>
      </c>
      <c r="D236" s="771" t="s">
        <v>235</v>
      </c>
      <c r="E236" s="425" t="s">
        <v>59</v>
      </c>
      <c r="F236" s="843" t="s">
        <v>243</v>
      </c>
    </row>
    <row r="237" spans="2:6" ht="57" x14ac:dyDescent="0.85">
      <c r="B237" s="1036"/>
      <c r="C237" s="483" t="s">
        <v>1030</v>
      </c>
      <c r="D237" s="771" t="s">
        <v>236</v>
      </c>
      <c r="E237" s="425" t="s">
        <v>57</v>
      </c>
      <c r="F237" s="843" t="s">
        <v>244</v>
      </c>
    </row>
    <row r="238" spans="2:6" ht="85.5" x14ac:dyDescent="0.85">
      <c r="B238" s="1036"/>
      <c r="C238" s="483" t="s">
        <v>314</v>
      </c>
      <c r="D238" s="771" t="s">
        <v>237</v>
      </c>
      <c r="E238" s="425" t="s">
        <v>247</v>
      </c>
      <c r="F238" s="843" t="s">
        <v>246</v>
      </c>
    </row>
    <row r="239" spans="2:6" ht="57" x14ac:dyDescent="0.85">
      <c r="B239" s="1036"/>
      <c r="C239" s="483" t="s">
        <v>315</v>
      </c>
      <c r="D239" s="771" t="s">
        <v>238</v>
      </c>
      <c r="E239" s="425" t="s">
        <v>248</v>
      </c>
      <c r="F239" s="843" t="s">
        <v>245</v>
      </c>
    </row>
    <row r="240" spans="2:6" ht="57" x14ac:dyDescent="0.85">
      <c r="B240" s="1036"/>
      <c r="C240" s="434" t="s">
        <v>1031</v>
      </c>
      <c r="D240" s="771" t="s">
        <v>239</v>
      </c>
      <c r="E240" s="425" t="s">
        <v>60</v>
      </c>
      <c r="F240" s="843" t="s">
        <v>249</v>
      </c>
    </row>
    <row r="241" spans="2:6" ht="57" x14ac:dyDescent="0.85">
      <c r="B241" s="1036"/>
      <c r="C241" s="434" t="s">
        <v>1032</v>
      </c>
      <c r="D241" s="771" t="s">
        <v>240</v>
      </c>
      <c r="E241" s="425" t="s">
        <v>61</v>
      </c>
      <c r="F241" s="843" t="s">
        <v>249</v>
      </c>
    </row>
    <row r="242" spans="2:6" ht="57" x14ac:dyDescent="0.85">
      <c r="B242" s="1036" t="s">
        <v>99</v>
      </c>
      <c r="C242" s="483" t="s">
        <v>250</v>
      </c>
      <c r="D242" s="771" t="s">
        <v>241</v>
      </c>
      <c r="E242" s="425" t="s">
        <v>124</v>
      </c>
      <c r="F242" s="843" t="s">
        <v>231</v>
      </c>
    </row>
    <row r="243" spans="2:6" ht="57" x14ac:dyDescent="0.85">
      <c r="B243" s="1036"/>
      <c r="C243" s="434" t="s">
        <v>251</v>
      </c>
      <c r="D243" s="771" t="s">
        <v>242</v>
      </c>
      <c r="E243" s="425" t="s">
        <v>589</v>
      </c>
      <c r="F243" s="843" t="s">
        <v>231</v>
      </c>
    </row>
    <row r="244" spans="2:6" ht="57" x14ac:dyDescent="0.85">
      <c r="B244" s="1036"/>
      <c r="C244" s="483" t="s">
        <v>1033</v>
      </c>
      <c r="D244" s="771" t="s">
        <v>299</v>
      </c>
      <c r="E244" s="425" t="s">
        <v>301</v>
      </c>
      <c r="F244" s="843" t="s">
        <v>302</v>
      </c>
    </row>
    <row r="245" spans="2:6" ht="85.5" x14ac:dyDescent="0.85">
      <c r="B245" s="1036"/>
      <c r="C245" s="483" t="s">
        <v>1034</v>
      </c>
      <c r="D245" s="771" t="s">
        <v>300</v>
      </c>
      <c r="E245" s="425" t="s">
        <v>303</v>
      </c>
      <c r="F245" s="843" t="s">
        <v>302</v>
      </c>
    </row>
    <row r="246" spans="2:6" x14ac:dyDescent="0.85">
      <c r="B246" s="1031" t="s">
        <v>116</v>
      </c>
      <c r="C246" s="1032"/>
      <c r="D246" s="1032"/>
      <c r="E246" s="1032"/>
      <c r="F246" s="1033"/>
    </row>
    <row r="247" spans="2:6" ht="57" x14ac:dyDescent="0.85">
      <c r="B247" s="1027" t="s">
        <v>103</v>
      </c>
      <c r="C247" s="437" t="s">
        <v>1035</v>
      </c>
      <c r="D247" s="771" t="s">
        <v>342</v>
      </c>
      <c r="E247" s="425" t="s">
        <v>63</v>
      </c>
      <c r="F247" s="843" t="s">
        <v>255</v>
      </c>
    </row>
    <row r="248" spans="2:6" ht="85.5" x14ac:dyDescent="0.85">
      <c r="B248" s="1027"/>
      <c r="C248" s="437" t="s">
        <v>449</v>
      </c>
      <c r="D248" s="771" t="s">
        <v>253</v>
      </c>
      <c r="E248" s="425" t="s">
        <v>62</v>
      </c>
      <c r="F248" s="843" t="s">
        <v>256</v>
      </c>
    </row>
    <row r="249" spans="2:6" ht="85.5" x14ac:dyDescent="0.85">
      <c r="B249" s="1027"/>
      <c r="C249" s="482" t="s">
        <v>1036</v>
      </c>
      <c r="D249" s="771" t="s">
        <v>254</v>
      </c>
      <c r="E249" s="425" t="s">
        <v>105</v>
      </c>
      <c r="F249" s="843" t="s">
        <v>257</v>
      </c>
    </row>
    <row r="250" spans="2:6" ht="57" x14ac:dyDescent="0.85">
      <c r="B250" s="1027"/>
      <c r="C250" s="437" t="s">
        <v>451</v>
      </c>
      <c r="D250" s="771" t="s">
        <v>343</v>
      </c>
      <c r="E250" s="425" t="s">
        <v>104</v>
      </c>
      <c r="F250" s="843" t="s">
        <v>258</v>
      </c>
    </row>
    <row r="251" spans="2:6" ht="114" x14ac:dyDescent="0.85">
      <c r="B251" s="1027"/>
      <c r="C251" s="433" t="s">
        <v>450</v>
      </c>
      <c r="D251" s="771" t="s">
        <v>454</v>
      </c>
      <c r="E251" s="413" t="s">
        <v>696</v>
      </c>
      <c r="F251" s="837"/>
    </row>
    <row r="252" spans="2:6" ht="114" x14ac:dyDescent="0.85">
      <c r="B252" s="1027"/>
      <c r="C252" s="433" t="s">
        <v>455</v>
      </c>
      <c r="D252" s="771" t="s">
        <v>469</v>
      </c>
      <c r="E252" s="425" t="s">
        <v>697</v>
      </c>
      <c r="F252" s="837"/>
    </row>
    <row r="253" spans="2:6" ht="114" x14ac:dyDescent="0.85">
      <c r="B253" s="1011" t="s">
        <v>1037</v>
      </c>
      <c r="C253" s="439" t="s">
        <v>1038</v>
      </c>
      <c r="D253" s="771" t="s">
        <v>259</v>
      </c>
      <c r="E253" s="425" t="s">
        <v>590</v>
      </c>
      <c r="F253" s="843" t="s">
        <v>258</v>
      </c>
    </row>
    <row r="254" spans="2:6" ht="171" x14ac:dyDescent="0.85">
      <c r="B254" s="1011"/>
      <c r="C254" s="482" t="s">
        <v>452</v>
      </c>
      <c r="D254" s="771" t="s">
        <v>260</v>
      </c>
      <c r="E254" s="425" t="s">
        <v>591</v>
      </c>
      <c r="F254" s="843" t="s">
        <v>258</v>
      </c>
    </row>
    <row r="255" spans="2:6" ht="57" x14ac:dyDescent="0.85">
      <c r="B255" s="1011"/>
      <c r="C255" s="482" t="s">
        <v>457</v>
      </c>
      <c r="D255" s="771" t="s">
        <v>459</v>
      </c>
      <c r="E255" s="413" t="s">
        <v>698</v>
      </c>
      <c r="F255" s="837" t="s">
        <v>699</v>
      </c>
    </row>
    <row r="256" spans="2:6" ht="85.5" x14ac:dyDescent="0.85">
      <c r="B256" s="1011"/>
      <c r="C256" s="482" t="s">
        <v>458</v>
      </c>
      <c r="D256" s="771" t="s">
        <v>460</v>
      </c>
      <c r="E256" s="413" t="s">
        <v>700</v>
      </c>
      <c r="F256" s="837" t="s">
        <v>699</v>
      </c>
    </row>
    <row r="257" spans="2:6" ht="114" x14ac:dyDescent="0.85">
      <c r="B257" s="1026" t="s">
        <v>461</v>
      </c>
      <c r="C257" s="482" t="s">
        <v>316</v>
      </c>
      <c r="D257" s="771" t="s">
        <v>344</v>
      </c>
      <c r="E257" s="425" t="s">
        <v>106</v>
      </c>
      <c r="F257" s="843" t="s">
        <v>701</v>
      </c>
    </row>
    <row r="258" spans="2:6" ht="57" x14ac:dyDescent="0.85">
      <c r="B258" s="1026"/>
      <c r="C258" s="482" t="s">
        <v>1039</v>
      </c>
      <c r="D258" s="771" t="s">
        <v>345</v>
      </c>
      <c r="E258" s="413" t="s">
        <v>702</v>
      </c>
      <c r="F258" s="837" t="s">
        <v>703</v>
      </c>
    </row>
    <row r="259" spans="2:6" hidden="1" x14ac:dyDescent="0.85">
      <c r="B259" s="1026"/>
      <c r="C259" s="432" t="s">
        <v>607</v>
      </c>
      <c r="D259" s="771" t="s">
        <v>608</v>
      </c>
      <c r="E259" s="425" t="s">
        <v>704</v>
      </c>
      <c r="F259" s="843" t="s">
        <v>701</v>
      </c>
    </row>
    <row r="260" spans="2:6" ht="57" hidden="1" x14ac:dyDescent="0.85">
      <c r="B260" s="1026"/>
      <c r="C260" s="432" t="s">
        <v>1040</v>
      </c>
      <c r="D260" s="771" t="s">
        <v>609</v>
      </c>
      <c r="E260" s="413" t="s">
        <v>705</v>
      </c>
      <c r="F260" s="843" t="s">
        <v>703</v>
      </c>
    </row>
    <row r="261" spans="2:6" ht="85.5" hidden="1" x14ac:dyDescent="0.85">
      <c r="B261" s="1037" t="s">
        <v>464</v>
      </c>
      <c r="C261" s="482" t="s">
        <v>453</v>
      </c>
      <c r="D261" s="771" t="s">
        <v>261</v>
      </c>
      <c r="E261" s="425" t="s">
        <v>107</v>
      </c>
      <c r="F261" s="843" t="s">
        <v>262</v>
      </c>
    </row>
    <row r="262" spans="2:6" ht="142.5" hidden="1" x14ac:dyDescent="0.85">
      <c r="B262" s="1038"/>
      <c r="C262" s="432" t="s">
        <v>1041</v>
      </c>
      <c r="D262" s="771" t="s">
        <v>263</v>
      </c>
      <c r="E262" s="425" t="s">
        <v>592</v>
      </c>
      <c r="F262" s="843" t="s">
        <v>262</v>
      </c>
    </row>
    <row r="263" spans="2:6" ht="85.5" hidden="1" x14ac:dyDescent="0.85">
      <c r="B263" s="1038"/>
      <c r="C263" s="432" t="s">
        <v>462</v>
      </c>
      <c r="D263" s="771" t="s">
        <v>465</v>
      </c>
      <c r="E263" s="413" t="s">
        <v>706</v>
      </c>
      <c r="F263" s="843" t="s">
        <v>707</v>
      </c>
    </row>
    <row r="264" spans="2:6" ht="85.5" hidden="1" x14ac:dyDescent="0.85">
      <c r="B264" s="1038"/>
      <c r="C264" s="482" t="s">
        <v>463</v>
      </c>
      <c r="D264" s="771" t="s">
        <v>466</v>
      </c>
      <c r="E264" s="413" t="s">
        <v>708</v>
      </c>
      <c r="F264" s="837" t="s">
        <v>709</v>
      </c>
    </row>
    <row r="265" spans="2:6" ht="57" hidden="1" x14ac:dyDescent="0.85">
      <c r="B265" s="1038"/>
      <c r="C265" s="1" t="s">
        <v>1194</v>
      </c>
      <c r="D265" s="771" t="s">
        <v>467</v>
      </c>
      <c r="E265" s="413" t="s">
        <v>710</v>
      </c>
      <c r="F265" s="837" t="s">
        <v>711</v>
      </c>
    </row>
    <row r="266" spans="2:6" ht="57" hidden="1" x14ac:dyDescent="0.85">
      <c r="B266" s="1038"/>
      <c r="C266" s="633" t="s">
        <v>1189</v>
      </c>
      <c r="D266" s="771" t="s">
        <v>468</v>
      </c>
      <c r="E266" s="413" t="s">
        <v>712</v>
      </c>
      <c r="F266" s="837" t="s">
        <v>711</v>
      </c>
    </row>
    <row r="267" spans="2:6" hidden="1" x14ac:dyDescent="0.85">
      <c r="B267" s="1038"/>
      <c r="C267" s="634" t="s">
        <v>1190</v>
      </c>
      <c r="D267" s="611" t="s">
        <v>1192</v>
      </c>
      <c r="E267" s="413"/>
      <c r="F267" s="837"/>
    </row>
    <row r="268" spans="2:6" ht="51.4" thickBot="1" x14ac:dyDescent="0.9">
      <c r="B268" s="1039"/>
      <c r="C268" s="954" t="s">
        <v>1191</v>
      </c>
      <c r="D268" s="898" t="s">
        <v>1193</v>
      </c>
      <c r="E268" s="413"/>
      <c r="F268" s="837"/>
    </row>
    <row r="269" spans="2:6" ht="114" x14ac:dyDescent="0.85">
      <c r="B269" s="1027" t="s">
        <v>111</v>
      </c>
      <c r="C269" s="482" t="s">
        <v>1042</v>
      </c>
      <c r="D269" s="771" t="s">
        <v>264</v>
      </c>
      <c r="E269" s="425" t="s">
        <v>120</v>
      </c>
      <c r="F269" s="843" t="s">
        <v>266</v>
      </c>
    </row>
    <row r="270" spans="2:6" ht="85.5" x14ac:dyDescent="0.85">
      <c r="B270" s="1027"/>
      <c r="C270" s="482" t="s">
        <v>317</v>
      </c>
      <c r="D270" s="771" t="s">
        <v>265</v>
      </c>
      <c r="E270" s="425" t="s">
        <v>593</v>
      </c>
      <c r="F270" s="843" t="s">
        <v>266</v>
      </c>
    </row>
    <row r="271" spans="2:6" ht="57" x14ac:dyDescent="0.85">
      <c r="B271" s="1027" t="s">
        <v>483</v>
      </c>
      <c r="C271" s="482" t="s">
        <v>490</v>
      </c>
      <c r="D271" s="771" t="s">
        <v>500</v>
      </c>
      <c r="E271" s="413" t="s">
        <v>713</v>
      </c>
      <c r="F271" s="837" t="s">
        <v>714</v>
      </c>
    </row>
    <row r="272" spans="2:6" ht="57" x14ac:dyDescent="0.85">
      <c r="B272" s="1027"/>
      <c r="C272" s="482" t="s">
        <v>485</v>
      </c>
      <c r="D272" s="771" t="s">
        <v>501</v>
      </c>
      <c r="E272" s="413" t="s">
        <v>715</v>
      </c>
      <c r="F272" s="837" t="s">
        <v>714</v>
      </c>
    </row>
    <row r="273" spans="2:139" ht="57" x14ac:dyDescent="0.85">
      <c r="B273" s="1027"/>
      <c r="C273" s="433" t="s">
        <v>486</v>
      </c>
      <c r="D273" s="771" t="s">
        <v>502</v>
      </c>
      <c r="E273" s="413" t="s">
        <v>716</v>
      </c>
      <c r="F273" s="837"/>
    </row>
    <row r="274" spans="2:139" ht="57" x14ac:dyDescent="0.85">
      <c r="B274" s="1027" t="s">
        <v>487</v>
      </c>
      <c r="C274" s="482" t="s">
        <v>491</v>
      </c>
      <c r="D274" s="771" t="s">
        <v>503</v>
      </c>
      <c r="E274" s="413" t="s">
        <v>717</v>
      </c>
      <c r="F274" s="837" t="s">
        <v>718</v>
      </c>
    </row>
    <row r="275" spans="2:139" ht="57" x14ac:dyDescent="0.85">
      <c r="B275" s="1027"/>
      <c r="C275" s="482" t="s">
        <v>488</v>
      </c>
      <c r="D275" s="771" t="s">
        <v>504</v>
      </c>
      <c r="E275" s="413" t="s">
        <v>719</v>
      </c>
      <c r="F275" s="837" t="s">
        <v>718</v>
      </c>
    </row>
    <row r="276" spans="2:139" ht="57" x14ac:dyDescent="0.85">
      <c r="B276" s="1027"/>
      <c r="C276" s="433" t="s">
        <v>489</v>
      </c>
      <c r="D276" s="771" t="s">
        <v>505</v>
      </c>
      <c r="E276" s="413" t="s">
        <v>720</v>
      </c>
      <c r="F276" s="837"/>
    </row>
    <row r="277" spans="2:139" ht="57" x14ac:dyDescent="0.85">
      <c r="B277" s="1027" t="s">
        <v>484</v>
      </c>
      <c r="C277" s="482" t="s">
        <v>868</v>
      </c>
      <c r="D277" s="771" t="s">
        <v>506</v>
      </c>
      <c r="E277" s="413" t="s">
        <v>721</v>
      </c>
      <c r="F277" s="837" t="s">
        <v>722</v>
      </c>
    </row>
    <row r="278" spans="2:139" ht="57" x14ac:dyDescent="0.85">
      <c r="B278" s="1027"/>
      <c r="C278" s="482" t="s">
        <v>869</v>
      </c>
      <c r="D278" s="771" t="s">
        <v>507</v>
      </c>
      <c r="E278" s="413" t="s">
        <v>723</v>
      </c>
      <c r="F278" s="837" t="s">
        <v>722</v>
      </c>
    </row>
    <row r="279" spans="2:139" ht="57" x14ac:dyDescent="0.85">
      <c r="B279" s="1027"/>
      <c r="C279" s="440" t="s">
        <v>890</v>
      </c>
      <c r="D279" s="771" t="s">
        <v>508</v>
      </c>
      <c r="E279" s="413" t="s">
        <v>724</v>
      </c>
      <c r="F279" s="837"/>
    </row>
    <row r="280" spans="2:139" x14ac:dyDescent="0.85">
      <c r="B280" s="1031" t="s">
        <v>115</v>
      </c>
      <c r="C280" s="1032"/>
      <c r="D280" s="1032"/>
      <c r="E280" s="1032"/>
      <c r="F280" s="1033"/>
    </row>
    <row r="281" spans="2:139" ht="114" x14ac:dyDescent="0.85">
      <c r="B281" s="1026" t="s">
        <v>456</v>
      </c>
      <c r="C281" s="482" t="s">
        <v>470</v>
      </c>
      <c r="D281" s="771" t="s">
        <v>346</v>
      </c>
      <c r="E281" s="425" t="s">
        <v>64</v>
      </c>
      <c r="F281" s="843" t="s">
        <v>725</v>
      </c>
    </row>
    <row r="282" spans="2:139" s="443" customFormat="1" ht="57" x14ac:dyDescent="0.85">
      <c r="B282" s="1026"/>
      <c r="C282" s="482" t="s">
        <v>471</v>
      </c>
      <c r="D282" s="771" t="s">
        <v>347</v>
      </c>
      <c r="E282" s="425" t="s">
        <v>65</v>
      </c>
      <c r="F282" s="843" t="s">
        <v>725</v>
      </c>
      <c r="G282" s="834"/>
      <c r="H282" s="834"/>
      <c r="I282" s="834"/>
      <c r="J282" s="834"/>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c r="BC282" s="834"/>
      <c r="BD282" s="834"/>
      <c r="BE282" s="834"/>
      <c r="BF282" s="834"/>
      <c r="BG282" s="834"/>
      <c r="BH282" s="834"/>
      <c r="BI282" s="834"/>
      <c r="BJ282" s="834"/>
      <c r="BK282" s="834"/>
      <c r="BL282" s="834"/>
      <c r="BM282" s="834"/>
      <c r="BN282" s="834"/>
      <c r="BO282" s="834"/>
      <c r="BP282" s="834"/>
      <c r="BQ282" s="834"/>
      <c r="BR282" s="834"/>
      <c r="BS282" s="834"/>
      <c r="BT282" s="834"/>
      <c r="BU282" s="834"/>
      <c r="BV282" s="834"/>
      <c r="BW282" s="834"/>
      <c r="BX282" s="834"/>
      <c r="BY282" s="834"/>
      <c r="BZ282" s="834"/>
      <c r="CA282" s="834"/>
      <c r="CB282" s="834"/>
      <c r="CC282" s="834"/>
      <c r="CD282" s="834"/>
      <c r="CE282" s="834"/>
      <c r="CF282" s="834"/>
      <c r="CG282" s="834"/>
      <c r="CH282" s="834"/>
      <c r="CI282" s="834"/>
      <c r="CJ282" s="834"/>
      <c r="CK282" s="834"/>
      <c r="CL282" s="834"/>
      <c r="CM282" s="834"/>
      <c r="CN282" s="834"/>
      <c r="CO282" s="834"/>
      <c r="CP282" s="834"/>
      <c r="CQ282" s="834"/>
      <c r="CR282" s="834"/>
      <c r="CS282" s="834"/>
      <c r="CT282" s="834"/>
      <c r="CU282" s="834"/>
      <c r="CV282" s="834"/>
      <c r="CW282" s="834"/>
      <c r="CX282" s="834"/>
      <c r="CY282" s="834"/>
      <c r="CZ282" s="834"/>
      <c r="DA282" s="834"/>
      <c r="DB282" s="834"/>
      <c r="DC282" s="834"/>
      <c r="DD282" s="834"/>
      <c r="DE282" s="834"/>
      <c r="DF282" s="834"/>
      <c r="DG282" s="834"/>
      <c r="DH282" s="834"/>
      <c r="DI282" s="834"/>
      <c r="DJ282" s="834"/>
      <c r="DK282" s="834"/>
      <c r="DL282" s="834"/>
      <c r="DM282" s="834"/>
      <c r="DN282" s="834"/>
      <c r="DO282" s="834"/>
      <c r="DP282" s="834"/>
      <c r="DQ282" s="834"/>
      <c r="DR282" s="834"/>
      <c r="DS282" s="834"/>
      <c r="DT282" s="834"/>
      <c r="DU282" s="834"/>
      <c r="DV282" s="834"/>
      <c r="DW282" s="834"/>
      <c r="DX282" s="834"/>
      <c r="DY282" s="834"/>
      <c r="DZ282" s="834"/>
      <c r="EA282" s="834"/>
      <c r="EB282" s="834"/>
      <c r="EC282" s="834"/>
      <c r="ED282" s="834"/>
      <c r="EE282" s="834"/>
      <c r="EF282" s="834"/>
      <c r="EG282" s="834"/>
      <c r="EH282" s="834"/>
      <c r="EI282" s="834"/>
    </row>
    <row r="283" spans="2:139" x14ac:dyDescent="0.85">
      <c r="B283" s="1026"/>
      <c r="C283" s="433" t="s">
        <v>472</v>
      </c>
      <c r="D283" s="771" t="s">
        <v>478</v>
      </c>
      <c r="E283" s="413"/>
      <c r="F283" s="837"/>
    </row>
    <row r="284" spans="2:139" ht="85.5" x14ac:dyDescent="0.85">
      <c r="B284" s="1011" t="s">
        <v>1043</v>
      </c>
      <c r="C284" s="482" t="s">
        <v>473</v>
      </c>
      <c r="D284" s="771" t="s">
        <v>479</v>
      </c>
      <c r="E284" s="413" t="s">
        <v>726</v>
      </c>
      <c r="F284" s="843" t="s">
        <v>725</v>
      </c>
    </row>
    <row r="285" spans="2:139" ht="57" x14ac:dyDescent="0.85">
      <c r="B285" s="1011"/>
      <c r="C285" s="482" t="s">
        <v>474</v>
      </c>
      <c r="D285" s="771" t="s">
        <v>480</v>
      </c>
      <c r="E285" s="413" t="s">
        <v>727</v>
      </c>
      <c r="F285" s="843" t="s">
        <v>725</v>
      </c>
    </row>
    <row r="286" spans="2:139" ht="57" x14ac:dyDescent="0.85">
      <c r="B286" s="1034" t="s">
        <v>461</v>
      </c>
      <c r="C286" s="441" t="s">
        <v>475</v>
      </c>
      <c r="D286" s="780" t="s">
        <v>348</v>
      </c>
      <c r="E286" s="442" t="s">
        <v>125</v>
      </c>
      <c r="F286" s="856" t="s">
        <v>273</v>
      </c>
    </row>
    <row r="287" spans="2:139" ht="57" x14ac:dyDescent="0.85">
      <c r="B287" s="1034"/>
      <c r="C287" s="441" t="s">
        <v>605</v>
      </c>
      <c r="D287" s="780" t="s">
        <v>606</v>
      </c>
      <c r="E287" s="442" t="s">
        <v>728</v>
      </c>
      <c r="F287" s="856" t="s">
        <v>273</v>
      </c>
    </row>
    <row r="288" spans="2:139" ht="57" x14ac:dyDescent="0.85">
      <c r="B288" s="1040" t="s">
        <v>464</v>
      </c>
      <c r="C288" s="482" t="s">
        <v>476</v>
      </c>
      <c r="D288" s="771" t="s">
        <v>349</v>
      </c>
      <c r="E288" s="425" t="s">
        <v>729</v>
      </c>
      <c r="F288" s="843" t="s">
        <v>730</v>
      </c>
    </row>
    <row r="289" spans="2:6" ht="57.4" thickBot="1" x14ac:dyDescent="0.9">
      <c r="B289" s="1041"/>
      <c r="C289" s="482" t="s">
        <v>477</v>
      </c>
      <c r="D289" s="771" t="s">
        <v>481</v>
      </c>
      <c r="E289" s="413" t="s">
        <v>731</v>
      </c>
      <c r="F289" s="843" t="s">
        <v>730</v>
      </c>
    </row>
    <row r="290" spans="2:6" ht="57" x14ac:dyDescent="0.85">
      <c r="B290" s="1041"/>
      <c r="C290" s="686" t="s">
        <v>1214</v>
      </c>
      <c r="D290" s="899" t="s">
        <v>482</v>
      </c>
      <c r="E290" s="413" t="s">
        <v>732</v>
      </c>
      <c r="F290" s="843" t="s">
        <v>733</v>
      </c>
    </row>
    <row r="291" spans="2:6" ht="28.9" thickBot="1" x14ac:dyDescent="0.9">
      <c r="B291" s="1042"/>
      <c r="C291" s="676" t="s">
        <v>1213</v>
      </c>
      <c r="D291" s="678" t="s">
        <v>1212</v>
      </c>
      <c r="E291" s="413"/>
      <c r="F291" s="843"/>
    </row>
    <row r="292" spans="2:6" ht="57" x14ac:dyDescent="0.85">
      <c r="B292" s="894" t="s">
        <v>267</v>
      </c>
      <c r="C292" s="482" t="s">
        <v>1044</v>
      </c>
      <c r="D292" s="771" t="s">
        <v>350</v>
      </c>
      <c r="E292" s="425" t="s">
        <v>268</v>
      </c>
      <c r="F292" s="843" t="s">
        <v>269</v>
      </c>
    </row>
    <row r="293" spans="2:6" ht="85.5" x14ac:dyDescent="0.85">
      <c r="B293" s="1026" t="s">
        <v>1045</v>
      </c>
      <c r="C293" s="482" t="s">
        <v>270</v>
      </c>
      <c r="D293" s="771" t="s">
        <v>351</v>
      </c>
      <c r="E293" s="425" t="s">
        <v>271</v>
      </c>
      <c r="F293" s="843" t="s">
        <v>272</v>
      </c>
    </row>
    <row r="294" spans="2:6" ht="171" x14ac:dyDescent="0.85">
      <c r="B294" s="1026"/>
      <c r="C294" s="482" t="s">
        <v>318</v>
      </c>
      <c r="D294" s="771" t="s">
        <v>352</v>
      </c>
      <c r="E294" s="425" t="s">
        <v>126</v>
      </c>
      <c r="F294" s="843" t="s">
        <v>273</v>
      </c>
    </row>
    <row r="295" spans="2:6" ht="142.5" x14ac:dyDescent="0.85">
      <c r="B295" s="1026"/>
      <c r="C295" s="482" t="s">
        <v>1046</v>
      </c>
      <c r="D295" s="771" t="s">
        <v>353</v>
      </c>
      <c r="E295" s="425" t="s">
        <v>127</v>
      </c>
      <c r="F295" s="843" t="s">
        <v>274</v>
      </c>
    </row>
    <row r="296" spans="2:6" x14ac:dyDescent="0.85">
      <c r="B296" s="1031" t="s">
        <v>117</v>
      </c>
      <c r="C296" s="1032"/>
      <c r="D296" s="1032"/>
      <c r="E296" s="1032"/>
      <c r="F296" s="1033"/>
    </row>
    <row r="297" spans="2:6" ht="57" x14ac:dyDescent="0.85">
      <c r="B297" s="894" t="s">
        <v>275</v>
      </c>
      <c r="C297" s="444" t="s">
        <v>1047</v>
      </c>
      <c r="D297" s="771" t="s">
        <v>276</v>
      </c>
      <c r="E297" s="425" t="s">
        <v>734</v>
      </c>
      <c r="F297" s="843" t="s">
        <v>735</v>
      </c>
    </row>
    <row r="298" spans="2:6" ht="85.5" x14ac:dyDescent="0.85">
      <c r="B298" s="1011" t="s">
        <v>542</v>
      </c>
      <c r="C298" s="432" t="s">
        <v>369</v>
      </c>
      <c r="D298" s="771" t="s">
        <v>536</v>
      </c>
      <c r="E298" s="413" t="s">
        <v>736</v>
      </c>
      <c r="F298" s="843" t="s">
        <v>735</v>
      </c>
    </row>
    <row r="299" spans="2:6" ht="85.5" x14ac:dyDescent="0.85">
      <c r="B299" s="1011"/>
      <c r="C299" s="432" t="s">
        <v>364</v>
      </c>
      <c r="D299" s="771" t="s">
        <v>537</v>
      </c>
      <c r="E299" s="413" t="s">
        <v>737</v>
      </c>
      <c r="F299" s="843" t="s">
        <v>735</v>
      </c>
    </row>
    <row r="300" spans="2:6" ht="85.5" x14ac:dyDescent="0.85">
      <c r="B300" s="1011"/>
      <c r="C300" s="482" t="s">
        <v>365</v>
      </c>
      <c r="D300" s="771" t="s">
        <v>538</v>
      </c>
      <c r="E300" s="413" t="s">
        <v>738</v>
      </c>
      <c r="F300" s="843" t="s">
        <v>735</v>
      </c>
    </row>
    <row r="301" spans="2:6" ht="85.5" x14ac:dyDescent="0.85">
      <c r="B301" s="1011"/>
      <c r="C301" s="482" t="s">
        <v>366</v>
      </c>
      <c r="D301" s="771" t="s">
        <v>539</v>
      </c>
      <c r="E301" s="413" t="s">
        <v>739</v>
      </c>
      <c r="F301" s="843" t="s">
        <v>735</v>
      </c>
    </row>
    <row r="302" spans="2:6" ht="85.5" x14ac:dyDescent="0.85">
      <c r="B302" s="1011"/>
      <c r="C302" s="482" t="s">
        <v>367</v>
      </c>
      <c r="D302" s="771" t="s">
        <v>540</v>
      </c>
      <c r="E302" s="413" t="s">
        <v>740</v>
      </c>
      <c r="F302" s="843" t="s">
        <v>735</v>
      </c>
    </row>
    <row r="303" spans="2:6" ht="85.5" x14ac:dyDescent="0.85">
      <c r="B303" s="1011"/>
      <c r="C303" s="482" t="s">
        <v>368</v>
      </c>
      <c r="D303" s="771" t="s">
        <v>541</v>
      </c>
      <c r="E303" s="413" t="s">
        <v>741</v>
      </c>
      <c r="F303" s="843" t="s">
        <v>735</v>
      </c>
    </row>
    <row r="304" spans="2:6" ht="57.4" thickBot="1" x14ac:dyDescent="0.9">
      <c r="B304" s="894" t="s">
        <v>543</v>
      </c>
      <c r="C304" s="445" t="s">
        <v>891</v>
      </c>
      <c r="D304" s="771" t="s">
        <v>277</v>
      </c>
      <c r="E304" s="425" t="s">
        <v>66</v>
      </c>
      <c r="F304" s="843" t="s">
        <v>735</v>
      </c>
    </row>
    <row r="305" spans="2:6" ht="85.5" x14ac:dyDescent="0.85">
      <c r="B305" s="1015" t="s">
        <v>921</v>
      </c>
      <c r="C305" s="466" t="s">
        <v>1290</v>
      </c>
      <c r="D305" s="781" t="s">
        <v>922</v>
      </c>
      <c r="E305" s="425" t="s">
        <v>929</v>
      </c>
      <c r="F305" s="843" t="s">
        <v>930</v>
      </c>
    </row>
    <row r="306" spans="2:6" ht="57" x14ac:dyDescent="0.85">
      <c r="B306" s="1016"/>
      <c r="C306" s="941" t="s">
        <v>1285</v>
      </c>
      <c r="D306" s="976" t="s">
        <v>1287</v>
      </c>
      <c r="E306" s="425" t="s">
        <v>1333</v>
      </c>
      <c r="F306" s="843"/>
    </row>
    <row r="307" spans="2:6" ht="57" x14ac:dyDescent="0.85">
      <c r="B307" s="1016"/>
      <c r="C307" s="941" t="s">
        <v>1291</v>
      </c>
      <c r="D307" s="976" t="s">
        <v>1288</v>
      </c>
      <c r="E307" s="425" t="s">
        <v>1334</v>
      </c>
      <c r="F307" s="843"/>
    </row>
    <row r="308" spans="2:6" ht="57.4" thickBot="1" x14ac:dyDescent="0.9">
      <c r="B308" s="1017"/>
      <c r="C308" s="941" t="s">
        <v>1286</v>
      </c>
      <c r="D308" s="976" t="s">
        <v>1289</v>
      </c>
      <c r="E308" s="425" t="s">
        <v>1335</v>
      </c>
      <c r="F308" s="843"/>
    </row>
    <row r="309" spans="2:6" ht="57" x14ac:dyDescent="0.85">
      <c r="B309" s="1011" t="s">
        <v>544</v>
      </c>
      <c r="C309" s="482" t="s">
        <v>923</v>
      </c>
      <c r="D309" s="771" t="s">
        <v>531</v>
      </c>
      <c r="E309" s="413" t="s">
        <v>924</v>
      </c>
      <c r="F309" s="837" t="s">
        <v>742</v>
      </c>
    </row>
    <row r="310" spans="2:6" ht="57" x14ac:dyDescent="0.85">
      <c r="B310" s="1011"/>
      <c r="C310" s="444" t="s">
        <v>1048</v>
      </c>
      <c r="D310" s="771" t="s">
        <v>279</v>
      </c>
      <c r="E310" s="425" t="s">
        <v>278</v>
      </c>
      <c r="F310" s="843" t="s">
        <v>280</v>
      </c>
    </row>
    <row r="311" spans="2:6" ht="57" x14ac:dyDescent="0.85">
      <c r="B311" s="1011" t="s">
        <v>414</v>
      </c>
      <c r="C311" s="482" t="s">
        <v>369</v>
      </c>
      <c r="D311" s="771" t="s">
        <v>383</v>
      </c>
      <c r="E311" s="425" t="s">
        <v>400</v>
      </c>
      <c r="F311" s="843" t="s">
        <v>280</v>
      </c>
    </row>
    <row r="312" spans="2:6" ht="57" x14ac:dyDescent="0.85">
      <c r="B312" s="1011"/>
      <c r="C312" s="482" t="s">
        <v>364</v>
      </c>
      <c r="D312" s="771" t="s">
        <v>384</v>
      </c>
      <c r="E312" s="425" t="s">
        <v>401</v>
      </c>
      <c r="F312" s="843" t="s">
        <v>280</v>
      </c>
    </row>
    <row r="313" spans="2:6" ht="57" x14ac:dyDescent="0.85">
      <c r="B313" s="1011"/>
      <c r="C313" s="482" t="s">
        <v>365</v>
      </c>
      <c r="D313" s="771" t="s">
        <v>385</v>
      </c>
      <c r="E313" s="425" t="s">
        <v>402</v>
      </c>
      <c r="F313" s="843" t="s">
        <v>280</v>
      </c>
    </row>
    <row r="314" spans="2:6" ht="57" x14ac:dyDescent="0.85">
      <c r="B314" s="1011"/>
      <c r="C314" s="482" t="s">
        <v>366</v>
      </c>
      <c r="D314" s="771" t="s">
        <v>386</v>
      </c>
      <c r="E314" s="425" t="s">
        <v>403</v>
      </c>
      <c r="F314" s="843" t="s">
        <v>280</v>
      </c>
    </row>
    <row r="315" spans="2:6" ht="57" x14ac:dyDescent="0.85">
      <c r="B315" s="1011"/>
      <c r="C315" s="482" t="s">
        <v>367</v>
      </c>
      <c r="D315" s="771" t="s">
        <v>387</v>
      </c>
      <c r="E315" s="425" t="s">
        <v>404</v>
      </c>
      <c r="F315" s="843" t="s">
        <v>280</v>
      </c>
    </row>
    <row r="316" spans="2:6" ht="57" x14ac:dyDescent="0.85">
      <c r="B316" s="1011"/>
      <c r="C316" s="482" t="s">
        <v>368</v>
      </c>
      <c r="D316" s="771" t="s">
        <v>388</v>
      </c>
      <c r="E316" s="425" t="s">
        <v>405</v>
      </c>
      <c r="F316" s="843" t="s">
        <v>280</v>
      </c>
    </row>
    <row r="317" spans="2:6" x14ac:dyDescent="0.85">
      <c r="B317" s="1011" t="s">
        <v>415</v>
      </c>
      <c r="C317" s="482" t="s">
        <v>418</v>
      </c>
      <c r="D317" s="771" t="s">
        <v>394</v>
      </c>
      <c r="E317" s="425" t="s">
        <v>406</v>
      </c>
      <c r="F317" s="843" t="s">
        <v>412</v>
      </c>
    </row>
    <row r="318" spans="2:6" x14ac:dyDescent="0.85">
      <c r="B318" s="1011"/>
      <c r="C318" s="432" t="s">
        <v>389</v>
      </c>
      <c r="D318" s="771" t="s">
        <v>395</v>
      </c>
      <c r="E318" s="425" t="s">
        <v>407</v>
      </c>
      <c r="F318" s="843" t="s">
        <v>412</v>
      </c>
    </row>
    <row r="319" spans="2:6" x14ac:dyDescent="0.85">
      <c r="B319" s="1011"/>
      <c r="C319" s="432" t="s">
        <v>390</v>
      </c>
      <c r="D319" s="771" t="s">
        <v>396</v>
      </c>
      <c r="E319" s="425" t="s">
        <v>408</v>
      </c>
      <c r="F319" s="843" t="s">
        <v>412</v>
      </c>
    </row>
    <row r="320" spans="2:6" x14ac:dyDescent="0.85">
      <c r="B320" s="1011"/>
      <c r="C320" s="482" t="s">
        <v>391</v>
      </c>
      <c r="D320" s="771" t="s">
        <v>397</v>
      </c>
      <c r="E320" s="425" t="s">
        <v>409</v>
      </c>
      <c r="F320" s="843" t="s">
        <v>412</v>
      </c>
    </row>
    <row r="321" spans="2:6" x14ac:dyDescent="0.85">
      <c r="B321" s="1011"/>
      <c r="C321" s="482" t="s">
        <v>392</v>
      </c>
      <c r="D321" s="771" t="s">
        <v>398</v>
      </c>
      <c r="E321" s="425" t="s">
        <v>410</v>
      </c>
      <c r="F321" s="843" t="s">
        <v>412</v>
      </c>
    </row>
    <row r="322" spans="2:6" x14ac:dyDescent="0.85">
      <c r="B322" s="1011"/>
      <c r="C322" s="482" t="s">
        <v>393</v>
      </c>
      <c r="D322" s="771" t="s">
        <v>399</v>
      </c>
      <c r="E322" s="425" t="s">
        <v>411</v>
      </c>
      <c r="F322" s="843" t="s">
        <v>412</v>
      </c>
    </row>
    <row r="323" spans="2:6" x14ac:dyDescent="0.85">
      <c r="B323" s="1011"/>
      <c r="C323" s="431" t="s">
        <v>413</v>
      </c>
      <c r="D323" s="771" t="s">
        <v>417</v>
      </c>
      <c r="E323" s="413"/>
      <c r="F323" s="837"/>
    </row>
    <row r="324" spans="2:6" ht="57" x14ac:dyDescent="0.85">
      <c r="B324" s="1011"/>
      <c r="C324" s="482" t="s">
        <v>435</v>
      </c>
      <c r="D324" s="771" t="s">
        <v>419</v>
      </c>
      <c r="E324" s="425" t="s">
        <v>433</v>
      </c>
      <c r="F324" s="843" t="s">
        <v>412</v>
      </c>
    </row>
    <row r="325" spans="2:6" ht="85.5" x14ac:dyDescent="0.85">
      <c r="B325" s="1018" t="s">
        <v>575</v>
      </c>
      <c r="C325" s="482" t="s">
        <v>568</v>
      </c>
      <c r="D325" s="771" t="s">
        <v>528</v>
      </c>
      <c r="E325" s="413" t="s">
        <v>744</v>
      </c>
      <c r="F325" s="837" t="s">
        <v>745</v>
      </c>
    </row>
    <row r="326" spans="2:6" ht="85.5" x14ac:dyDescent="0.85">
      <c r="B326" s="1023"/>
      <c r="C326" s="482" t="s">
        <v>569</v>
      </c>
      <c r="D326" s="771" t="s">
        <v>529</v>
      </c>
      <c r="E326" s="413" t="s">
        <v>746</v>
      </c>
      <c r="F326" s="837" t="s">
        <v>745</v>
      </c>
    </row>
    <row r="327" spans="2:6" ht="57" x14ac:dyDescent="0.85">
      <c r="B327" s="1023"/>
      <c r="C327" s="431" t="s">
        <v>785</v>
      </c>
      <c r="D327" s="771" t="s">
        <v>527</v>
      </c>
      <c r="E327" s="413"/>
      <c r="F327" s="857"/>
    </row>
    <row r="328" spans="2:6" ht="85.5" x14ac:dyDescent="0.85">
      <c r="B328" s="1023"/>
      <c r="C328" s="482" t="s">
        <v>570</v>
      </c>
      <c r="D328" s="771" t="s">
        <v>530</v>
      </c>
      <c r="E328" s="413" t="s">
        <v>747</v>
      </c>
      <c r="F328" s="837" t="s">
        <v>745</v>
      </c>
    </row>
    <row r="329" spans="2:6" ht="85.5" x14ac:dyDescent="0.85">
      <c r="B329" s="1023"/>
      <c r="C329" s="482" t="s">
        <v>571</v>
      </c>
      <c r="D329" s="771" t="s">
        <v>564</v>
      </c>
      <c r="E329" s="413" t="s">
        <v>748</v>
      </c>
      <c r="F329" s="837" t="s">
        <v>745</v>
      </c>
    </row>
    <row r="330" spans="2:6" ht="114" x14ac:dyDescent="0.85">
      <c r="B330" s="1023"/>
      <c r="C330" s="431" t="s">
        <v>786</v>
      </c>
      <c r="D330" s="771" t="s">
        <v>281</v>
      </c>
      <c r="E330" s="425" t="s">
        <v>743</v>
      </c>
      <c r="F330" s="843" t="s">
        <v>280</v>
      </c>
    </row>
    <row r="331" spans="2:6" ht="57" x14ac:dyDescent="0.85">
      <c r="B331" s="1023"/>
      <c r="C331" s="482" t="s">
        <v>1049</v>
      </c>
      <c r="D331" s="771" t="s">
        <v>565</v>
      </c>
      <c r="E331" s="413" t="s">
        <v>749</v>
      </c>
      <c r="F331" s="837" t="s">
        <v>750</v>
      </c>
    </row>
    <row r="332" spans="2:6" ht="57" x14ac:dyDescent="0.85">
      <c r="B332" s="1023"/>
      <c r="C332" s="482" t="s">
        <v>1050</v>
      </c>
      <c r="D332" s="771" t="s">
        <v>566</v>
      </c>
      <c r="E332" s="413" t="s">
        <v>751</v>
      </c>
      <c r="F332" s="837" t="s">
        <v>752</v>
      </c>
    </row>
    <row r="333" spans="2:6" ht="57" x14ac:dyDescent="0.85">
      <c r="B333" s="1023"/>
      <c r="C333" s="482" t="s">
        <v>1051</v>
      </c>
      <c r="D333" s="771" t="s">
        <v>567</v>
      </c>
      <c r="E333" s="413" t="s">
        <v>753</v>
      </c>
      <c r="F333" s="837" t="s">
        <v>754</v>
      </c>
    </row>
    <row r="334" spans="2:6" ht="57" x14ac:dyDescent="0.85">
      <c r="B334" s="1023"/>
      <c r="C334" s="431" t="s">
        <v>787</v>
      </c>
      <c r="D334" s="771" t="s">
        <v>573</v>
      </c>
      <c r="E334" s="446" t="s">
        <v>791</v>
      </c>
      <c r="F334" s="858">
        <f t="shared" ref="F334" si="0">SUM(F331:F333)</f>
        <v>0</v>
      </c>
    </row>
    <row r="335" spans="2:6" ht="85.5" x14ac:dyDescent="0.85">
      <c r="B335" s="1023"/>
      <c r="C335" s="482" t="s">
        <v>572</v>
      </c>
      <c r="D335" s="771" t="s">
        <v>574</v>
      </c>
      <c r="E335" s="413" t="s">
        <v>755</v>
      </c>
      <c r="F335" s="837" t="s">
        <v>756</v>
      </c>
    </row>
    <row r="336" spans="2:6" ht="57.4" thickBot="1" x14ac:dyDescent="0.9">
      <c r="B336" s="1019"/>
      <c r="C336" s="431" t="s">
        <v>788</v>
      </c>
      <c r="D336" s="771" t="s">
        <v>577</v>
      </c>
      <c r="E336" s="413" t="s">
        <v>757</v>
      </c>
      <c r="F336" s="837" t="s">
        <v>758</v>
      </c>
    </row>
    <row r="337" spans="2:6" ht="57" x14ac:dyDescent="0.85">
      <c r="B337" s="1020" t="s">
        <v>1293</v>
      </c>
      <c r="C337" s="977" t="s">
        <v>1294</v>
      </c>
      <c r="D337" s="978" t="s">
        <v>1297</v>
      </c>
      <c r="E337" s="413" t="s">
        <v>1326</v>
      </c>
      <c r="F337" s="837" t="s">
        <v>1327</v>
      </c>
    </row>
    <row r="338" spans="2:6" ht="57" x14ac:dyDescent="0.85">
      <c r="B338" s="1021"/>
      <c r="C338" s="977" t="s">
        <v>1295</v>
      </c>
      <c r="D338" s="978" t="s">
        <v>1298</v>
      </c>
      <c r="E338" s="413" t="s">
        <v>1328</v>
      </c>
      <c r="F338" s="837" t="s">
        <v>1329</v>
      </c>
    </row>
    <row r="339" spans="2:6" ht="85.9" thickBot="1" x14ac:dyDescent="0.9">
      <c r="B339" s="1022"/>
      <c r="C339" s="977" t="s">
        <v>1296</v>
      </c>
      <c r="D339" s="978" t="s">
        <v>1299</v>
      </c>
      <c r="E339" s="413" t="s">
        <v>1330</v>
      </c>
      <c r="F339" s="837" t="s">
        <v>1331</v>
      </c>
    </row>
    <row r="340" spans="2:6" ht="57" x14ac:dyDescent="0.85">
      <c r="B340" s="1018" t="s">
        <v>789</v>
      </c>
      <c r="C340" s="482" t="s">
        <v>759</v>
      </c>
      <c r="D340" s="771" t="s">
        <v>578</v>
      </c>
      <c r="E340" s="413" t="s">
        <v>760</v>
      </c>
      <c r="F340" s="837" t="s">
        <v>761</v>
      </c>
    </row>
    <row r="341" spans="2:6" ht="57" x14ac:dyDescent="0.85">
      <c r="B341" s="1019"/>
      <c r="C341" s="482" t="s">
        <v>762</v>
      </c>
      <c r="D341" s="771" t="s">
        <v>579</v>
      </c>
      <c r="E341" s="413" t="s">
        <v>763</v>
      </c>
      <c r="F341" s="837" t="s">
        <v>761</v>
      </c>
    </row>
    <row r="342" spans="2:6" x14ac:dyDescent="0.85">
      <c r="B342" s="1026" t="s">
        <v>576</v>
      </c>
      <c r="C342" s="431" t="s">
        <v>492</v>
      </c>
      <c r="D342" s="771" t="s">
        <v>580</v>
      </c>
      <c r="E342" s="413" t="s">
        <v>674</v>
      </c>
      <c r="F342" s="837" t="s">
        <v>764</v>
      </c>
    </row>
    <row r="343" spans="2:6" x14ac:dyDescent="0.85">
      <c r="B343" s="1026"/>
      <c r="C343" s="447" t="s">
        <v>906</v>
      </c>
      <c r="D343" s="771" t="s">
        <v>580</v>
      </c>
      <c r="E343" s="413"/>
      <c r="F343" s="837"/>
    </row>
    <row r="344" spans="2:6" ht="57" x14ac:dyDescent="0.85">
      <c r="B344" s="1026"/>
      <c r="C344" s="482" t="s">
        <v>563</v>
      </c>
      <c r="D344" s="771" t="s">
        <v>581</v>
      </c>
      <c r="E344" s="482" t="s">
        <v>765</v>
      </c>
      <c r="F344" s="837" t="s">
        <v>766</v>
      </c>
    </row>
    <row r="345" spans="2:6" ht="57" x14ac:dyDescent="0.85">
      <c r="B345" s="1026"/>
      <c r="C345" s="482" t="s">
        <v>1049</v>
      </c>
      <c r="D345" s="771" t="s">
        <v>582</v>
      </c>
      <c r="E345" s="413" t="s">
        <v>767</v>
      </c>
      <c r="F345" s="837" t="s">
        <v>750</v>
      </c>
    </row>
    <row r="346" spans="2:6" ht="57" x14ac:dyDescent="0.85">
      <c r="B346" s="1026"/>
      <c r="C346" s="482" t="s">
        <v>1050</v>
      </c>
      <c r="D346" s="771" t="s">
        <v>583</v>
      </c>
      <c r="E346" s="413" t="s">
        <v>768</v>
      </c>
      <c r="F346" s="837" t="s">
        <v>752</v>
      </c>
    </row>
    <row r="347" spans="2:6" ht="57" x14ac:dyDescent="0.85">
      <c r="B347" s="1026"/>
      <c r="C347" s="482" t="s">
        <v>1051</v>
      </c>
      <c r="D347" s="771" t="s">
        <v>584</v>
      </c>
      <c r="E347" s="413" t="s">
        <v>769</v>
      </c>
      <c r="F347" s="837" t="s">
        <v>754</v>
      </c>
    </row>
    <row r="348" spans="2:6" ht="85.5" x14ac:dyDescent="0.85">
      <c r="B348" s="1026"/>
      <c r="C348" s="482" t="s">
        <v>572</v>
      </c>
      <c r="D348" s="771" t="s">
        <v>585</v>
      </c>
      <c r="E348" s="413" t="s">
        <v>770</v>
      </c>
      <c r="F348" s="837" t="s">
        <v>756</v>
      </c>
    </row>
    <row r="349" spans="2:6" ht="57" x14ac:dyDescent="0.85">
      <c r="B349" s="1026"/>
      <c r="C349" s="431" t="s">
        <v>912</v>
      </c>
      <c r="D349" s="771" t="s">
        <v>586</v>
      </c>
      <c r="E349" s="413" t="s">
        <v>771</v>
      </c>
      <c r="F349" s="837" t="s">
        <v>758</v>
      </c>
    </row>
    <row r="350" spans="2:6" hidden="1" x14ac:dyDescent="0.85">
      <c r="B350" s="1031" t="s">
        <v>118</v>
      </c>
      <c r="C350" s="1032"/>
      <c r="D350" s="1032"/>
      <c r="E350" s="1032"/>
      <c r="F350" s="1033"/>
    </row>
    <row r="351" spans="2:6" ht="85.5" hidden="1" x14ac:dyDescent="0.85">
      <c r="B351" s="1036" t="s">
        <v>363</v>
      </c>
      <c r="C351" s="482" t="s">
        <v>369</v>
      </c>
      <c r="D351" s="775" t="s">
        <v>370</v>
      </c>
      <c r="E351" s="425" t="s">
        <v>376</v>
      </c>
      <c r="F351" s="843" t="s">
        <v>382</v>
      </c>
    </row>
    <row r="352" spans="2:6" ht="114" hidden="1" x14ac:dyDescent="0.85">
      <c r="B352" s="1036"/>
      <c r="C352" s="482" t="s">
        <v>364</v>
      </c>
      <c r="D352" s="775" t="s">
        <v>371</v>
      </c>
      <c r="E352" s="425" t="s">
        <v>377</v>
      </c>
      <c r="F352" s="843" t="s">
        <v>382</v>
      </c>
    </row>
    <row r="353" spans="2:6" ht="114" hidden="1" x14ac:dyDescent="0.85">
      <c r="B353" s="1036"/>
      <c r="C353" s="482" t="s">
        <v>365</v>
      </c>
      <c r="D353" s="775" t="s">
        <v>372</v>
      </c>
      <c r="E353" s="425" t="s">
        <v>378</v>
      </c>
      <c r="F353" s="843" t="s">
        <v>382</v>
      </c>
    </row>
    <row r="354" spans="2:6" ht="114" hidden="1" x14ac:dyDescent="0.85">
      <c r="B354" s="1036"/>
      <c r="C354" s="482" t="s">
        <v>366</v>
      </c>
      <c r="D354" s="775" t="s">
        <v>373</v>
      </c>
      <c r="E354" s="425" t="s">
        <v>379</v>
      </c>
      <c r="F354" s="843" t="s">
        <v>382</v>
      </c>
    </row>
    <row r="355" spans="2:6" ht="114" hidden="1" x14ac:dyDescent="0.85">
      <c r="B355" s="1036"/>
      <c r="C355" s="482" t="s">
        <v>367</v>
      </c>
      <c r="D355" s="775" t="s">
        <v>374</v>
      </c>
      <c r="E355" s="425" t="s">
        <v>380</v>
      </c>
      <c r="F355" s="843" t="s">
        <v>382</v>
      </c>
    </row>
    <row r="356" spans="2:6" ht="114" hidden="1" x14ac:dyDescent="0.85">
      <c r="B356" s="1036"/>
      <c r="C356" s="482" t="s">
        <v>368</v>
      </c>
      <c r="D356" s="775" t="s">
        <v>375</v>
      </c>
      <c r="E356" s="425" t="s">
        <v>381</v>
      </c>
      <c r="F356" s="843" t="s">
        <v>382</v>
      </c>
    </row>
    <row r="357" spans="2:6" ht="85.5" hidden="1" x14ac:dyDescent="0.85">
      <c r="B357" s="1011" t="s">
        <v>27</v>
      </c>
      <c r="C357" s="482" t="s">
        <v>319</v>
      </c>
      <c r="D357" s="771" t="s">
        <v>282</v>
      </c>
      <c r="E357" s="425" t="s">
        <v>67</v>
      </c>
      <c r="F357" s="843" t="s">
        <v>283</v>
      </c>
    </row>
    <row r="358" spans="2:6" ht="57" hidden="1" x14ac:dyDescent="0.85">
      <c r="B358" s="1011"/>
      <c r="C358" s="482" t="s">
        <v>562</v>
      </c>
      <c r="D358" s="771" t="s">
        <v>423</v>
      </c>
      <c r="E358" s="425" t="s">
        <v>429</v>
      </c>
      <c r="F358" s="843" t="s">
        <v>431</v>
      </c>
    </row>
    <row r="359" spans="2:6" ht="85.5" hidden="1" x14ac:dyDescent="0.85">
      <c r="B359" s="1011"/>
      <c r="C359" s="482" t="s">
        <v>427</v>
      </c>
      <c r="D359" s="771" t="s">
        <v>424</v>
      </c>
      <c r="E359" s="425" t="s">
        <v>430</v>
      </c>
      <c r="F359" s="843" t="s">
        <v>431</v>
      </c>
    </row>
    <row r="360" spans="2:6" ht="370.5" hidden="1" x14ac:dyDescent="0.85">
      <c r="B360" s="1011"/>
      <c r="C360" s="482" t="s">
        <v>420</v>
      </c>
      <c r="D360" s="771" t="s">
        <v>425</v>
      </c>
      <c r="E360" s="425" t="s">
        <v>421</v>
      </c>
      <c r="F360" s="843" t="s">
        <v>292</v>
      </c>
    </row>
    <row r="361" spans="2:6" ht="114" hidden="1" x14ac:dyDescent="0.85">
      <c r="B361" s="1011"/>
      <c r="C361" s="482" t="s">
        <v>422</v>
      </c>
      <c r="D361" s="771" t="s">
        <v>426</v>
      </c>
      <c r="E361" s="425" t="s">
        <v>428</v>
      </c>
      <c r="F361" s="843" t="s">
        <v>432</v>
      </c>
    </row>
    <row r="362" spans="2:6" hidden="1" x14ac:dyDescent="0.85">
      <c r="B362" s="1011"/>
      <c r="C362" s="448" t="s">
        <v>434</v>
      </c>
      <c r="D362" s="782" t="s">
        <v>284</v>
      </c>
      <c r="E362" s="413"/>
      <c r="F362" s="837"/>
    </row>
    <row r="363" spans="2:6" ht="85.5" hidden="1" x14ac:dyDescent="0.85">
      <c r="B363" s="1011" t="s">
        <v>1052</v>
      </c>
      <c r="C363" s="482" t="s">
        <v>294</v>
      </c>
      <c r="D363" s="771" t="s">
        <v>285</v>
      </c>
      <c r="E363" s="425" t="s">
        <v>74</v>
      </c>
      <c r="F363" s="843" t="s">
        <v>293</v>
      </c>
    </row>
    <row r="364" spans="2:6" ht="57" hidden="1" x14ac:dyDescent="0.85">
      <c r="B364" s="1011"/>
      <c r="C364" s="482" t="s">
        <v>523</v>
      </c>
      <c r="D364" s="771" t="s">
        <v>286</v>
      </c>
      <c r="E364" s="425" t="s">
        <v>73</v>
      </c>
      <c r="F364" s="843" t="s">
        <v>293</v>
      </c>
    </row>
    <row r="365" spans="2:6" ht="57" hidden="1" x14ac:dyDescent="0.85">
      <c r="B365" s="1011"/>
      <c r="C365" s="482" t="s">
        <v>320</v>
      </c>
      <c r="D365" s="771" t="s">
        <v>287</v>
      </c>
      <c r="E365" s="425" t="s">
        <v>72</v>
      </c>
      <c r="F365" s="843" t="s">
        <v>293</v>
      </c>
    </row>
    <row r="366" spans="2:6" ht="114" hidden="1" x14ac:dyDescent="0.85">
      <c r="B366" s="1011"/>
      <c r="C366" s="482" t="s">
        <v>295</v>
      </c>
      <c r="D366" s="771" t="s">
        <v>288</v>
      </c>
      <c r="E366" s="425" t="s">
        <v>68</v>
      </c>
      <c r="F366" s="843"/>
    </row>
    <row r="367" spans="2:6" ht="57" hidden="1" x14ac:dyDescent="0.85">
      <c r="B367" s="1011"/>
      <c r="C367" s="482" t="s">
        <v>524</v>
      </c>
      <c r="D367" s="771" t="s">
        <v>289</v>
      </c>
      <c r="E367" s="425" t="s">
        <v>69</v>
      </c>
      <c r="F367" s="843" t="s">
        <v>293</v>
      </c>
    </row>
    <row r="368" spans="2:6" ht="57" hidden="1" x14ac:dyDescent="0.85">
      <c r="B368" s="1011"/>
      <c r="C368" s="482" t="s">
        <v>296</v>
      </c>
      <c r="D368" s="771" t="s">
        <v>290</v>
      </c>
      <c r="E368" s="425" t="s">
        <v>70</v>
      </c>
      <c r="F368" s="843" t="s">
        <v>293</v>
      </c>
    </row>
    <row r="369" spans="2:39" hidden="1" x14ac:dyDescent="0.85">
      <c r="B369" s="1011"/>
      <c r="C369" s="482" t="s">
        <v>297</v>
      </c>
      <c r="D369" s="771" t="s">
        <v>291</v>
      </c>
      <c r="E369" s="425" t="s">
        <v>71</v>
      </c>
      <c r="F369" s="843" t="s">
        <v>293</v>
      </c>
    </row>
    <row r="370" spans="2:39" hidden="1" x14ac:dyDescent="0.85">
      <c r="B370" s="1031" t="s">
        <v>545</v>
      </c>
      <c r="C370" s="1032"/>
      <c r="D370" s="1032"/>
      <c r="E370" s="1032"/>
      <c r="F370" s="1033"/>
      <c r="G370" s="451"/>
      <c r="H370" s="451"/>
      <c r="I370" s="451"/>
      <c r="J370" s="451"/>
      <c r="K370" s="451"/>
      <c r="L370" s="451"/>
      <c r="M370" s="451"/>
      <c r="N370" s="451"/>
      <c r="O370" s="451"/>
      <c r="P370" s="451"/>
      <c r="Q370" s="451"/>
      <c r="R370" s="451"/>
      <c r="S370" s="451"/>
      <c r="T370" s="451"/>
      <c r="U370" s="451"/>
      <c r="V370" s="451"/>
      <c r="W370" s="451"/>
      <c r="X370" s="451"/>
      <c r="Y370" s="451"/>
      <c r="Z370" s="451"/>
      <c r="AA370" s="451"/>
      <c r="AB370" s="451"/>
      <c r="AC370" s="451"/>
      <c r="AD370" s="451"/>
      <c r="AE370" s="451"/>
      <c r="AF370" s="451"/>
      <c r="AG370" s="451"/>
      <c r="AH370" s="829"/>
      <c r="AI370" s="829"/>
      <c r="AJ370" s="829"/>
      <c r="AK370" s="829"/>
      <c r="AL370" s="829"/>
      <c r="AM370" s="829"/>
    </row>
    <row r="371" spans="2:39" ht="57" hidden="1" x14ac:dyDescent="0.85">
      <c r="B371" s="1035" t="s">
        <v>495</v>
      </c>
      <c r="C371" s="482" t="s">
        <v>496</v>
      </c>
      <c r="D371" s="771" t="s">
        <v>499</v>
      </c>
      <c r="E371" s="413" t="s">
        <v>772</v>
      </c>
      <c r="F371" s="837" t="s">
        <v>773</v>
      </c>
      <c r="G371" s="453"/>
      <c r="H371" s="453"/>
      <c r="I371" s="453"/>
      <c r="J371" s="453"/>
      <c r="K371" s="454"/>
      <c r="L371" s="454"/>
      <c r="M371" s="454"/>
      <c r="N371" s="454"/>
      <c r="O371" s="454"/>
      <c r="P371" s="454"/>
      <c r="Q371" s="454"/>
      <c r="R371" s="454"/>
      <c r="S371" s="454"/>
      <c r="T371" s="454"/>
      <c r="U371" s="454"/>
      <c r="V371" s="454"/>
      <c r="W371" s="454"/>
      <c r="X371" s="454"/>
      <c r="Y371" s="454"/>
      <c r="Z371" s="454"/>
      <c r="AA371" s="454"/>
      <c r="AB371" s="454"/>
      <c r="AC371" s="454"/>
      <c r="AD371" s="454"/>
      <c r="AE371" s="454"/>
      <c r="AF371" s="455"/>
      <c r="AG371" s="456"/>
      <c r="AH371" s="829"/>
      <c r="AI371" s="829"/>
      <c r="AJ371" s="829"/>
      <c r="AK371" s="829"/>
      <c r="AL371" s="829"/>
      <c r="AM371" s="829"/>
    </row>
    <row r="372" spans="2:39" ht="57" x14ac:dyDescent="0.85">
      <c r="B372" s="1035"/>
      <c r="C372" s="483" t="s">
        <v>522</v>
      </c>
      <c r="D372" s="771" t="s">
        <v>509</v>
      </c>
      <c r="E372" s="413" t="s">
        <v>774</v>
      </c>
      <c r="F372" s="837" t="s">
        <v>775</v>
      </c>
    </row>
    <row r="373" spans="2:39" ht="114" x14ac:dyDescent="0.85">
      <c r="B373" s="1035"/>
      <c r="C373" s="915" t="s">
        <v>1306</v>
      </c>
      <c r="D373" s="771" t="s">
        <v>943</v>
      </c>
      <c r="E373" s="413" t="s">
        <v>1332</v>
      </c>
      <c r="F373" s="837"/>
    </row>
    <row r="374" spans="2:39" x14ac:dyDescent="0.85">
      <c r="B374" s="1035"/>
      <c r="C374" s="440" t="s">
        <v>497</v>
      </c>
      <c r="D374" s="771" t="s">
        <v>510</v>
      </c>
      <c r="E374" s="413" t="s">
        <v>776</v>
      </c>
      <c r="F374" s="837"/>
    </row>
    <row r="375" spans="2:39" x14ac:dyDescent="0.85">
      <c r="B375" s="1035"/>
      <c r="C375" s="483" t="s">
        <v>519</v>
      </c>
      <c r="D375" s="771" t="s">
        <v>511</v>
      </c>
      <c r="E375" s="483" t="s">
        <v>777</v>
      </c>
      <c r="F375" s="837" t="s">
        <v>775</v>
      </c>
    </row>
    <row r="376" spans="2:39" ht="57" x14ac:dyDescent="0.85">
      <c r="B376" s="1035"/>
      <c r="C376" s="440" t="s">
        <v>498</v>
      </c>
      <c r="D376" s="771" t="s">
        <v>512</v>
      </c>
      <c r="E376" s="413" t="s">
        <v>778</v>
      </c>
      <c r="F376" s="837"/>
    </row>
    <row r="377" spans="2:39" ht="57" x14ac:dyDescent="0.85">
      <c r="B377" s="1035"/>
      <c r="C377" s="483" t="s">
        <v>521</v>
      </c>
      <c r="D377" s="771" t="s">
        <v>513</v>
      </c>
      <c r="E377" s="413" t="s">
        <v>779</v>
      </c>
      <c r="F377" s="837" t="s">
        <v>775</v>
      </c>
    </row>
    <row r="378" spans="2:39" ht="57" x14ac:dyDescent="0.85">
      <c r="B378" s="1035"/>
      <c r="C378" s="440" t="s">
        <v>514</v>
      </c>
      <c r="D378" s="771" t="s">
        <v>515</v>
      </c>
      <c r="E378" s="413" t="s">
        <v>780</v>
      </c>
      <c r="F378" s="837"/>
    </row>
    <row r="379" spans="2:39" ht="57" x14ac:dyDescent="0.85">
      <c r="B379" s="1035"/>
      <c r="C379" s="483" t="s">
        <v>518</v>
      </c>
      <c r="D379" s="771" t="s">
        <v>516</v>
      </c>
      <c r="E379" s="413" t="s">
        <v>781</v>
      </c>
      <c r="F379" s="837" t="s">
        <v>782</v>
      </c>
    </row>
    <row r="380" spans="2:39" ht="57" x14ac:dyDescent="0.85">
      <c r="B380" s="1035"/>
      <c r="C380" s="483" t="s">
        <v>520</v>
      </c>
      <c r="D380" s="771" t="s">
        <v>517</v>
      </c>
      <c r="E380" s="413" t="s">
        <v>783</v>
      </c>
      <c r="F380" s="837" t="s">
        <v>782</v>
      </c>
    </row>
    <row r="381" spans="2:39" ht="57" x14ac:dyDescent="0.85">
      <c r="B381" s="1035"/>
      <c r="C381" s="440" t="s">
        <v>526</v>
      </c>
      <c r="D381" s="771" t="s">
        <v>525</v>
      </c>
      <c r="E381" s="413" t="s">
        <v>784</v>
      </c>
      <c r="F381" s="837"/>
    </row>
    <row r="382" spans="2:39" ht="28.9" thickBot="1" x14ac:dyDescent="0.9">
      <c r="B382" s="859" t="s">
        <v>918</v>
      </c>
      <c r="C382" s="450"/>
      <c r="D382" s="450"/>
      <c r="E382" s="449"/>
      <c r="F382" s="860"/>
    </row>
    <row r="383" spans="2:39" ht="57.4" hidden="1" thickBot="1" x14ac:dyDescent="0.9">
      <c r="B383" s="861" t="s">
        <v>920</v>
      </c>
      <c r="C383" s="483" t="s">
        <v>919</v>
      </c>
      <c r="D383" s="771" t="s">
        <v>917</v>
      </c>
      <c r="E383" s="498" t="s">
        <v>927</v>
      </c>
      <c r="F383" s="848" t="s">
        <v>928</v>
      </c>
    </row>
    <row r="384" spans="2:39" x14ac:dyDescent="0.85">
      <c r="B384" s="1028" t="s">
        <v>109</v>
      </c>
      <c r="C384" s="475" t="s">
        <v>138</v>
      </c>
      <c r="D384" s="719" t="s">
        <v>1055</v>
      </c>
      <c r="E384" s="499"/>
      <c r="F384" s="862"/>
    </row>
    <row r="385" spans="2:6" x14ac:dyDescent="0.85">
      <c r="B385" s="1029"/>
      <c r="C385" s="472" t="s">
        <v>1077</v>
      </c>
      <c r="D385" s="720" t="s">
        <v>1056</v>
      </c>
      <c r="E385" s="499"/>
      <c r="F385" s="862"/>
    </row>
    <row r="386" spans="2:6" x14ac:dyDescent="0.85">
      <c r="B386" s="1029"/>
      <c r="C386" s="472" t="s">
        <v>1058</v>
      </c>
      <c r="D386" s="720" t="s">
        <v>1057</v>
      </c>
      <c r="E386" s="499"/>
      <c r="F386" s="862"/>
    </row>
    <row r="387" spans="2:6" x14ac:dyDescent="0.85">
      <c r="B387" s="1029"/>
      <c r="C387" s="472" t="s">
        <v>1060</v>
      </c>
      <c r="D387" s="720" t="s">
        <v>1059</v>
      </c>
      <c r="E387" s="499"/>
      <c r="F387" s="862"/>
    </row>
    <row r="388" spans="2:6" ht="28.9" thickBot="1" x14ac:dyDescent="0.9">
      <c r="B388" s="1030"/>
      <c r="C388" s="476" t="s">
        <v>1062</v>
      </c>
      <c r="D388" s="721" t="s">
        <v>1061</v>
      </c>
      <c r="E388" s="499"/>
      <c r="F388" s="862"/>
    </row>
    <row r="389" spans="2:6" x14ac:dyDescent="0.85">
      <c r="B389" s="1028" t="s">
        <v>13</v>
      </c>
      <c r="C389" s="475" t="s">
        <v>138</v>
      </c>
      <c r="D389" s="719" t="s">
        <v>1063</v>
      </c>
      <c r="E389" s="499"/>
      <c r="F389" s="862"/>
    </row>
    <row r="390" spans="2:6" x14ac:dyDescent="0.85">
      <c r="B390" s="1029"/>
      <c r="C390" s="472" t="s">
        <v>1077</v>
      </c>
      <c r="D390" s="720" t="s">
        <v>1064</v>
      </c>
      <c r="E390" s="499"/>
      <c r="F390" s="862"/>
    </row>
    <row r="391" spans="2:6" x14ac:dyDescent="0.85">
      <c r="B391" s="1029"/>
      <c r="C391" s="472" t="s">
        <v>1058</v>
      </c>
      <c r="D391" s="720" t="s">
        <v>1065</v>
      </c>
      <c r="E391" s="499"/>
      <c r="F391" s="862"/>
    </row>
    <row r="392" spans="2:6" x14ac:dyDescent="0.85">
      <c r="B392" s="1029"/>
      <c r="C392" s="472" t="s">
        <v>1060</v>
      </c>
      <c r="D392" s="720" t="s">
        <v>1066</v>
      </c>
      <c r="E392" s="499"/>
      <c r="F392" s="862"/>
    </row>
    <row r="393" spans="2:6" ht="28.9" thickBot="1" x14ac:dyDescent="0.9">
      <c r="B393" s="1030"/>
      <c r="C393" s="476" t="s">
        <v>1062</v>
      </c>
      <c r="D393" s="721" t="s">
        <v>1067</v>
      </c>
      <c r="E393" s="499"/>
      <c r="F393" s="862"/>
    </row>
    <row r="394" spans="2:6" x14ac:dyDescent="0.85">
      <c r="B394" s="1028" t="s">
        <v>14</v>
      </c>
      <c r="C394" s="475" t="s">
        <v>138</v>
      </c>
      <c r="D394" s="719" t="s">
        <v>1068</v>
      </c>
      <c r="E394" s="499"/>
      <c r="F394" s="862"/>
    </row>
    <row r="395" spans="2:6" x14ac:dyDescent="0.85">
      <c r="B395" s="1029"/>
      <c r="C395" s="472" t="s">
        <v>1077</v>
      </c>
      <c r="D395" s="720" t="s">
        <v>1069</v>
      </c>
      <c r="E395" s="499"/>
      <c r="F395" s="862"/>
    </row>
    <row r="396" spans="2:6" x14ac:dyDescent="0.85">
      <c r="B396" s="1029"/>
      <c r="C396" s="472" t="s">
        <v>1058</v>
      </c>
      <c r="D396" s="720" t="s">
        <v>1070</v>
      </c>
      <c r="E396" s="499"/>
      <c r="F396" s="862"/>
    </row>
    <row r="397" spans="2:6" x14ac:dyDescent="0.85">
      <c r="B397" s="1029"/>
      <c r="C397" s="472" t="s">
        <v>1060</v>
      </c>
      <c r="D397" s="720" t="s">
        <v>1071</v>
      </c>
      <c r="E397" s="499"/>
      <c r="F397" s="862"/>
    </row>
    <row r="398" spans="2:6" ht="28.9" thickBot="1" x14ac:dyDescent="0.9">
      <c r="B398" s="1030"/>
      <c r="C398" s="476" t="s">
        <v>1062</v>
      </c>
      <c r="D398" s="721" t="s">
        <v>1072</v>
      </c>
      <c r="E398" s="499"/>
      <c r="F398" s="862"/>
    </row>
    <row r="399" spans="2:6" x14ac:dyDescent="0.85">
      <c r="B399" s="1028" t="s">
        <v>15</v>
      </c>
      <c r="C399" s="475" t="s">
        <v>138</v>
      </c>
      <c r="D399" s="719" t="s">
        <v>1073</v>
      </c>
      <c r="E399" s="499"/>
      <c r="F399" s="862"/>
    </row>
    <row r="400" spans="2:6" x14ac:dyDescent="0.85">
      <c r="B400" s="1029"/>
      <c r="C400" s="472" t="s">
        <v>1077</v>
      </c>
      <c r="D400" s="720" t="s">
        <v>1074</v>
      </c>
      <c r="E400" s="499"/>
      <c r="F400" s="862"/>
    </row>
    <row r="401" spans="2:6" x14ac:dyDescent="0.85">
      <c r="B401" s="1029"/>
      <c r="C401" s="472" t="s">
        <v>1058</v>
      </c>
      <c r="D401" s="720" t="s">
        <v>1075</v>
      </c>
      <c r="E401" s="499"/>
      <c r="F401" s="862"/>
    </row>
    <row r="402" spans="2:6" x14ac:dyDescent="0.85">
      <c r="B402" s="1029"/>
      <c r="C402" s="472" t="s">
        <v>1060</v>
      </c>
      <c r="D402" s="720" t="s">
        <v>1076</v>
      </c>
      <c r="E402" s="499"/>
      <c r="F402" s="862"/>
    </row>
    <row r="403" spans="2:6" ht="28.9" thickBot="1" x14ac:dyDescent="0.9">
      <c r="B403" s="1030"/>
      <c r="C403" s="476" t="s">
        <v>1062</v>
      </c>
      <c r="D403" s="721" t="s">
        <v>1082</v>
      </c>
      <c r="E403" s="499"/>
      <c r="F403" s="862"/>
    </row>
    <row r="404" spans="2:6" x14ac:dyDescent="0.85">
      <c r="B404" s="1028" t="s">
        <v>1078</v>
      </c>
      <c r="C404" s="475" t="s">
        <v>138</v>
      </c>
      <c r="D404" s="719" t="s">
        <v>1083</v>
      </c>
      <c r="E404" s="499"/>
      <c r="F404" s="862"/>
    </row>
    <row r="405" spans="2:6" x14ac:dyDescent="0.85">
      <c r="B405" s="1029"/>
      <c r="C405" s="472" t="s">
        <v>1077</v>
      </c>
      <c r="D405" s="720" t="s">
        <v>1084</v>
      </c>
      <c r="E405" s="499"/>
      <c r="F405" s="862"/>
    </row>
    <row r="406" spans="2:6" x14ac:dyDescent="0.85">
      <c r="B406" s="1029"/>
      <c r="C406" s="472" t="s">
        <v>1058</v>
      </c>
      <c r="D406" s="720" t="s">
        <v>1085</v>
      </c>
      <c r="E406" s="499"/>
      <c r="F406" s="862"/>
    </row>
    <row r="407" spans="2:6" x14ac:dyDescent="0.85">
      <c r="B407" s="1029"/>
      <c r="C407" s="472" t="s">
        <v>1060</v>
      </c>
      <c r="D407" s="720" t="s">
        <v>1086</v>
      </c>
      <c r="E407" s="499"/>
      <c r="F407" s="862"/>
    </row>
    <row r="408" spans="2:6" ht="28.9" thickBot="1" x14ac:dyDescent="0.9">
      <c r="B408" s="1030"/>
      <c r="C408" s="476" t="s">
        <v>1062</v>
      </c>
      <c r="D408" s="721" t="s">
        <v>1087</v>
      </c>
      <c r="E408" s="499"/>
      <c r="F408" s="862"/>
    </row>
    <row r="409" spans="2:6" x14ac:dyDescent="0.85">
      <c r="B409" s="1028" t="s">
        <v>16</v>
      </c>
      <c r="C409" s="475" t="s">
        <v>138</v>
      </c>
      <c r="D409" s="719" t="s">
        <v>1088</v>
      </c>
      <c r="E409" s="499"/>
      <c r="F409" s="862"/>
    </row>
    <row r="410" spans="2:6" x14ac:dyDescent="0.85">
      <c r="B410" s="1029"/>
      <c r="C410" s="472" t="s">
        <v>1077</v>
      </c>
      <c r="D410" s="720" t="s">
        <v>1089</v>
      </c>
      <c r="E410" s="499"/>
      <c r="F410" s="862"/>
    </row>
    <row r="411" spans="2:6" x14ac:dyDescent="0.85">
      <c r="B411" s="1029"/>
      <c r="C411" s="472" t="s">
        <v>1058</v>
      </c>
      <c r="D411" s="720" t="s">
        <v>1090</v>
      </c>
      <c r="E411" s="499"/>
      <c r="F411" s="862"/>
    </row>
    <row r="412" spans="2:6" x14ac:dyDescent="0.85">
      <c r="B412" s="1029"/>
      <c r="C412" s="472" t="s">
        <v>1060</v>
      </c>
      <c r="D412" s="720" t="s">
        <v>1091</v>
      </c>
      <c r="E412" s="499"/>
      <c r="F412" s="862"/>
    </row>
    <row r="413" spans="2:6" ht="28.9" thickBot="1" x14ac:dyDescent="0.9">
      <c r="B413" s="1030"/>
      <c r="C413" s="476" t="s">
        <v>1062</v>
      </c>
      <c r="D413" s="721" t="s">
        <v>1092</v>
      </c>
      <c r="E413" s="499"/>
      <c r="F413" s="862"/>
    </row>
    <row r="414" spans="2:6" x14ac:dyDescent="0.85">
      <c r="B414" s="1028" t="s">
        <v>1079</v>
      </c>
      <c r="C414" s="475" t="s">
        <v>138</v>
      </c>
      <c r="D414" s="719" t="s">
        <v>1093</v>
      </c>
      <c r="E414" s="499"/>
      <c r="F414" s="862"/>
    </row>
    <row r="415" spans="2:6" x14ac:dyDescent="0.85">
      <c r="B415" s="1029"/>
      <c r="C415" s="472" t="s">
        <v>1077</v>
      </c>
      <c r="D415" s="720" t="s">
        <v>1094</v>
      </c>
      <c r="E415" s="499"/>
      <c r="F415" s="862"/>
    </row>
    <row r="416" spans="2:6" x14ac:dyDescent="0.85">
      <c r="B416" s="1029"/>
      <c r="C416" s="472" t="s">
        <v>1058</v>
      </c>
      <c r="D416" s="720" t="s">
        <v>1095</v>
      </c>
      <c r="E416" s="499"/>
      <c r="F416" s="862"/>
    </row>
    <row r="417" spans="2:6" x14ac:dyDescent="0.85">
      <c r="B417" s="1029"/>
      <c r="C417" s="472" t="s">
        <v>1060</v>
      </c>
      <c r="D417" s="720" t="s">
        <v>1096</v>
      </c>
      <c r="E417" s="499"/>
      <c r="F417" s="862"/>
    </row>
    <row r="418" spans="2:6" ht="28.9" thickBot="1" x14ac:dyDescent="0.9">
      <c r="B418" s="1030"/>
      <c r="C418" s="476" t="s">
        <v>1062</v>
      </c>
      <c r="D418" s="721" t="s">
        <v>1097</v>
      </c>
      <c r="E418" s="499"/>
      <c r="F418" s="862"/>
    </row>
    <row r="419" spans="2:6" x14ac:dyDescent="0.85">
      <c r="B419" s="1028" t="s">
        <v>22</v>
      </c>
      <c r="C419" s="475" t="s">
        <v>138</v>
      </c>
      <c r="D419" s="719" t="s">
        <v>1098</v>
      </c>
      <c r="E419" s="499"/>
      <c r="F419" s="862"/>
    </row>
    <row r="420" spans="2:6" x14ac:dyDescent="0.85">
      <c r="B420" s="1029"/>
      <c r="C420" s="472" t="s">
        <v>1077</v>
      </c>
      <c r="D420" s="720" t="s">
        <v>1099</v>
      </c>
      <c r="E420" s="499"/>
      <c r="F420" s="862"/>
    </row>
    <row r="421" spans="2:6" x14ac:dyDescent="0.85">
      <c r="B421" s="1029"/>
      <c r="C421" s="472" t="s">
        <v>1058</v>
      </c>
      <c r="D421" s="720" t="s">
        <v>1100</v>
      </c>
      <c r="E421" s="499"/>
      <c r="F421" s="862"/>
    </row>
    <row r="422" spans="2:6" x14ac:dyDescent="0.85">
      <c r="B422" s="1029"/>
      <c r="C422" s="472" t="s">
        <v>1060</v>
      </c>
      <c r="D422" s="720" t="s">
        <v>1101</v>
      </c>
      <c r="E422" s="499"/>
      <c r="F422" s="862"/>
    </row>
    <row r="423" spans="2:6" ht="28.9" thickBot="1" x14ac:dyDescent="0.9">
      <c r="B423" s="1030"/>
      <c r="C423" s="476" t="s">
        <v>1062</v>
      </c>
      <c r="D423" s="721" t="s">
        <v>1102</v>
      </c>
      <c r="E423" s="499"/>
      <c r="F423" s="862"/>
    </row>
    <row r="424" spans="2:6" x14ac:dyDescent="0.85">
      <c r="B424" s="1028" t="s">
        <v>18</v>
      </c>
      <c r="C424" s="475" t="s">
        <v>138</v>
      </c>
      <c r="D424" s="719" t="s">
        <v>1103</v>
      </c>
      <c r="E424" s="499"/>
      <c r="F424" s="862"/>
    </row>
    <row r="425" spans="2:6" x14ac:dyDescent="0.85">
      <c r="B425" s="1029"/>
      <c r="C425" s="472" t="s">
        <v>1077</v>
      </c>
      <c r="D425" s="720" t="s">
        <v>1104</v>
      </c>
      <c r="E425" s="499"/>
      <c r="F425" s="862"/>
    </row>
    <row r="426" spans="2:6" x14ac:dyDescent="0.85">
      <c r="B426" s="1029"/>
      <c r="C426" s="472" t="s">
        <v>1058</v>
      </c>
      <c r="D426" s="720" t="s">
        <v>1105</v>
      </c>
      <c r="E426" s="499"/>
      <c r="F426" s="862"/>
    </row>
    <row r="427" spans="2:6" x14ac:dyDescent="0.85">
      <c r="B427" s="1029"/>
      <c r="C427" s="472" t="s">
        <v>1060</v>
      </c>
      <c r="D427" s="720" t="s">
        <v>1106</v>
      </c>
      <c r="E427" s="499"/>
      <c r="F427" s="862"/>
    </row>
    <row r="428" spans="2:6" ht="28.9" thickBot="1" x14ac:dyDescent="0.9">
      <c r="B428" s="1030"/>
      <c r="C428" s="476" t="s">
        <v>1062</v>
      </c>
      <c r="D428" s="721" t="s">
        <v>1107</v>
      </c>
      <c r="E428" s="499"/>
      <c r="F428" s="862"/>
    </row>
    <row r="429" spans="2:6" x14ac:dyDescent="0.85">
      <c r="B429" s="1028" t="s">
        <v>1000</v>
      </c>
      <c r="C429" s="475" t="s">
        <v>138</v>
      </c>
      <c r="D429" s="719" t="s">
        <v>1108</v>
      </c>
      <c r="E429" s="499"/>
      <c r="F429" s="862"/>
    </row>
    <row r="430" spans="2:6" x14ac:dyDescent="0.85">
      <c r="B430" s="1029"/>
      <c r="C430" s="472" t="s">
        <v>1077</v>
      </c>
      <c r="D430" s="720" t="s">
        <v>1109</v>
      </c>
      <c r="E430" s="499"/>
      <c r="F430" s="862"/>
    </row>
    <row r="431" spans="2:6" x14ac:dyDescent="0.85">
      <c r="B431" s="1029"/>
      <c r="C431" s="472" t="s">
        <v>1058</v>
      </c>
      <c r="D431" s="720" t="s">
        <v>1110</v>
      </c>
      <c r="E431" s="499"/>
      <c r="F431" s="862"/>
    </row>
    <row r="432" spans="2:6" x14ac:dyDescent="0.85">
      <c r="B432" s="1029"/>
      <c r="C432" s="472" t="s">
        <v>1060</v>
      </c>
      <c r="D432" s="720" t="s">
        <v>1111</v>
      </c>
      <c r="E432" s="499"/>
      <c r="F432" s="862"/>
    </row>
    <row r="433" spans="2:6" ht="28.9" thickBot="1" x14ac:dyDescent="0.9">
      <c r="B433" s="1030"/>
      <c r="C433" s="476" t="s">
        <v>1062</v>
      </c>
      <c r="D433" s="721" t="s">
        <v>1112</v>
      </c>
      <c r="E433" s="499"/>
      <c r="F433" s="862"/>
    </row>
    <row r="434" spans="2:6" x14ac:dyDescent="0.85">
      <c r="B434" s="1028" t="s">
        <v>1080</v>
      </c>
      <c r="C434" s="475" t="s">
        <v>138</v>
      </c>
      <c r="D434" s="719" t="s">
        <v>1113</v>
      </c>
      <c r="E434" s="499"/>
      <c r="F434" s="862"/>
    </row>
    <row r="435" spans="2:6" x14ac:dyDescent="0.85">
      <c r="B435" s="1029"/>
      <c r="C435" s="472" t="s">
        <v>1077</v>
      </c>
      <c r="D435" s="720" t="s">
        <v>1114</v>
      </c>
      <c r="E435" s="499"/>
      <c r="F435" s="862"/>
    </row>
    <row r="436" spans="2:6" x14ac:dyDescent="0.85">
      <c r="B436" s="1029"/>
      <c r="C436" s="472" t="s">
        <v>1058</v>
      </c>
      <c r="D436" s="720" t="s">
        <v>1115</v>
      </c>
      <c r="E436" s="499"/>
      <c r="F436" s="862"/>
    </row>
    <row r="437" spans="2:6" x14ac:dyDescent="0.85">
      <c r="B437" s="1029"/>
      <c r="C437" s="472" t="s">
        <v>1060</v>
      </c>
      <c r="D437" s="720" t="s">
        <v>1116</v>
      </c>
      <c r="E437" s="499"/>
      <c r="F437" s="862"/>
    </row>
    <row r="438" spans="2:6" ht="28.9" thickBot="1" x14ac:dyDescent="0.9">
      <c r="B438" s="1030"/>
      <c r="C438" s="476" t="s">
        <v>1062</v>
      </c>
      <c r="D438" s="721" t="s">
        <v>1117</v>
      </c>
      <c r="E438" s="499"/>
      <c r="F438" s="862"/>
    </row>
    <row r="439" spans="2:6" x14ac:dyDescent="0.85">
      <c r="B439" s="1028" t="s">
        <v>1081</v>
      </c>
      <c r="C439" s="475" t="s">
        <v>138</v>
      </c>
      <c r="D439" s="719" t="s">
        <v>1118</v>
      </c>
      <c r="E439" s="499"/>
      <c r="F439" s="862"/>
    </row>
    <row r="440" spans="2:6" x14ac:dyDescent="0.85">
      <c r="B440" s="1029"/>
      <c r="C440" s="472" t="s">
        <v>1077</v>
      </c>
      <c r="D440" s="720" t="s">
        <v>1119</v>
      </c>
      <c r="E440" s="499"/>
      <c r="F440" s="862"/>
    </row>
    <row r="441" spans="2:6" x14ac:dyDescent="0.85">
      <c r="B441" s="1029"/>
      <c r="C441" s="472" t="s">
        <v>1058</v>
      </c>
      <c r="D441" s="720" t="s">
        <v>1120</v>
      </c>
      <c r="E441" s="499"/>
      <c r="F441" s="862"/>
    </row>
    <row r="442" spans="2:6" x14ac:dyDescent="0.85">
      <c r="B442" s="1029"/>
      <c r="C442" s="472" t="s">
        <v>1060</v>
      </c>
      <c r="D442" s="720" t="s">
        <v>1121</v>
      </c>
      <c r="E442" s="499"/>
      <c r="F442" s="862"/>
    </row>
    <row r="443" spans="2:6" ht="28.9" thickBot="1" x14ac:dyDescent="0.9">
      <c r="B443" s="1030"/>
      <c r="C443" s="476" t="s">
        <v>1062</v>
      </c>
      <c r="D443" s="721" t="s">
        <v>1122</v>
      </c>
      <c r="E443" s="499"/>
      <c r="F443" s="862"/>
    </row>
    <row r="444" spans="2:6" x14ac:dyDescent="0.85">
      <c r="B444" s="1028" t="s">
        <v>1128</v>
      </c>
      <c r="C444" s="475" t="s">
        <v>138</v>
      </c>
      <c r="D444" s="719" t="s">
        <v>1123</v>
      </c>
      <c r="E444" s="499"/>
      <c r="F444" s="862"/>
    </row>
    <row r="445" spans="2:6" x14ac:dyDescent="0.85">
      <c r="B445" s="1029"/>
      <c r="C445" s="472" t="s">
        <v>1077</v>
      </c>
      <c r="D445" s="720" t="s">
        <v>1124</v>
      </c>
      <c r="E445" s="499"/>
      <c r="F445" s="862"/>
    </row>
    <row r="446" spans="2:6" x14ac:dyDescent="0.85">
      <c r="B446" s="1029"/>
      <c r="C446" s="472" t="s">
        <v>1058</v>
      </c>
      <c r="D446" s="720" t="s">
        <v>1125</v>
      </c>
      <c r="E446" s="499"/>
      <c r="F446" s="862"/>
    </row>
    <row r="447" spans="2:6" x14ac:dyDescent="0.85">
      <c r="B447" s="1029"/>
      <c r="C447" s="472" t="s">
        <v>1060</v>
      </c>
      <c r="D447" s="720" t="s">
        <v>1126</v>
      </c>
      <c r="E447" s="499"/>
      <c r="F447" s="862"/>
    </row>
    <row r="448" spans="2:6" ht="28.9" thickBot="1" x14ac:dyDescent="0.9">
      <c r="B448" s="1030"/>
      <c r="C448" s="476" t="s">
        <v>1062</v>
      </c>
      <c r="D448" s="721" t="s">
        <v>1127</v>
      </c>
      <c r="E448" s="863"/>
      <c r="F448" s="864"/>
    </row>
  </sheetData>
  <autoFilter ref="B2:F381"/>
  <mergeCells count="122">
    <mergeCell ref="G147:N147"/>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 ref="B120:B121"/>
    <mergeCell ref="B122:B123"/>
    <mergeCell ref="B124:B126"/>
    <mergeCell ref="B1:E1"/>
    <mergeCell ref="B204:B212"/>
    <mergeCell ref="B213:B221"/>
    <mergeCell ref="B222:B230"/>
    <mergeCell ref="B195:B203"/>
    <mergeCell ref="B194:F194"/>
    <mergeCell ref="B143:F143"/>
    <mergeCell ref="B146:B147"/>
    <mergeCell ref="B148:B149"/>
    <mergeCell ref="B150:B151"/>
    <mergeCell ref="B152:B153"/>
    <mergeCell ref="B154:B155"/>
    <mergeCell ref="B156:B157"/>
    <mergeCell ref="B172:F172"/>
    <mergeCell ref="B173:B179"/>
    <mergeCell ref="B180:B186"/>
    <mergeCell ref="B187:B193"/>
    <mergeCell ref="B133:B134"/>
    <mergeCell ref="B40:B41"/>
    <mergeCell ref="B42:B43"/>
    <mergeCell ref="B4:F4"/>
    <mergeCell ref="B5:B7"/>
    <mergeCell ref="B14:F14"/>
    <mergeCell ref="B15:B25"/>
    <mergeCell ref="B81:B84"/>
    <mergeCell ref="B57:B60"/>
    <mergeCell ref="B61:B64"/>
    <mergeCell ref="B26:B27"/>
    <mergeCell ref="B28:B29"/>
    <mergeCell ref="B30:B31"/>
    <mergeCell ref="B32:B33"/>
    <mergeCell ref="B34:B35"/>
    <mergeCell ref="B36:B37"/>
    <mergeCell ref="B8:B10"/>
    <mergeCell ref="B11:B13"/>
    <mergeCell ref="B56:F56"/>
    <mergeCell ref="B371:B381"/>
    <mergeCell ref="B246:F246"/>
    <mergeCell ref="B247:B252"/>
    <mergeCell ref="B253:B256"/>
    <mergeCell ref="B342:B349"/>
    <mergeCell ref="B350:F350"/>
    <mergeCell ref="B351:B356"/>
    <mergeCell ref="B357:B362"/>
    <mergeCell ref="B363:B369"/>
    <mergeCell ref="B261:B268"/>
    <mergeCell ref="B288:B291"/>
    <mergeCell ref="B274:B276"/>
    <mergeCell ref="B277:B279"/>
    <mergeCell ref="B434:B438"/>
    <mergeCell ref="B439:B443"/>
    <mergeCell ref="B444:B448"/>
    <mergeCell ref="B317:B324"/>
    <mergeCell ref="B280:F280"/>
    <mergeCell ref="B281:B283"/>
    <mergeCell ref="B284:B285"/>
    <mergeCell ref="B286:B287"/>
    <mergeCell ref="B293:B295"/>
    <mergeCell ref="B296:F296"/>
    <mergeCell ref="B298:B303"/>
    <mergeCell ref="B309:B310"/>
    <mergeCell ref="B311:B316"/>
    <mergeCell ref="B409:B413"/>
    <mergeCell ref="B414:B418"/>
    <mergeCell ref="B419:B423"/>
    <mergeCell ref="B424:B428"/>
    <mergeCell ref="B429:B433"/>
    <mergeCell ref="B384:B388"/>
    <mergeCell ref="B389:B393"/>
    <mergeCell ref="B394:B398"/>
    <mergeCell ref="B399:B403"/>
    <mergeCell ref="B404:B408"/>
    <mergeCell ref="B370:F370"/>
    <mergeCell ref="B129:B130"/>
    <mergeCell ref="B131:B132"/>
    <mergeCell ref="B231:B232"/>
    <mergeCell ref="B139:B141"/>
    <mergeCell ref="B305:B308"/>
    <mergeCell ref="B340:B341"/>
    <mergeCell ref="B337:B339"/>
    <mergeCell ref="B325:B336"/>
    <mergeCell ref="B160:B161"/>
    <mergeCell ref="B162:B163"/>
    <mergeCell ref="B164:B165"/>
    <mergeCell ref="B166:B167"/>
    <mergeCell ref="B168:B169"/>
    <mergeCell ref="B170:B171"/>
    <mergeCell ref="B257:B260"/>
    <mergeCell ref="B269:B270"/>
    <mergeCell ref="B271:B273"/>
    <mergeCell ref="B144:F144"/>
    <mergeCell ref="B158:F158"/>
    <mergeCell ref="B233:B234"/>
    <mergeCell ref="B235:B241"/>
    <mergeCell ref="B242:B245"/>
  </mergeCells>
  <phoneticPr fontId="3" type="noConversion"/>
  <conditionalFormatting sqref="C279">
    <cfRule type="cellIs" dxfId="1975" priority="149" operator="equal">
      <formula>0</formula>
    </cfRule>
  </conditionalFormatting>
  <conditionalFormatting sqref="F195">
    <cfRule type="cellIs" dxfId="1974" priority="156" operator="equal">
      <formula>0</formula>
    </cfRule>
  </conditionalFormatting>
  <conditionalFormatting sqref="D195:D230">
    <cfRule type="duplicateValues" dxfId="1973" priority="151"/>
  </conditionalFormatting>
  <conditionalFormatting sqref="D195:D230">
    <cfRule type="duplicateValues" dxfId="1972" priority="152"/>
  </conditionalFormatting>
  <conditionalFormatting sqref="D195:D230">
    <cfRule type="duplicateValues" dxfId="1971" priority="150"/>
  </conditionalFormatting>
  <conditionalFormatting sqref="K371:AA371">
    <cfRule type="expression" dxfId="1970" priority="146">
      <formula>K371&gt;K369</formula>
    </cfRule>
  </conditionalFormatting>
  <conditionalFormatting sqref="AF371">
    <cfRule type="notContainsBlanks" dxfId="1969" priority="148">
      <formula>LEN(TRIM(AF371))&gt;0</formula>
    </cfRule>
  </conditionalFormatting>
  <conditionalFormatting sqref="K371:AA371">
    <cfRule type="expression" dxfId="1968" priority="144">
      <formula>K369&gt;K371</formula>
    </cfRule>
  </conditionalFormatting>
  <conditionalFormatting sqref="AB371:AE371">
    <cfRule type="expression" dxfId="1967" priority="143">
      <formula>AB371&gt;AB369</formula>
    </cfRule>
  </conditionalFormatting>
  <conditionalFormatting sqref="AB371:AE371">
    <cfRule type="expression" dxfId="1966" priority="142">
      <formula>AB369&gt;AB371</formula>
    </cfRule>
  </conditionalFormatting>
  <conditionalFormatting sqref="D45:D46">
    <cfRule type="duplicateValues" dxfId="1965" priority="141"/>
  </conditionalFormatting>
  <conditionalFormatting sqref="D45:D46">
    <cfRule type="duplicateValues" dxfId="1964" priority="140"/>
  </conditionalFormatting>
  <conditionalFormatting sqref="D45:D46">
    <cfRule type="duplicateValues" dxfId="1963" priority="139"/>
  </conditionalFormatting>
  <conditionalFormatting sqref="D45:D46">
    <cfRule type="duplicateValues" dxfId="1962" priority="138"/>
  </conditionalFormatting>
  <conditionalFormatting sqref="D128">
    <cfRule type="duplicateValues" dxfId="1961" priority="116"/>
  </conditionalFormatting>
  <conditionalFormatting sqref="D24">
    <cfRule type="duplicateValues" dxfId="1960" priority="112"/>
  </conditionalFormatting>
  <conditionalFormatting sqref="D24">
    <cfRule type="duplicateValues" dxfId="1959" priority="111"/>
  </conditionalFormatting>
  <conditionalFormatting sqref="D24">
    <cfRule type="duplicateValues" dxfId="1958" priority="110"/>
  </conditionalFormatting>
  <conditionalFormatting sqref="D24">
    <cfRule type="duplicateValues" dxfId="1957" priority="109"/>
  </conditionalFormatting>
  <conditionalFormatting sqref="D24">
    <cfRule type="duplicateValues" dxfId="1956" priority="108"/>
  </conditionalFormatting>
  <conditionalFormatting sqref="D24">
    <cfRule type="duplicateValues" dxfId="1955" priority="105"/>
    <cfRule type="duplicateValues" dxfId="1954" priority="107"/>
  </conditionalFormatting>
  <conditionalFormatting sqref="D24">
    <cfRule type="duplicateValues" dxfId="1953" priority="106"/>
  </conditionalFormatting>
  <conditionalFormatting sqref="D47:D48">
    <cfRule type="duplicateValues" dxfId="1952" priority="104"/>
  </conditionalFormatting>
  <conditionalFormatting sqref="D47:D48">
    <cfRule type="duplicateValues" dxfId="1951" priority="103"/>
  </conditionalFormatting>
  <conditionalFormatting sqref="D49:D50">
    <cfRule type="duplicateValues" dxfId="1950" priority="101"/>
  </conditionalFormatting>
  <conditionalFormatting sqref="D47:D50">
    <cfRule type="duplicateValues" dxfId="1949" priority="99"/>
  </conditionalFormatting>
  <conditionalFormatting sqref="D47:D50">
    <cfRule type="duplicateValues" dxfId="1948" priority="98"/>
  </conditionalFormatting>
  <conditionalFormatting sqref="D47:D50">
    <cfRule type="duplicateValues" dxfId="1947" priority="96"/>
  </conditionalFormatting>
  <conditionalFormatting sqref="D52:D53">
    <cfRule type="duplicateValues" dxfId="1946" priority="94"/>
  </conditionalFormatting>
  <conditionalFormatting sqref="D52:D53">
    <cfRule type="duplicateValues" dxfId="1945" priority="93"/>
  </conditionalFormatting>
  <conditionalFormatting sqref="D52:D53">
    <cfRule type="duplicateValues" dxfId="1944" priority="92"/>
  </conditionalFormatting>
  <conditionalFormatting sqref="D52:D53">
    <cfRule type="duplicateValues" dxfId="1943" priority="91"/>
  </conditionalFormatting>
  <conditionalFormatting sqref="D52:D53">
    <cfRule type="duplicateValues" dxfId="1942" priority="90"/>
  </conditionalFormatting>
  <conditionalFormatting sqref="D52:D53">
    <cfRule type="duplicateValues" dxfId="1941" priority="87"/>
    <cfRule type="duplicateValues" dxfId="1940" priority="89"/>
  </conditionalFormatting>
  <conditionalFormatting sqref="D52:D53">
    <cfRule type="duplicateValues" dxfId="1939" priority="88"/>
  </conditionalFormatting>
  <conditionalFormatting sqref="D54:D55">
    <cfRule type="duplicateValues" dxfId="1938" priority="86"/>
  </conditionalFormatting>
  <conditionalFormatting sqref="D54:D55">
    <cfRule type="duplicateValues" dxfId="1937" priority="85"/>
  </conditionalFormatting>
  <conditionalFormatting sqref="D54:D55">
    <cfRule type="duplicateValues" dxfId="1936" priority="84"/>
  </conditionalFormatting>
  <conditionalFormatting sqref="D54:D55">
    <cfRule type="duplicateValues" dxfId="1935" priority="83"/>
  </conditionalFormatting>
  <conditionalFormatting sqref="D54:D55">
    <cfRule type="duplicateValues" dxfId="1934" priority="82"/>
  </conditionalFormatting>
  <conditionalFormatting sqref="D54:D55">
    <cfRule type="duplicateValues" dxfId="1933" priority="79"/>
    <cfRule type="duplicateValues" dxfId="1932" priority="81"/>
  </conditionalFormatting>
  <conditionalFormatting sqref="D54:D55">
    <cfRule type="duplicateValues" dxfId="1931" priority="80"/>
  </conditionalFormatting>
  <conditionalFormatting sqref="D106:D107">
    <cfRule type="duplicateValues" dxfId="1930" priority="78"/>
  </conditionalFormatting>
  <conditionalFormatting sqref="D106:D107">
    <cfRule type="duplicateValues" dxfId="1929" priority="77"/>
  </conditionalFormatting>
  <conditionalFormatting sqref="D106:D107">
    <cfRule type="duplicateValues" dxfId="1928" priority="76"/>
  </conditionalFormatting>
  <conditionalFormatting sqref="D106:D107">
    <cfRule type="duplicateValues" dxfId="1927" priority="75"/>
  </conditionalFormatting>
  <conditionalFormatting sqref="D106:D107">
    <cfRule type="duplicateValues" dxfId="1926" priority="74"/>
  </conditionalFormatting>
  <conditionalFormatting sqref="D106:D107">
    <cfRule type="duplicateValues" dxfId="1925" priority="71"/>
    <cfRule type="duplicateValues" dxfId="1924" priority="73"/>
  </conditionalFormatting>
  <conditionalFormatting sqref="D106:D107">
    <cfRule type="duplicateValues" dxfId="1923" priority="72"/>
  </conditionalFormatting>
  <conditionalFormatting sqref="D44">
    <cfRule type="duplicateValues" dxfId="1922" priority="70"/>
  </conditionalFormatting>
  <conditionalFormatting sqref="D44">
    <cfRule type="duplicateValues" dxfId="1921" priority="69"/>
  </conditionalFormatting>
  <conditionalFormatting sqref="D44">
    <cfRule type="duplicateValues" dxfId="1920" priority="68"/>
  </conditionalFormatting>
  <conditionalFormatting sqref="D44">
    <cfRule type="duplicateValues" dxfId="1919" priority="67"/>
  </conditionalFormatting>
  <conditionalFormatting sqref="D44">
    <cfRule type="duplicateValues" dxfId="1918" priority="66"/>
  </conditionalFormatting>
  <conditionalFormatting sqref="D44">
    <cfRule type="duplicateValues" dxfId="1917" priority="63"/>
    <cfRule type="duplicateValues" dxfId="1916" priority="65"/>
  </conditionalFormatting>
  <conditionalFormatting sqref="D44">
    <cfRule type="duplicateValues" dxfId="1915" priority="64"/>
  </conditionalFormatting>
  <conditionalFormatting sqref="D49:D50">
    <cfRule type="duplicateValues" dxfId="1914" priority="3272"/>
  </conditionalFormatting>
  <conditionalFormatting sqref="D47:D50">
    <cfRule type="duplicateValues" dxfId="1913" priority="3273"/>
  </conditionalFormatting>
  <conditionalFormatting sqref="D47:D50">
    <cfRule type="duplicateValues" dxfId="1912" priority="3274"/>
    <cfRule type="duplicateValues" dxfId="1911" priority="3275"/>
  </conditionalFormatting>
  <conditionalFormatting sqref="D135:D136">
    <cfRule type="duplicateValues" dxfId="1910" priority="62"/>
  </conditionalFormatting>
  <conditionalFormatting sqref="D135:D136">
    <cfRule type="duplicateValues" dxfId="1909" priority="61"/>
  </conditionalFormatting>
  <conditionalFormatting sqref="D135:D136">
    <cfRule type="duplicateValues" dxfId="1908" priority="60"/>
  </conditionalFormatting>
  <conditionalFormatting sqref="D135:D136">
    <cfRule type="duplicateValues" dxfId="1907" priority="59"/>
  </conditionalFormatting>
  <conditionalFormatting sqref="D135:D136">
    <cfRule type="duplicateValues" dxfId="1906" priority="58"/>
  </conditionalFormatting>
  <conditionalFormatting sqref="D135:D136">
    <cfRule type="duplicateValues" dxfId="1905" priority="55"/>
    <cfRule type="duplicateValues" dxfId="1904" priority="57"/>
  </conditionalFormatting>
  <conditionalFormatting sqref="D135:D136">
    <cfRule type="duplicateValues" dxfId="1903" priority="56"/>
  </conditionalFormatting>
  <conditionalFormatting sqref="D267:D268">
    <cfRule type="duplicateValues" dxfId="1902" priority="46"/>
  </conditionalFormatting>
  <conditionalFormatting sqref="D267:D268">
    <cfRule type="duplicateValues" dxfId="1901" priority="45"/>
  </conditionalFormatting>
  <conditionalFormatting sqref="D267:D268">
    <cfRule type="duplicateValues" dxfId="1900" priority="44"/>
  </conditionalFormatting>
  <conditionalFormatting sqref="D267:D268">
    <cfRule type="duplicateValues" dxfId="1899" priority="43"/>
  </conditionalFormatting>
  <conditionalFormatting sqref="D267:D268">
    <cfRule type="duplicateValues" dxfId="1898" priority="42"/>
  </conditionalFormatting>
  <conditionalFormatting sqref="D267:D268">
    <cfRule type="duplicateValues" dxfId="1897" priority="39"/>
    <cfRule type="duplicateValues" dxfId="1896" priority="41"/>
  </conditionalFormatting>
  <conditionalFormatting sqref="D267:D268">
    <cfRule type="duplicateValues" dxfId="1895" priority="40"/>
  </conditionalFormatting>
  <conditionalFormatting sqref="D290:D291">
    <cfRule type="duplicateValues" dxfId="1894" priority="38"/>
  </conditionalFormatting>
  <conditionalFormatting sqref="D290:D291">
    <cfRule type="duplicateValues" dxfId="1893" priority="37"/>
  </conditionalFormatting>
  <conditionalFormatting sqref="D290:D291">
    <cfRule type="duplicateValues" dxfId="1892" priority="36"/>
  </conditionalFormatting>
  <conditionalFormatting sqref="D290:D291">
    <cfRule type="duplicateValues" dxfId="1891" priority="35"/>
  </conditionalFormatting>
  <conditionalFormatting sqref="D290:D291">
    <cfRule type="duplicateValues" dxfId="1890" priority="34"/>
  </conditionalFormatting>
  <conditionalFormatting sqref="D290:D291">
    <cfRule type="duplicateValues" dxfId="1889" priority="25"/>
    <cfRule type="duplicateValues" dxfId="1888" priority="33"/>
  </conditionalFormatting>
  <conditionalFormatting sqref="D291">
    <cfRule type="duplicateValues" dxfId="1887" priority="32"/>
  </conditionalFormatting>
  <conditionalFormatting sqref="D291">
    <cfRule type="duplicateValues" dxfId="1886" priority="31"/>
  </conditionalFormatting>
  <conditionalFormatting sqref="D291">
    <cfRule type="duplicateValues" dxfId="1885" priority="30"/>
  </conditionalFormatting>
  <conditionalFormatting sqref="D291">
    <cfRule type="duplicateValues" dxfId="1884" priority="29"/>
  </conditionalFormatting>
  <conditionalFormatting sqref="D291">
    <cfRule type="duplicateValues" dxfId="1883" priority="28"/>
  </conditionalFormatting>
  <conditionalFormatting sqref="D291">
    <cfRule type="duplicateValues" dxfId="1882" priority="27"/>
  </conditionalFormatting>
  <conditionalFormatting sqref="D290:D291">
    <cfRule type="duplicateValues" dxfId="1881" priority="26"/>
  </conditionalFormatting>
  <conditionalFormatting sqref="D145">
    <cfRule type="duplicateValues" dxfId="1880" priority="3304"/>
  </conditionalFormatting>
  <conditionalFormatting sqref="D145">
    <cfRule type="duplicateValues" dxfId="1879" priority="3309"/>
    <cfRule type="duplicateValues" dxfId="1878" priority="3310"/>
  </conditionalFormatting>
  <conditionalFormatting sqref="D159">
    <cfRule type="duplicateValues" dxfId="1877" priority="3327"/>
  </conditionalFormatting>
  <conditionalFormatting sqref="D159">
    <cfRule type="duplicateValues" dxfId="1876" priority="3328"/>
    <cfRule type="duplicateValues" dxfId="1875" priority="3329"/>
  </conditionalFormatting>
  <conditionalFormatting sqref="D102">
    <cfRule type="duplicateValues" dxfId="1874" priority="16"/>
  </conditionalFormatting>
  <conditionalFormatting sqref="D102">
    <cfRule type="duplicateValues" dxfId="1873" priority="15"/>
  </conditionalFormatting>
  <conditionalFormatting sqref="D102">
    <cfRule type="duplicateValues" dxfId="1872" priority="14"/>
  </conditionalFormatting>
  <conditionalFormatting sqref="D120:D121">
    <cfRule type="duplicateValues" dxfId="1871" priority="13"/>
  </conditionalFormatting>
  <conditionalFormatting sqref="D122:D123">
    <cfRule type="duplicateValues" dxfId="1870" priority="12"/>
  </conditionalFormatting>
  <conditionalFormatting sqref="D124:D126">
    <cfRule type="duplicateValues" dxfId="1869" priority="11"/>
  </conditionalFormatting>
  <conditionalFormatting sqref="D120:D126">
    <cfRule type="duplicateValues" dxfId="1868" priority="10"/>
  </conditionalFormatting>
  <conditionalFormatting sqref="D127">
    <cfRule type="duplicateValues" dxfId="1867" priority="9"/>
  </conditionalFormatting>
  <conditionalFormatting sqref="D127">
    <cfRule type="duplicateValues" dxfId="1866" priority="8"/>
  </conditionalFormatting>
  <conditionalFormatting sqref="D120:D127">
    <cfRule type="duplicateValues" dxfId="1865" priority="7"/>
  </conditionalFormatting>
  <conditionalFormatting sqref="D137:D138">
    <cfRule type="duplicateValues" dxfId="1864" priority="6"/>
  </conditionalFormatting>
  <conditionalFormatting sqref="D139:D141">
    <cfRule type="duplicateValues" dxfId="1863" priority="5"/>
  </conditionalFormatting>
  <conditionalFormatting sqref="D137:D141">
    <cfRule type="duplicateValues" dxfId="1862" priority="4"/>
  </conditionalFormatting>
  <conditionalFormatting sqref="D142">
    <cfRule type="duplicateValues" dxfId="1861" priority="3"/>
  </conditionalFormatting>
  <conditionalFormatting sqref="D142">
    <cfRule type="duplicateValues" dxfId="1860" priority="2"/>
  </conditionalFormatting>
  <conditionalFormatting sqref="D137:D142">
    <cfRule type="duplicateValues" dxfId="1859" priority="1"/>
  </conditionalFormatting>
  <dataValidations disablePrompts="1" count="2">
    <dataValidation type="whole" allowBlank="1" showInputMessage="1" showErrorMessage="1" errorTitle="Non-Numeric or abnormal value" error="Enter Numbers only between 0 and 99999" sqref="E195:F196 E334:F334 E9:F13 G371:AB371">
      <formula1>0</formula1>
      <formula2>99999</formula2>
    </dataValidation>
    <dataValidation allowBlank="1" showInputMessage="1" showErrorMessage="1" errorTitle="Non-Numeric or abnormal value" error="Enter Numbers only between 0 and 99999" sqref="E197:F230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58"/>
  <sheetViews>
    <sheetView showGridLines="0" tabSelected="1" showRuler="0" zoomScale="40" zoomScaleNormal="40" zoomScaleSheetLayoutView="68" zoomScalePageLayoutView="21" workbookViewId="0">
      <pane xSplit="3" ySplit="21" topLeftCell="D22" activePane="bottomRight" state="frozen"/>
      <selection pane="topRight" activeCell="D1" sqref="D1"/>
      <selection pane="bottomLeft" activeCell="A22" sqref="A22"/>
      <selection pane="bottomRight" activeCell="F439" sqref="F439"/>
    </sheetView>
  </sheetViews>
  <sheetFormatPr defaultColWidth="9.1328125" defaultRowHeight="28.5" x14ac:dyDescent="0.7"/>
  <cols>
    <col min="1" max="1" width="45.265625" style="959" customWidth="1" collapsed="1"/>
    <col min="2" max="2" width="127.265625" style="283" customWidth="1" collapsed="1"/>
    <col min="3" max="3" width="18.3984375" style="61" bestFit="1" customWidth="1" collapsed="1"/>
    <col min="4" max="23" width="7.59765625" style="18" customWidth="1" collapsed="1"/>
    <col min="24" max="24" width="9.1328125" style="18" customWidth="1" collapsed="1"/>
    <col min="25" max="26" width="8.86328125" style="18" customWidth="1" collapsed="1"/>
    <col min="27" max="27" width="9.1328125" style="18" customWidth="1" collapsed="1"/>
    <col min="28" max="35" width="9.1328125" style="18" customWidth="1"/>
    <col min="36" max="36" width="15.3984375" style="18" bestFit="1" customWidth="1" collapsed="1"/>
    <col min="37" max="37" width="10.59765625" style="61" hidden="1" customWidth="1" collapsed="1"/>
    <col min="38" max="38" width="25.53125" style="235" bestFit="1" customWidth="1" collapsed="1"/>
    <col min="39" max="39" width="31.59765625" style="18" hidden="1" customWidth="1" collapsed="1"/>
    <col min="40" max="40" width="36.73046875" style="18" customWidth="1" collapsed="1"/>
    <col min="41" max="41" width="9.1328125" style="272" collapsed="1"/>
    <col min="42" max="42" width="37.265625" style="273" bestFit="1" customWidth="1" collapsed="1"/>
    <col min="43" max="43" width="35.86328125" style="274" bestFit="1" customWidth="1" collapsed="1"/>
    <col min="44" max="44" width="9.1328125" style="18"/>
    <col min="45" max="16384" width="9.1328125" style="18" collapsed="1"/>
  </cols>
  <sheetData>
    <row r="1" spans="1:43" s="6" customFormat="1" ht="39" hidden="1" customHeight="1" thickBot="1" x14ac:dyDescent="0.5">
      <c r="A1" s="948" t="s">
        <v>356</v>
      </c>
      <c r="B1" s="1362" t="s">
        <v>437</v>
      </c>
      <c r="C1" s="1363"/>
      <c r="D1" s="1231" t="s">
        <v>128</v>
      </c>
      <c r="E1" s="1232"/>
      <c r="F1" s="1294" t="s">
        <v>438</v>
      </c>
      <c r="G1" s="1296"/>
      <c r="H1" s="1231" t="s">
        <v>355</v>
      </c>
      <c r="I1" s="1286"/>
      <c r="J1" s="1232"/>
      <c r="K1" s="1294" t="s">
        <v>439</v>
      </c>
      <c r="L1" s="1295"/>
      <c r="M1" s="1295"/>
      <c r="N1" s="1295"/>
      <c r="O1" s="1295"/>
      <c r="P1" s="1295"/>
      <c r="Q1" s="1296"/>
      <c r="R1" s="1231" t="s">
        <v>362</v>
      </c>
      <c r="S1" s="1232"/>
      <c r="T1" s="1294" t="s">
        <v>440</v>
      </c>
      <c r="U1" s="1295"/>
      <c r="V1" s="1296"/>
      <c r="W1" s="1231" t="s">
        <v>357</v>
      </c>
      <c r="X1" s="1232"/>
      <c r="Y1" s="4" t="s">
        <v>441</v>
      </c>
      <c r="Z1" s="5" t="s">
        <v>358</v>
      </c>
      <c r="AA1" s="1294">
        <v>2020</v>
      </c>
      <c r="AB1" s="1295"/>
      <c r="AC1" s="1295"/>
      <c r="AD1" s="1295"/>
      <c r="AE1" s="1295"/>
      <c r="AF1" s="1295"/>
      <c r="AG1" s="1295"/>
      <c r="AH1" s="1295"/>
      <c r="AI1" s="1295"/>
      <c r="AJ1" s="1296"/>
      <c r="AK1" s="1356" t="s">
        <v>359</v>
      </c>
      <c r="AL1" s="1357"/>
      <c r="AM1" s="1357"/>
      <c r="AN1" s="1357"/>
      <c r="AO1" s="1352"/>
    </row>
    <row r="2" spans="1:43" s="8" customFormat="1" ht="94.5" customHeight="1" thickBot="1" x14ac:dyDescent="0.8">
      <c r="A2" s="1367"/>
      <c r="B2" s="1368"/>
      <c r="C2" s="1368"/>
      <c r="D2" s="1368"/>
      <c r="E2" s="1368"/>
      <c r="F2" s="1368"/>
      <c r="G2" s="1368"/>
      <c r="H2" s="1368"/>
      <c r="I2" s="1368"/>
      <c r="J2" s="1368"/>
      <c r="K2" s="1368"/>
      <c r="L2" s="1368"/>
      <c r="M2" s="1368"/>
      <c r="N2" s="1368"/>
      <c r="O2" s="1368"/>
      <c r="P2" s="1368"/>
      <c r="Q2" s="1368"/>
      <c r="R2" s="1368"/>
      <c r="S2" s="1368"/>
      <c r="T2" s="1368"/>
      <c r="U2" s="1368"/>
      <c r="V2" s="1368"/>
      <c r="W2" s="1368"/>
      <c r="X2" s="1368"/>
      <c r="Y2" s="1368"/>
      <c r="Z2" s="1368"/>
      <c r="AA2" s="1368"/>
      <c r="AB2" s="1368"/>
      <c r="AC2" s="1368"/>
      <c r="AD2" s="1368"/>
      <c r="AE2" s="1368"/>
      <c r="AF2" s="1368"/>
      <c r="AG2" s="1368"/>
      <c r="AH2" s="1368"/>
      <c r="AI2" s="1368"/>
      <c r="AJ2" s="1368"/>
      <c r="AK2" s="1368"/>
      <c r="AL2" s="1368"/>
      <c r="AM2" s="1368"/>
      <c r="AN2" s="1369"/>
      <c r="AO2" s="1352"/>
      <c r="AP2" s="1350" t="s">
        <v>960</v>
      </c>
      <c r="AQ2" s="1351"/>
    </row>
    <row r="3" spans="1:43" s="290" customFormat="1" ht="57.4" customHeight="1" thickBot="1" x14ac:dyDescent="0.5">
      <c r="A3" s="1370" t="str">
        <f>CONCATENATE(R1,":  ",T1,"                            ",H1,":   ",K1,"                            ",A1,":   ",B1,"                            ",D1,":   ",F1,"                            Reporting Year:   ",AA1,"              Reporting Month:   ",Y1)</f>
        <v>County:  Laikipia                            Sub County:   Laikipia East                            Health Facility:   Likii Dispensary                            MFL Code:   15035                            Reporting Year:   2020              Reporting Month:   02</v>
      </c>
      <c r="B3" s="1371"/>
      <c r="C3" s="1371"/>
      <c r="D3" s="1371"/>
      <c r="E3" s="1371"/>
      <c r="F3" s="1371"/>
      <c r="G3" s="1371"/>
      <c r="H3" s="1371"/>
      <c r="I3" s="1371"/>
      <c r="J3" s="1371"/>
      <c r="K3" s="1371"/>
      <c r="L3" s="1371"/>
      <c r="M3" s="1371"/>
      <c r="N3" s="1371"/>
      <c r="O3" s="1371"/>
      <c r="P3" s="1371"/>
      <c r="Q3" s="1371"/>
      <c r="R3" s="1371"/>
      <c r="S3" s="1371"/>
      <c r="T3" s="1371"/>
      <c r="U3" s="1371"/>
      <c r="V3" s="1371"/>
      <c r="W3" s="1371"/>
      <c r="X3" s="1371"/>
      <c r="Y3" s="1371"/>
      <c r="Z3" s="1371"/>
      <c r="AA3" s="1371"/>
      <c r="AB3" s="1371"/>
      <c r="AC3" s="1371"/>
      <c r="AD3" s="1371"/>
      <c r="AE3" s="1371"/>
      <c r="AF3" s="1371"/>
      <c r="AG3" s="1371"/>
      <c r="AH3" s="1371"/>
      <c r="AI3" s="1371"/>
      <c r="AJ3" s="1371"/>
      <c r="AK3" s="1371"/>
      <c r="AL3" s="1371"/>
      <c r="AM3" s="1371"/>
      <c r="AN3" s="1372"/>
      <c r="AO3" s="1352"/>
      <c r="AP3" s="291" t="str">
        <f>HYPERLINK("#HIV_TEST","1.1 Hiv Testing")</f>
        <v>1.1 Hiv Testing</v>
      </c>
      <c r="AQ3" s="291" t="str">
        <f>HYPERLINK("#GEND_GBV","5.0 GEND_GBV")</f>
        <v>5.0 GEND_GBV</v>
      </c>
    </row>
    <row r="4" spans="1:43" s="10" customFormat="1" ht="39.75" customHeight="1" thickBot="1" x14ac:dyDescent="0.5">
      <c r="A4" s="1233" t="s">
        <v>1255</v>
      </c>
      <c r="B4" s="1234"/>
      <c r="C4" s="1234"/>
      <c r="D4" s="1293" t="s">
        <v>944</v>
      </c>
      <c r="E4" s="1293"/>
      <c r="F4" s="1293"/>
      <c r="G4" s="1293"/>
      <c r="H4" s="1293"/>
      <c r="I4" s="1293"/>
      <c r="J4" s="1293"/>
      <c r="K4" s="1293"/>
      <c r="L4" s="1293"/>
      <c r="M4" s="1293"/>
      <c r="N4" s="1293"/>
      <c r="O4" s="1293"/>
      <c r="P4" s="1293"/>
      <c r="Q4" s="1293"/>
      <c r="R4" s="1293"/>
      <c r="S4" s="1293"/>
      <c r="T4" s="1293"/>
      <c r="U4" s="1293"/>
      <c r="V4" s="1293"/>
      <c r="W4" s="1308" t="s">
        <v>946</v>
      </c>
      <c r="X4" s="1309"/>
      <c r="Y4" s="1309"/>
      <c r="Z4" s="1309"/>
      <c r="AA4" s="1309"/>
      <c r="AB4" s="1309"/>
      <c r="AC4" s="1309"/>
      <c r="AD4" s="1309"/>
      <c r="AE4" s="1309"/>
      <c r="AF4" s="1309"/>
      <c r="AG4" s="1309"/>
      <c r="AH4" s="1309"/>
      <c r="AI4" s="1309"/>
      <c r="AJ4" s="1309"/>
      <c r="AK4" s="1309"/>
      <c r="AL4" s="1309"/>
      <c r="AM4" s="1309"/>
      <c r="AN4" s="1310"/>
      <c r="AO4" s="1352"/>
      <c r="AP4" s="291" t="str">
        <f>HYPERLINK("#HTS_SELF","1.2 HTS SELF")</f>
        <v>1.2 HTS SELF</v>
      </c>
      <c r="AQ4" s="291" t="str">
        <f>HYPERLINK("#PMTCT_TST","6.1 PMTCT TEST")</f>
        <v>6.1 PMTCT TEST</v>
      </c>
    </row>
    <row r="5" spans="1:43" s="14" customFormat="1" ht="26.25" hidden="1" customHeight="1" thickBot="1" x14ac:dyDescent="0.8">
      <c r="A5" s="1289" t="s">
        <v>36</v>
      </c>
      <c r="B5" s="1290" t="s">
        <v>321</v>
      </c>
      <c r="C5" s="1291" t="s">
        <v>305</v>
      </c>
      <c r="D5" s="1142" t="s">
        <v>0</v>
      </c>
      <c r="E5" s="1142"/>
      <c r="F5" s="1142" t="s">
        <v>1</v>
      </c>
      <c r="G5" s="1142"/>
      <c r="H5" s="1142" t="s">
        <v>2</v>
      </c>
      <c r="I5" s="1142"/>
      <c r="J5" s="1142" t="s">
        <v>3</v>
      </c>
      <c r="K5" s="1142"/>
      <c r="L5" s="1142" t="s">
        <v>4</v>
      </c>
      <c r="M5" s="1142"/>
      <c r="N5" s="1142" t="s">
        <v>5</v>
      </c>
      <c r="O5" s="1142"/>
      <c r="P5" s="1142" t="s">
        <v>6</v>
      </c>
      <c r="Q5" s="1142"/>
      <c r="R5" s="1142" t="s">
        <v>7</v>
      </c>
      <c r="S5" s="1142"/>
      <c r="T5" s="1142" t="s">
        <v>8</v>
      </c>
      <c r="U5" s="1142"/>
      <c r="V5" s="1142" t="s">
        <v>23</v>
      </c>
      <c r="W5" s="1142"/>
      <c r="X5" s="1142" t="s">
        <v>24</v>
      </c>
      <c r="Y5" s="1142"/>
      <c r="Z5" s="1142" t="s">
        <v>9</v>
      </c>
      <c r="AA5" s="1142"/>
      <c r="AB5" s="297"/>
      <c r="AC5" s="297"/>
      <c r="AD5" s="297"/>
      <c r="AE5" s="297"/>
      <c r="AF5" s="297"/>
      <c r="AG5" s="297"/>
      <c r="AH5" s="484"/>
      <c r="AI5" s="484"/>
      <c r="AJ5" s="1297" t="s">
        <v>19</v>
      </c>
      <c r="AK5" s="1183" t="s">
        <v>354</v>
      </c>
      <c r="AL5" s="11" t="s">
        <v>354</v>
      </c>
      <c r="AM5" s="1330" t="s">
        <v>361</v>
      </c>
      <c r="AN5" s="12" t="s">
        <v>898</v>
      </c>
      <c r="AO5" s="1352"/>
      <c r="AP5" s="292"/>
      <c r="AQ5"/>
    </row>
    <row r="6" spans="1:43" s="14" customFormat="1" ht="27" hidden="1" customHeight="1" thickBot="1" x14ac:dyDescent="0.8">
      <c r="A6" s="1123"/>
      <c r="B6" s="1127"/>
      <c r="C6" s="1156"/>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298"/>
      <c r="AK6" s="1184"/>
      <c r="AL6" s="16" t="str">
        <f>IF(LEN(A507)-LEN(SUBSTITUTE(A507,"*",""))&gt;0," Total Errors are "&amp;(LEN(A507)-LEN(SUBSTITUTE(A507,"*",""))),"")</f>
        <v/>
      </c>
      <c r="AM6" s="1331"/>
      <c r="AN6" s="17" t="str">
        <f>IF(LEN(A529)-LEN(SUBSTITUTE(A529,"*",""))&gt;0," Total Warnings are "&amp;(LEN(A529)-LEN(SUBSTITUTE(A529,"*",""))),"")</f>
        <v/>
      </c>
      <c r="AO6" s="1352"/>
      <c r="AP6" s="292"/>
      <c r="AQ6"/>
    </row>
    <row r="7" spans="1:43" ht="25.9" hidden="1" customHeight="1" thickBot="1" x14ac:dyDescent="0.8">
      <c r="A7" s="1287" t="s">
        <v>444</v>
      </c>
      <c r="B7" s="1288"/>
      <c r="C7" s="1288"/>
      <c r="D7" s="1288"/>
      <c r="E7" s="1288"/>
      <c r="F7" s="1288"/>
      <c r="G7" s="1288"/>
      <c r="H7" s="1288"/>
      <c r="I7" s="1288"/>
      <c r="J7" s="1288"/>
      <c r="K7" s="1288"/>
      <c r="L7" s="1288"/>
      <c r="M7" s="1288"/>
      <c r="N7" s="1288"/>
      <c r="O7" s="1288"/>
      <c r="P7" s="1288"/>
      <c r="Q7" s="1288"/>
      <c r="R7" s="1288"/>
      <c r="S7" s="1288"/>
      <c r="T7" s="1288"/>
      <c r="U7" s="1288"/>
      <c r="V7" s="1288"/>
      <c r="W7" s="1288"/>
      <c r="X7" s="1288"/>
      <c r="Y7" s="1288"/>
      <c r="Z7" s="1288"/>
      <c r="AA7" s="1288"/>
      <c r="AB7" s="1288"/>
      <c r="AC7" s="1288"/>
      <c r="AD7" s="1288"/>
      <c r="AE7" s="1288"/>
      <c r="AF7" s="1288"/>
      <c r="AG7" s="1288"/>
      <c r="AH7" s="1288"/>
      <c r="AI7" s="1288"/>
      <c r="AJ7" s="1288"/>
      <c r="AK7" s="1288"/>
      <c r="AL7" s="1144"/>
      <c r="AM7" s="1288"/>
      <c r="AN7" s="1146"/>
      <c r="AO7" s="1352"/>
      <c r="AP7" s="292"/>
      <c r="AQ7"/>
    </row>
    <row r="8" spans="1:43" ht="31.15" hidden="1" customHeight="1" thickBot="1" x14ac:dyDescent="0.8">
      <c r="A8" s="1317" t="s">
        <v>794</v>
      </c>
      <c r="B8" s="1" t="s">
        <v>610</v>
      </c>
      <c r="C8" s="554" t="s">
        <v>934</v>
      </c>
      <c r="D8" s="19"/>
      <c r="E8" s="19"/>
      <c r="F8" s="19"/>
      <c r="G8" s="20"/>
      <c r="H8" s="21"/>
      <c r="I8" s="22"/>
      <c r="J8" s="22"/>
      <c r="K8" s="22"/>
      <c r="L8" s="22"/>
      <c r="M8" s="22"/>
      <c r="N8" s="22"/>
      <c r="O8" s="22"/>
      <c r="P8" s="22"/>
      <c r="Q8" s="22"/>
      <c r="R8" s="22"/>
      <c r="S8" s="23"/>
      <c r="T8" s="24"/>
      <c r="U8" s="25"/>
      <c r="V8" s="25"/>
      <c r="W8" s="25"/>
      <c r="X8" s="25"/>
      <c r="Y8" s="26"/>
      <c r="Z8" s="27"/>
      <c r="AA8" s="28"/>
      <c r="AB8" s="301"/>
      <c r="AC8" s="301"/>
      <c r="AD8" s="301"/>
      <c r="AE8" s="301"/>
      <c r="AF8" s="301"/>
      <c r="AG8" s="301"/>
      <c r="AH8" s="301"/>
      <c r="AI8" s="301"/>
      <c r="AJ8" s="29">
        <f t="shared" ref="AJ8:AJ10" si="0">SUM(D8:AA8)</f>
        <v>0</v>
      </c>
      <c r="AK8" s="30" t="str">
        <f>CONCATENATE(IF(AJ9&gt;AJ8," * No Screened in OPD "&amp;$AJ$20&amp;" is more than Number Seen at OPD "&amp;CHAR(10),""))</f>
        <v/>
      </c>
      <c r="AL8" s="1358" t="str">
        <f>CONCATENATE(AK8,AK9,AK10,AK11,AK12,AK13,AK15,AK16,AK17,AK18,AK14)</f>
        <v/>
      </c>
      <c r="AM8" s="31"/>
      <c r="AN8" s="1373" t="str">
        <f>CONCATENATE(AM8,AM9,AM10,AM11,AM12,AM13,AM14,AM15,AM16,AM17,AM18)</f>
        <v/>
      </c>
      <c r="AO8" s="1352"/>
      <c r="AP8" s="292"/>
      <c r="AQ8"/>
    </row>
    <row r="9" spans="1:43" ht="25.9" hidden="1" customHeight="1" thickBot="1" x14ac:dyDescent="0.8">
      <c r="A9" s="1315"/>
      <c r="B9" s="32" t="s">
        <v>611</v>
      </c>
      <c r="C9" s="554" t="s">
        <v>935</v>
      </c>
      <c r="D9" s="19"/>
      <c r="E9" s="19"/>
      <c r="F9" s="19"/>
      <c r="G9" s="20"/>
      <c r="H9" s="33"/>
      <c r="I9" s="28"/>
      <c r="J9" s="28"/>
      <c r="K9" s="28"/>
      <c r="L9" s="28"/>
      <c r="M9" s="28"/>
      <c r="N9" s="28"/>
      <c r="O9" s="28"/>
      <c r="P9" s="28"/>
      <c r="Q9" s="28"/>
      <c r="R9" s="28"/>
      <c r="S9" s="34"/>
      <c r="T9" s="35"/>
      <c r="U9" s="19"/>
      <c r="V9" s="19"/>
      <c r="W9" s="19"/>
      <c r="X9" s="19"/>
      <c r="Y9" s="36"/>
      <c r="Z9" s="27"/>
      <c r="AA9" s="28"/>
      <c r="AB9" s="301"/>
      <c r="AC9" s="301"/>
      <c r="AD9" s="301"/>
      <c r="AE9" s="301"/>
      <c r="AF9" s="301"/>
      <c r="AG9" s="301"/>
      <c r="AH9" s="301"/>
      <c r="AI9" s="301"/>
      <c r="AJ9" s="29">
        <f t="shared" si="0"/>
        <v>0</v>
      </c>
      <c r="AK9" s="30" t="str">
        <f>CONCATENATE(IF(AJ10&gt;AJ9," * No Eligible for HTS Testing "&amp;$AJ$20&amp;" is more than No Screened for HTS Eligibility "&amp;CHAR(10),""))</f>
        <v/>
      </c>
      <c r="AL9" s="1359"/>
      <c r="AM9" s="31"/>
      <c r="AN9" s="1374"/>
      <c r="AO9" s="1352"/>
      <c r="AP9" s="292"/>
      <c r="AQ9"/>
    </row>
    <row r="10" spans="1:43" ht="25.9" hidden="1" customHeight="1" thickBot="1" x14ac:dyDescent="0.8">
      <c r="A10" s="1316"/>
      <c r="B10" s="3" t="s">
        <v>445</v>
      </c>
      <c r="C10" s="554" t="s">
        <v>936</v>
      </c>
      <c r="D10" s="19"/>
      <c r="E10" s="19"/>
      <c r="F10" s="19"/>
      <c r="G10" s="20"/>
      <c r="H10" s="37"/>
      <c r="I10" s="38"/>
      <c r="J10" s="38"/>
      <c r="K10" s="38"/>
      <c r="L10" s="38"/>
      <c r="M10" s="38"/>
      <c r="N10" s="38"/>
      <c r="O10" s="38"/>
      <c r="P10" s="38"/>
      <c r="Q10" s="38"/>
      <c r="R10" s="38"/>
      <c r="S10" s="39"/>
      <c r="T10" s="40"/>
      <c r="U10" s="41"/>
      <c r="V10" s="41"/>
      <c r="W10" s="41"/>
      <c r="X10" s="41"/>
      <c r="Y10" s="42"/>
      <c r="Z10" s="43"/>
      <c r="AA10" s="44"/>
      <c r="AB10" s="301"/>
      <c r="AC10" s="301"/>
      <c r="AD10" s="301"/>
      <c r="AE10" s="301"/>
      <c r="AF10" s="301"/>
      <c r="AG10" s="301"/>
      <c r="AH10" s="301"/>
      <c r="AI10" s="301"/>
      <c r="AJ10" s="29">
        <f t="shared" si="0"/>
        <v>0</v>
      </c>
      <c r="AK10" s="45"/>
      <c r="AL10" s="1359"/>
      <c r="AM10" s="31"/>
      <c r="AN10" s="1374"/>
      <c r="AO10" s="1352"/>
      <c r="AP10" s="292"/>
      <c r="AQ10"/>
    </row>
    <row r="11" spans="1:43" ht="25.9" hidden="1" customHeight="1" thickBot="1" x14ac:dyDescent="0.8">
      <c r="A11" s="1314" t="s">
        <v>795</v>
      </c>
      <c r="B11" s="1" t="s">
        <v>804</v>
      </c>
      <c r="C11" s="554" t="s">
        <v>937</v>
      </c>
      <c r="D11" s="46"/>
      <c r="E11" s="19"/>
      <c r="F11" s="19"/>
      <c r="G11" s="19"/>
      <c r="H11" s="19"/>
      <c r="I11" s="19"/>
      <c r="J11" s="19"/>
      <c r="K11" s="19"/>
      <c r="L11" s="19"/>
      <c r="M11" s="19"/>
      <c r="N11" s="19"/>
      <c r="O11" s="19"/>
      <c r="P11" s="19"/>
      <c r="Q11" s="19"/>
      <c r="R11" s="19"/>
      <c r="S11" s="19"/>
      <c r="T11" s="19"/>
      <c r="U11" s="19"/>
      <c r="V11" s="19"/>
      <c r="W11" s="19"/>
      <c r="X11" s="19"/>
      <c r="Y11" s="19"/>
      <c r="Z11" s="19"/>
      <c r="AA11" s="47"/>
      <c r="AB11" s="302"/>
      <c r="AC11" s="302"/>
      <c r="AD11" s="302"/>
      <c r="AE11" s="302"/>
      <c r="AF11" s="302"/>
      <c r="AG11" s="302"/>
      <c r="AH11" s="302"/>
      <c r="AI11" s="302"/>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359"/>
      <c r="AM11" s="31"/>
      <c r="AN11" s="1374"/>
      <c r="AO11" s="1352"/>
      <c r="AP11" s="292"/>
      <c r="AQ11"/>
    </row>
    <row r="12" spans="1:43" ht="25.9" hidden="1" customHeight="1" thickBot="1" x14ac:dyDescent="0.8">
      <c r="A12" s="1315"/>
      <c r="B12" s="32" t="s">
        <v>611</v>
      </c>
      <c r="C12" s="555" t="s">
        <v>798</v>
      </c>
      <c r="D12" s="49"/>
      <c r="E12" s="50"/>
      <c r="F12" s="50"/>
      <c r="G12" s="50"/>
      <c r="H12" s="50"/>
      <c r="I12" s="50"/>
      <c r="J12" s="50"/>
      <c r="K12" s="50"/>
      <c r="L12" s="50"/>
      <c r="M12" s="50"/>
      <c r="N12" s="50"/>
      <c r="O12" s="50"/>
      <c r="P12" s="50"/>
      <c r="Q12" s="50"/>
      <c r="R12" s="50"/>
      <c r="S12" s="50"/>
      <c r="T12" s="50"/>
      <c r="U12" s="50"/>
      <c r="V12" s="50"/>
      <c r="W12" s="50"/>
      <c r="X12" s="50"/>
      <c r="Y12" s="50"/>
      <c r="Z12" s="50"/>
      <c r="AA12" s="51"/>
      <c r="AB12" s="302"/>
      <c r="AC12" s="302"/>
      <c r="AD12" s="302"/>
      <c r="AE12" s="302"/>
      <c r="AF12" s="302"/>
      <c r="AG12" s="302"/>
      <c r="AH12" s="302"/>
      <c r="AI12" s="302"/>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359"/>
      <c r="AM12" s="31"/>
      <c r="AN12" s="1374"/>
      <c r="AO12" s="1352"/>
      <c r="AP12" s="292"/>
      <c r="AQ12"/>
    </row>
    <row r="13" spans="1:43" ht="25.9" hidden="1" customHeight="1" thickBot="1" x14ac:dyDescent="0.8">
      <c r="A13" s="1316"/>
      <c r="B13" s="3" t="s">
        <v>445</v>
      </c>
      <c r="C13" s="556" t="s">
        <v>799</v>
      </c>
      <c r="D13" s="53"/>
      <c r="E13" s="54"/>
      <c r="F13" s="54"/>
      <c r="G13" s="54"/>
      <c r="H13" s="54"/>
      <c r="I13" s="54"/>
      <c r="J13" s="54"/>
      <c r="K13" s="54"/>
      <c r="L13" s="54"/>
      <c r="M13" s="54"/>
      <c r="N13" s="54"/>
      <c r="O13" s="54"/>
      <c r="P13" s="54"/>
      <c r="Q13" s="54"/>
      <c r="R13" s="54"/>
      <c r="S13" s="54"/>
      <c r="T13" s="54"/>
      <c r="U13" s="54"/>
      <c r="V13" s="54"/>
      <c r="W13" s="54"/>
      <c r="X13" s="54"/>
      <c r="Y13" s="54"/>
      <c r="Z13" s="54"/>
      <c r="AA13" s="55"/>
      <c r="AB13" s="303"/>
      <c r="AC13" s="303"/>
      <c r="AD13" s="303"/>
      <c r="AE13" s="303"/>
      <c r="AF13" s="303"/>
      <c r="AG13" s="303"/>
      <c r="AH13" s="303"/>
      <c r="AI13" s="303"/>
      <c r="AJ13" s="56">
        <f t="shared" si="1"/>
        <v>0</v>
      </c>
      <c r="AK13" s="45"/>
      <c r="AL13" s="1359"/>
      <c r="AM13" s="31"/>
      <c r="AN13" s="1374"/>
      <c r="AO13" s="1352"/>
      <c r="AP13" s="292"/>
      <c r="AQ13"/>
    </row>
    <row r="14" spans="1:43" s="61" customFormat="1" ht="51.4" hidden="1" customHeight="1" thickBot="1" x14ac:dyDescent="0.8">
      <c r="A14" s="949" t="s">
        <v>860</v>
      </c>
      <c r="B14" s="57" t="s">
        <v>806</v>
      </c>
      <c r="C14" s="557" t="s">
        <v>800</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04"/>
      <c r="AC14" s="304"/>
      <c r="AD14" s="304"/>
      <c r="AE14" s="304"/>
      <c r="AF14" s="304"/>
      <c r="AG14" s="304"/>
      <c r="AH14" s="304"/>
      <c r="AI14" s="304"/>
      <c r="AJ14" s="59">
        <f t="shared" si="1"/>
        <v>0</v>
      </c>
      <c r="AK14" s="30"/>
      <c r="AL14" s="1359"/>
      <c r="AM14" s="60"/>
      <c r="AN14" s="1374"/>
      <c r="AO14" s="1352"/>
      <c r="AP14" s="292"/>
      <c r="AQ14"/>
    </row>
    <row r="15" spans="1:43" ht="25.9" hidden="1" customHeight="1" thickBot="1" x14ac:dyDescent="0.8">
      <c r="A15" s="1317" t="s">
        <v>796</v>
      </c>
      <c r="B15" s="1" t="s">
        <v>805</v>
      </c>
      <c r="C15" s="557" t="s">
        <v>801</v>
      </c>
      <c r="D15" s="62"/>
      <c r="E15" s="63"/>
      <c r="F15" s="63"/>
      <c r="G15" s="63"/>
      <c r="H15" s="63"/>
      <c r="I15" s="63"/>
      <c r="J15" s="63"/>
      <c r="K15" s="63"/>
      <c r="L15" s="63"/>
      <c r="M15" s="63"/>
      <c r="N15" s="63"/>
      <c r="O15" s="63"/>
      <c r="P15" s="63"/>
      <c r="Q15" s="63"/>
      <c r="R15" s="63"/>
      <c r="S15" s="63"/>
      <c r="T15" s="63"/>
      <c r="U15" s="63"/>
      <c r="V15" s="63"/>
      <c r="W15" s="63"/>
      <c r="X15" s="63"/>
      <c r="Y15" s="63"/>
      <c r="Z15" s="63"/>
      <c r="AA15" s="64"/>
      <c r="AB15" s="305"/>
      <c r="AC15" s="305"/>
      <c r="AD15" s="305"/>
      <c r="AE15" s="305"/>
      <c r="AF15" s="305"/>
      <c r="AG15" s="305"/>
      <c r="AH15" s="305"/>
      <c r="AI15" s="305"/>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359"/>
      <c r="AM15" s="31"/>
      <c r="AN15" s="1374"/>
      <c r="AO15" s="1352"/>
      <c r="AP15" s="292"/>
      <c r="AQ15"/>
    </row>
    <row r="16" spans="1:43" ht="25.9" hidden="1" customHeight="1" thickBot="1" x14ac:dyDescent="0.8">
      <c r="A16" s="1315"/>
      <c r="B16" s="2" t="s">
        <v>611</v>
      </c>
      <c r="C16" s="555" t="s">
        <v>802</v>
      </c>
      <c r="D16" s="49"/>
      <c r="E16" s="50"/>
      <c r="F16" s="50"/>
      <c r="G16" s="50"/>
      <c r="H16" s="50"/>
      <c r="I16" s="50"/>
      <c r="J16" s="50"/>
      <c r="K16" s="50"/>
      <c r="L16" s="50"/>
      <c r="M16" s="50"/>
      <c r="N16" s="50"/>
      <c r="O16" s="50"/>
      <c r="P16" s="50"/>
      <c r="Q16" s="50"/>
      <c r="R16" s="50"/>
      <c r="S16" s="50"/>
      <c r="T16" s="50"/>
      <c r="U16" s="50"/>
      <c r="V16" s="50"/>
      <c r="W16" s="50"/>
      <c r="X16" s="50"/>
      <c r="Y16" s="50"/>
      <c r="Z16" s="50"/>
      <c r="AA16" s="51"/>
      <c r="AB16" s="302"/>
      <c r="AC16" s="302"/>
      <c r="AD16" s="302"/>
      <c r="AE16" s="302"/>
      <c r="AF16" s="302"/>
      <c r="AG16" s="302"/>
      <c r="AH16" s="302"/>
      <c r="AI16" s="302"/>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359"/>
      <c r="AM16" s="31"/>
      <c r="AN16" s="1374"/>
      <c r="AO16" s="1352"/>
      <c r="AP16" s="292"/>
      <c r="AQ16"/>
    </row>
    <row r="17" spans="1:43" ht="25.9" hidden="1" customHeight="1" thickBot="1" x14ac:dyDescent="0.8">
      <c r="A17" s="1316"/>
      <c r="B17" s="3" t="s">
        <v>445</v>
      </c>
      <c r="C17" s="556" t="s">
        <v>803</v>
      </c>
      <c r="D17" s="53"/>
      <c r="E17" s="54"/>
      <c r="F17" s="54"/>
      <c r="G17" s="54"/>
      <c r="H17" s="54"/>
      <c r="I17" s="54"/>
      <c r="J17" s="54"/>
      <c r="K17" s="54"/>
      <c r="L17" s="54"/>
      <c r="M17" s="54"/>
      <c r="N17" s="54"/>
      <c r="O17" s="54"/>
      <c r="P17" s="54"/>
      <c r="Q17" s="54"/>
      <c r="R17" s="54"/>
      <c r="S17" s="54"/>
      <c r="T17" s="54"/>
      <c r="U17" s="54"/>
      <c r="V17" s="54"/>
      <c r="W17" s="54"/>
      <c r="X17" s="54"/>
      <c r="Y17" s="54"/>
      <c r="Z17" s="54"/>
      <c r="AA17" s="55"/>
      <c r="AB17" s="303"/>
      <c r="AC17" s="303"/>
      <c r="AD17" s="303"/>
      <c r="AE17" s="303"/>
      <c r="AF17" s="303"/>
      <c r="AG17" s="303"/>
      <c r="AH17" s="303"/>
      <c r="AI17" s="303"/>
      <c r="AJ17" s="67">
        <f t="shared" si="1"/>
        <v>0</v>
      </c>
      <c r="AK17" s="45"/>
      <c r="AL17" s="1359"/>
      <c r="AM17" s="31"/>
      <c r="AN17" s="1374"/>
      <c r="AO17" s="1352"/>
      <c r="AP17" s="292"/>
      <c r="AQ17"/>
    </row>
    <row r="18" spans="1:43" ht="25.9" hidden="1" customHeight="1" thickBot="1" x14ac:dyDescent="0.8">
      <c r="A18" s="950"/>
      <c r="B18" s="293" t="s">
        <v>947</v>
      </c>
      <c r="C18" s="554" t="s">
        <v>938</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294"/>
      <c r="AL18" s="1359"/>
      <c r="AM18" s="123"/>
      <c r="AN18" s="1374"/>
      <c r="AO18" s="1352"/>
      <c r="AP18" s="292"/>
      <c r="AQ18"/>
    </row>
    <row r="19" spans="1:43" ht="36.75" hidden="1" customHeight="1" thickBot="1" x14ac:dyDescent="0.75">
      <c r="A19" s="1143" t="s">
        <v>12</v>
      </c>
      <c r="B19" s="1144"/>
      <c r="C19" s="1144"/>
      <c r="D19" s="1144"/>
      <c r="E19" s="1144"/>
      <c r="F19" s="1144"/>
      <c r="G19" s="1144"/>
      <c r="H19" s="1144"/>
      <c r="I19" s="1144"/>
      <c r="J19" s="1144"/>
      <c r="K19" s="1144"/>
      <c r="L19" s="1144"/>
      <c r="M19" s="1144"/>
      <c r="N19" s="1144"/>
      <c r="O19" s="1144"/>
      <c r="P19" s="1144"/>
      <c r="Q19" s="1144"/>
      <c r="R19" s="1144"/>
      <c r="S19" s="1144"/>
      <c r="T19" s="1144"/>
      <c r="U19" s="1144"/>
      <c r="V19" s="1144"/>
      <c r="W19" s="1144"/>
      <c r="X19" s="1144"/>
      <c r="Y19" s="1144"/>
      <c r="Z19" s="1144"/>
      <c r="AA19" s="1144"/>
      <c r="AB19" s="1144"/>
      <c r="AC19" s="1144"/>
      <c r="AD19" s="1144"/>
      <c r="AE19" s="1144"/>
      <c r="AF19" s="1144"/>
      <c r="AG19" s="1144"/>
      <c r="AH19" s="1144"/>
      <c r="AI19" s="1144"/>
      <c r="AJ19" s="1144"/>
      <c r="AK19" s="1144"/>
      <c r="AL19" s="1144"/>
      <c r="AM19" s="1144"/>
      <c r="AN19" s="1283"/>
      <c r="AO19" s="1352"/>
      <c r="AP19" s="291" t="str">
        <f>HYPERLINK("#PREP","2.0 Prep New &amp; CURR")</f>
        <v>2.0 Prep New &amp; CURR</v>
      </c>
      <c r="AQ19" s="291" t="str">
        <f>HYPERLINK("#HAART","6.2 PMTCT HAART")</f>
        <v>6.2 PMTCT HAART</v>
      </c>
    </row>
    <row r="20" spans="1:43" s="14" customFormat="1" ht="33" hidden="1" customHeight="1" thickBot="1" x14ac:dyDescent="0.75">
      <c r="A20" s="1122" t="s">
        <v>36</v>
      </c>
      <c r="B20" s="1126" t="s">
        <v>321</v>
      </c>
      <c r="C20" s="1155" t="s">
        <v>305</v>
      </c>
      <c r="D20" s="1135" t="s">
        <v>0</v>
      </c>
      <c r="E20" s="1135"/>
      <c r="F20" s="1135" t="s">
        <v>1</v>
      </c>
      <c r="G20" s="1135"/>
      <c r="H20" s="1135" t="s">
        <v>2</v>
      </c>
      <c r="I20" s="1135"/>
      <c r="J20" s="1135" t="s">
        <v>3</v>
      </c>
      <c r="K20" s="1135"/>
      <c r="L20" s="1135" t="s">
        <v>4</v>
      </c>
      <c r="M20" s="1135"/>
      <c r="N20" s="1135" t="s">
        <v>5</v>
      </c>
      <c r="O20" s="1135"/>
      <c r="P20" s="1135" t="s">
        <v>6</v>
      </c>
      <c r="Q20" s="1135"/>
      <c r="R20" s="1135" t="s">
        <v>7</v>
      </c>
      <c r="S20" s="1135"/>
      <c r="T20" s="1135" t="s">
        <v>8</v>
      </c>
      <c r="U20" s="1135"/>
      <c r="V20" s="1135" t="s">
        <v>23</v>
      </c>
      <c r="W20" s="1135"/>
      <c r="X20" s="1135" t="s">
        <v>24</v>
      </c>
      <c r="Y20" s="1135"/>
      <c r="Z20" s="1135" t="s">
        <v>9</v>
      </c>
      <c r="AA20" s="1135"/>
      <c r="AB20" s="1115" t="s">
        <v>965</v>
      </c>
      <c r="AC20" s="1116"/>
      <c r="AD20" s="1115" t="s">
        <v>966</v>
      </c>
      <c r="AE20" s="1116"/>
      <c r="AF20" s="1115" t="s">
        <v>1129</v>
      </c>
      <c r="AG20" s="1116"/>
      <c r="AH20" s="1115" t="s">
        <v>1130</v>
      </c>
      <c r="AI20" s="1116"/>
      <c r="AJ20" s="1181" t="s">
        <v>19</v>
      </c>
      <c r="AK20" s="1183" t="s">
        <v>354</v>
      </c>
      <c r="AL20" s="1235" t="s">
        <v>360</v>
      </c>
      <c r="AM20" s="1149" t="s">
        <v>361</v>
      </c>
      <c r="AN20" s="1171" t="s">
        <v>361</v>
      </c>
      <c r="AO20" s="1352"/>
      <c r="AP20" s="291" t="str">
        <f>HYPERLINK("#IPT","3.0 IPT")</f>
        <v>3.0 IPT</v>
      </c>
      <c r="AQ20" s="291" t="str">
        <f>HYPERLINK("#ART","7.0 HIV &amp; TB SCREEN")</f>
        <v>7.0 HIV &amp; TB SCREEN</v>
      </c>
    </row>
    <row r="21" spans="1:43" s="14" customFormat="1" ht="33" hidden="1" customHeight="1" thickBot="1" x14ac:dyDescent="0.75">
      <c r="A21" s="1123"/>
      <c r="B21" s="1127"/>
      <c r="C21" s="1156"/>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84" t="s">
        <v>10</v>
      </c>
      <c r="AC21" s="284" t="s">
        <v>11</v>
      </c>
      <c r="AD21" s="284" t="s">
        <v>10</v>
      </c>
      <c r="AE21" s="284" t="s">
        <v>11</v>
      </c>
      <c r="AF21" s="284" t="s">
        <v>10</v>
      </c>
      <c r="AG21" s="284" t="s">
        <v>11</v>
      </c>
      <c r="AH21" s="284" t="s">
        <v>10</v>
      </c>
      <c r="AI21" s="284" t="s">
        <v>11</v>
      </c>
      <c r="AJ21" s="1328"/>
      <c r="AK21" s="1184"/>
      <c r="AL21" s="1236"/>
      <c r="AM21" s="1237"/>
      <c r="AN21" s="1172"/>
      <c r="AO21" s="1352"/>
      <c r="AP21" s="291" t="str">
        <f>HYPERLINK("#CXCA","4.0 CXCA")</f>
        <v>4.0 CXCA</v>
      </c>
      <c r="AQ21" s="291" t="str">
        <f>HYPERLINK("#TB","9.0 HIV TB Clinic")</f>
        <v>9.0 HIV TB Clinic</v>
      </c>
    </row>
    <row r="22" spans="1:43" ht="25.5" hidden="1" x14ac:dyDescent="0.75">
      <c r="A22" s="1226" t="s">
        <v>109</v>
      </c>
      <c r="B22" s="69" t="s">
        <v>961</v>
      </c>
      <c r="C22" s="558" t="s">
        <v>129</v>
      </c>
      <c r="D22" s="134"/>
      <c r="E22" s="99"/>
      <c r="F22" s="94"/>
      <c r="G22" s="94"/>
      <c r="H22" s="94"/>
      <c r="I22" s="366"/>
      <c r="J22" s="94"/>
      <c r="K22" s="94"/>
      <c r="L22" s="94"/>
      <c r="M22" s="94"/>
      <c r="N22" s="94"/>
      <c r="O22" s="94"/>
      <c r="P22" s="94"/>
      <c r="Q22" s="94"/>
      <c r="R22" s="94"/>
      <c r="S22" s="94"/>
      <c r="T22" s="94"/>
      <c r="U22" s="94"/>
      <c r="V22" s="94"/>
      <c r="W22" s="94"/>
      <c r="X22" s="94"/>
      <c r="Y22" s="94"/>
      <c r="Z22" s="489">
        <f t="shared" ref="Z22" si="6">SUM(AB22,AD22,AF22,AH22)</f>
        <v>0</v>
      </c>
      <c r="AA22" s="489">
        <f t="shared" ref="AA22" si="7">SUM(AC22,AE22,AG22,AI22)</f>
        <v>0</v>
      </c>
      <c r="AB22" s="94"/>
      <c r="AC22" s="310"/>
      <c r="AD22" s="94"/>
      <c r="AE22" s="310"/>
      <c r="AF22" s="94"/>
      <c r="AG22" s="310"/>
      <c r="AH22" s="94"/>
      <c r="AI22" s="310"/>
      <c r="AJ22" s="188">
        <f t="shared" ref="AJ22:AJ27" si="8">SUM(D22:AA22)</f>
        <v>0</v>
      </c>
      <c r="AK22" s="1332"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347" t="str">
        <f>CONCATENATE(AK22,AK24,AK25,AK27,AK29,AK30,AK31,AK33,AK35,AK37,AK39,AK41,AK43,AK45,AK47,AK49,AK54,AK32,AK52,AK51,AK53,AK59,AK61,AK26,AK55,AK56,AK57)</f>
        <v/>
      </c>
      <c r="AM22" s="73"/>
      <c r="AN22" s="1335" t="str">
        <f>CONCATENATE(AM22,AM23,AM24,AM25,AM27,AM28,AM29,AM30,AM31,AM33,AM34,AM35,AM36,AM37,AM38,AM39,AM40,AM41,AM42,AM43,AM44,AM45,AM46,AM47,AM48,AM49,AM50,AM54,AM55)</f>
        <v/>
      </c>
      <c r="AO22" s="13">
        <v>21</v>
      </c>
      <c r="AP22" s="74"/>
      <c r="AQ22" s="75"/>
    </row>
    <row r="23" spans="1:43" ht="25.5" hidden="1" x14ac:dyDescent="0.75">
      <c r="A23" s="1227"/>
      <c r="B23" s="76" t="s">
        <v>962</v>
      </c>
      <c r="C23" s="559" t="s">
        <v>131</v>
      </c>
      <c r="D23" s="135"/>
      <c r="E23" s="78"/>
      <c r="F23" s="79"/>
      <c r="G23" s="79"/>
      <c r="H23" s="79"/>
      <c r="I23" s="79"/>
      <c r="J23" s="79"/>
      <c r="K23" s="79"/>
      <c r="L23" s="79"/>
      <c r="M23" s="79"/>
      <c r="N23" s="79"/>
      <c r="O23" s="79"/>
      <c r="P23" s="79"/>
      <c r="Q23" s="79"/>
      <c r="R23" s="79"/>
      <c r="S23" s="79"/>
      <c r="T23" s="79"/>
      <c r="U23" s="79"/>
      <c r="V23" s="79"/>
      <c r="W23" s="79"/>
      <c r="X23" s="79"/>
      <c r="Y23" s="79"/>
      <c r="Z23" s="489">
        <f t="shared" ref="Z23:Z25" si="9">SUM(AB23,AD23,AF23,AH23)</f>
        <v>0</v>
      </c>
      <c r="AA23" s="489">
        <f t="shared" ref="AA23:AA25" si="10">SUM(AC23,AE23,AG23,AI23)</f>
        <v>0</v>
      </c>
      <c r="AB23" s="79"/>
      <c r="AC23" s="307"/>
      <c r="AD23" s="79"/>
      <c r="AE23" s="307"/>
      <c r="AF23" s="79"/>
      <c r="AG23" s="307"/>
      <c r="AH23" s="79"/>
      <c r="AI23" s="307"/>
      <c r="AJ23" s="173">
        <f t="shared" si="8"/>
        <v>0</v>
      </c>
      <c r="AK23" s="1114"/>
      <c r="AL23" s="1348"/>
      <c r="AM23" s="31"/>
      <c r="AN23" s="1336"/>
      <c r="AO23" s="13">
        <v>22</v>
      </c>
      <c r="AP23" s="74"/>
      <c r="AQ23" s="75"/>
    </row>
    <row r="24" spans="1:43" s="61" customFormat="1" ht="25.5" hidden="1" x14ac:dyDescent="0.75">
      <c r="A24" s="1227"/>
      <c r="B24" s="76" t="s">
        <v>132</v>
      </c>
      <c r="C24" s="559" t="s">
        <v>322</v>
      </c>
      <c r="D24" s="135"/>
      <c r="E24" s="78"/>
      <c r="F24" s="79"/>
      <c r="G24" s="79"/>
      <c r="H24" s="79"/>
      <c r="I24" s="79"/>
      <c r="J24" s="79"/>
      <c r="K24" s="79"/>
      <c r="L24" s="79"/>
      <c r="M24" s="79"/>
      <c r="N24" s="79"/>
      <c r="O24" s="79"/>
      <c r="P24" s="79"/>
      <c r="Q24" s="79"/>
      <c r="R24" s="79"/>
      <c r="S24" s="79"/>
      <c r="T24" s="79"/>
      <c r="U24" s="79"/>
      <c r="V24" s="79"/>
      <c r="W24" s="79"/>
      <c r="X24" s="79"/>
      <c r="Y24" s="79"/>
      <c r="Z24" s="489">
        <f t="shared" si="9"/>
        <v>0</v>
      </c>
      <c r="AA24" s="489">
        <f t="shared" si="10"/>
        <v>0</v>
      </c>
      <c r="AB24" s="79"/>
      <c r="AC24" s="307"/>
      <c r="AD24" s="79"/>
      <c r="AE24" s="307"/>
      <c r="AF24" s="79"/>
      <c r="AG24" s="307"/>
      <c r="AH24" s="79"/>
      <c r="AI24" s="307"/>
      <c r="AJ24" s="173">
        <f t="shared" si="8"/>
        <v>0</v>
      </c>
      <c r="AK24" s="45" t="str">
        <f>IF(AJ24&gt;0,IF(AJ23&lt;1,"Contacts were Elicited [ F01-03 ] yet no Patients Accepted Index Testing [F01-02]",""),"")</f>
        <v/>
      </c>
      <c r="AL24" s="1348"/>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336"/>
      <c r="AO24" s="13">
        <v>23</v>
      </c>
      <c r="AP24" s="80"/>
      <c r="AQ24" s="75"/>
    </row>
    <row r="25" spans="1:43" s="83" customFormat="1" ht="25.5" hidden="1" x14ac:dyDescent="0.75">
      <c r="A25" s="1227"/>
      <c r="B25" s="76" t="s">
        <v>133</v>
      </c>
      <c r="C25" s="559" t="s">
        <v>134</v>
      </c>
      <c r="D25" s="135"/>
      <c r="E25" s="78"/>
      <c r="F25" s="79"/>
      <c r="G25" s="79"/>
      <c r="H25" s="79"/>
      <c r="I25" s="79"/>
      <c r="J25" s="79"/>
      <c r="K25" s="79"/>
      <c r="L25" s="79"/>
      <c r="M25" s="79"/>
      <c r="N25" s="79"/>
      <c r="O25" s="79"/>
      <c r="P25" s="79"/>
      <c r="Q25" s="79"/>
      <c r="R25" s="79"/>
      <c r="S25" s="79"/>
      <c r="T25" s="79"/>
      <c r="U25" s="79"/>
      <c r="V25" s="79"/>
      <c r="W25" s="79"/>
      <c r="X25" s="79"/>
      <c r="Y25" s="79"/>
      <c r="Z25" s="489">
        <f t="shared" si="9"/>
        <v>0</v>
      </c>
      <c r="AA25" s="489">
        <f t="shared" si="10"/>
        <v>0</v>
      </c>
      <c r="AB25" s="79"/>
      <c r="AC25" s="307"/>
      <c r="AD25" s="79"/>
      <c r="AE25" s="307"/>
      <c r="AF25" s="79"/>
      <c r="AG25" s="307"/>
      <c r="AH25" s="79"/>
      <c r="AI25" s="307"/>
      <c r="AJ25" s="173">
        <f t="shared" si="8"/>
        <v>0</v>
      </c>
      <c r="AK25" s="45"/>
      <c r="AL25" s="1348"/>
      <c r="AM25" s="31"/>
      <c r="AN25" s="1336"/>
      <c r="AO25" s="13">
        <v>24</v>
      </c>
      <c r="AP25" s="81"/>
      <c r="AQ25" s="82"/>
    </row>
    <row r="26" spans="1:43" s="83" customFormat="1" ht="25.5" hidden="1" x14ac:dyDescent="0.75">
      <c r="A26" s="1227"/>
      <c r="B26" s="76" t="s">
        <v>1004</v>
      </c>
      <c r="C26" s="559" t="s">
        <v>1003</v>
      </c>
      <c r="D26" s="135"/>
      <c r="E26" s="78"/>
      <c r="F26" s="79"/>
      <c r="G26" s="79"/>
      <c r="H26" s="79"/>
      <c r="I26" s="79"/>
      <c r="J26" s="79"/>
      <c r="K26" s="79"/>
      <c r="L26" s="78"/>
      <c r="M26" s="78"/>
      <c r="N26" s="78"/>
      <c r="O26" s="78"/>
      <c r="P26" s="78"/>
      <c r="Q26" s="78"/>
      <c r="R26" s="78"/>
      <c r="S26" s="78"/>
      <c r="T26" s="78"/>
      <c r="U26" s="78"/>
      <c r="V26" s="78"/>
      <c r="W26" s="78"/>
      <c r="X26" s="78"/>
      <c r="Y26" s="78"/>
      <c r="Z26" s="78"/>
      <c r="AA26" s="343"/>
      <c r="AB26" s="78"/>
      <c r="AC26" s="343"/>
      <c r="AD26" s="78"/>
      <c r="AE26" s="343"/>
      <c r="AF26" s="78"/>
      <c r="AG26" s="343"/>
      <c r="AH26" s="78"/>
      <c r="AI26" s="343"/>
      <c r="AJ26" s="173">
        <f t="shared" si="8"/>
        <v>0</v>
      </c>
      <c r="AK26" s="296"/>
      <c r="AL26" s="1348"/>
      <c r="AM26" s="31"/>
      <c r="AN26" s="1336"/>
      <c r="AO26" s="13"/>
      <c r="AP26" s="81"/>
      <c r="AQ26" s="82"/>
    </row>
    <row r="27" spans="1:43" s="83" customFormat="1" ht="25.5" hidden="1" x14ac:dyDescent="0.75">
      <c r="A27" s="1227"/>
      <c r="B27" s="76" t="s">
        <v>146</v>
      </c>
      <c r="C27" s="559" t="s">
        <v>135</v>
      </c>
      <c r="D27" s="135"/>
      <c r="E27" s="78"/>
      <c r="F27" s="79"/>
      <c r="G27" s="79"/>
      <c r="H27" s="79"/>
      <c r="I27" s="79"/>
      <c r="J27" s="79"/>
      <c r="K27" s="79"/>
      <c r="L27" s="79"/>
      <c r="M27" s="79"/>
      <c r="N27" s="79"/>
      <c r="O27" s="79"/>
      <c r="P27" s="79"/>
      <c r="Q27" s="79"/>
      <c r="R27" s="79"/>
      <c r="S27" s="79"/>
      <c r="T27" s="79"/>
      <c r="U27" s="79"/>
      <c r="V27" s="79"/>
      <c r="W27" s="79"/>
      <c r="X27" s="79"/>
      <c r="Y27" s="79"/>
      <c r="Z27" s="489">
        <f t="shared" ref="Z27:Z30" si="11">SUM(AB27,AD27,AF27,AH27)</f>
        <v>0</v>
      </c>
      <c r="AA27" s="489">
        <f t="shared" ref="AA27:AA30" si="12">SUM(AC27,AE27,AG27,AI27)</f>
        <v>0</v>
      </c>
      <c r="AB27" s="79"/>
      <c r="AC27" s="79"/>
      <c r="AD27" s="79"/>
      <c r="AE27" s="79"/>
      <c r="AF27" s="79"/>
      <c r="AG27" s="79"/>
      <c r="AH27" s="79"/>
      <c r="AI27" s="79"/>
      <c r="AJ27" s="173">
        <f t="shared" si="8"/>
        <v>0</v>
      </c>
      <c r="AK27" s="1114"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348"/>
      <c r="AM27" s="31" t="str">
        <f>CONCATENATE(IF(AND(IFERROR((AJ28*100)/AJ27,0)&gt;10,AJ28&gt;5)," * This facility has a high positivity rate for Index Testing. Kindly confirm if this is the true reflection"&amp;CHAR(10),""),"")</f>
        <v/>
      </c>
      <c r="AN27" s="1336"/>
      <c r="AO27" s="13">
        <v>25</v>
      </c>
      <c r="AP27" s="81"/>
      <c r="AQ27" s="82"/>
    </row>
    <row r="28" spans="1:43" s="83" customFormat="1" ht="25.5" hidden="1" x14ac:dyDescent="0.75">
      <c r="A28" s="1227"/>
      <c r="B28" s="84" t="s">
        <v>138</v>
      </c>
      <c r="C28" s="559" t="s">
        <v>137</v>
      </c>
      <c r="D28" s="135"/>
      <c r="E28" s="78"/>
      <c r="F28" s="85"/>
      <c r="G28" s="85"/>
      <c r="H28" s="85"/>
      <c r="I28" s="85"/>
      <c r="J28" s="85"/>
      <c r="K28" s="85"/>
      <c r="L28" s="85"/>
      <c r="M28" s="85"/>
      <c r="N28" s="85"/>
      <c r="O28" s="85"/>
      <c r="P28" s="85"/>
      <c r="Q28" s="85"/>
      <c r="R28" s="85"/>
      <c r="S28" s="85"/>
      <c r="T28" s="85"/>
      <c r="U28" s="85"/>
      <c r="V28" s="85"/>
      <c r="W28" s="85"/>
      <c r="X28" s="85"/>
      <c r="Y28" s="85"/>
      <c r="Z28" s="489">
        <f t="shared" si="11"/>
        <v>0</v>
      </c>
      <c r="AA28" s="489">
        <f t="shared" si="12"/>
        <v>0</v>
      </c>
      <c r="AB28" s="85"/>
      <c r="AC28" s="308"/>
      <c r="AD28" s="85"/>
      <c r="AE28" s="308"/>
      <c r="AF28" s="85"/>
      <c r="AG28" s="308"/>
      <c r="AH28" s="85"/>
      <c r="AI28" s="308"/>
      <c r="AJ28" s="368">
        <f>SUM(D28:AA28)</f>
        <v>0</v>
      </c>
      <c r="AK28" s="1114"/>
      <c r="AL28" s="1348"/>
      <c r="AM28" s="31"/>
      <c r="AN28" s="1336"/>
      <c r="AO28" s="13">
        <v>26</v>
      </c>
      <c r="AP28" s="81"/>
      <c r="AQ28" s="82"/>
    </row>
    <row r="29" spans="1:43" s="83" customFormat="1" ht="25.5" hidden="1" x14ac:dyDescent="0.75">
      <c r="A29" s="1227"/>
      <c r="B29" s="76" t="s">
        <v>139</v>
      </c>
      <c r="C29" s="559" t="s">
        <v>140</v>
      </c>
      <c r="D29" s="135"/>
      <c r="E29" s="78"/>
      <c r="F29" s="79"/>
      <c r="G29" s="79"/>
      <c r="H29" s="79"/>
      <c r="I29" s="79"/>
      <c r="J29" s="79"/>
      <c r="K29" s="79"/>
      <c r="L29" s="79"/>
      <c r="M29" s="79"/>
      <c r="N29" s="79"/>
      <c r="O29" s="79"/>
      <c r="P29" s="79"/>
      <c r="Q29" s="79"/>
      <c r="R29" s="79"/>
      <c r="S29" s="79"/>
      <c r="T29" s="79"/>
      <c r="U29" s="79"/>
      <c r="V29" s="79"/>
      <c r="W29" s="79"/>
      <c r="X29" s="79"/>
      <c r="Y29" s="79"/>
      <c r="Z29" s="489">
        <f t="shared" si="11"/>
        <v>0</v>
      </c>
      <c r="AA29" s="489">
        <f t="shared" si="12"/>
        <v>0</v>
      </c>
      <c r="AB29" s="79"/>
      <c r="AC29" s="307"/>
      <c r="AD29" s="79"/>
      <c r="AE29" s="307"/>
      <c r="AF29" s="79"/>
      <c r="AG29" s="307"/>
      <c r="AH29" s="79"/>
      <c r="AI29" s="307"/>
      <c r="AJ29" s="173">
        <f t="shared" ref="AJ29:AJ55" si="13">SUM(D29:AA29)</f>
        <v>0</v>
      </c>
      <c r="AK29" s="45"/>
      <c r="AL29" s="1348"/>
      <c r="AM29" s="31"/>
      <c r="AN29" s="1336"/>
      <c r="AO29" s="13">
        <v>27</v>
      </c>
      <c r="AP29" s="81"/>
      <c r="AQ29" s="82"/>
    </row>
    <row r="30" spans="1:43" s="83" customFormat="1" ht="25.5" hidden="1" x14ac:dyDescent="0.75">
      <c r="A30" s="1227"/>
      <c r="B30" s="76" t="s">
        <v>612</v>
      </c>
      <c r="C30" s="559" t="s">
        <v>141</v>
      </c>
      <c r="D30" s="367"/>
      <c r="E30" s="86"/>
      <c r="F30" s="79"/>
      <c r="G30" s="79"/>
      <c r="H30" s="79"/>
      <c r="I30" s="79"/>
      <c r="J30" s="79"/>
      <c r="K30" s="79"/>
      <c r="L30" s="79"/>
      <c r="M30" s="79"/>
      <c r="N30" s="79"/>
      <c r="O30" s="79"/>
      <c r="P30" s="79"/>
      <c r="Q30" s="79"/>
      <c r="R30" s="79"/>
      <c r="S30" s="79"/>
      <c r="T30" s="79"/>
      <c r="U30" s="79"/>
      <c r="V30" s="79"/>
      <c r="W30" s="79"/>
      <c r="X30" s="79"/>
      <c r="Y30" s="79"/>
      <c r="Z30" s="489">
        <f t="shared" si="11"/>
        <v>0</v>
      </c>
      <c r="AA30" s="489">
        <f t="shared" si="12"/>
        <v>0</v>
      </c>
      <c r="AB30" s="79"/>
      <c r="AC30" s="79"/>
      <c r="AD30" s="79"/>
      <c r="AE30" s="79"/>
      <c r="AF30" s="79"/>
      <c r="AG30" s="79"/>
      <c r="AH30" s="79"/>
      <c r="AI30" s="79"/>
      <c r="AJ30" s="173">
        <f t="shared" si="13"/>
        <v>0</v>
      </c>
      <c r="AK30" s="45"/>
      <c r="AL30" s="1348"/>
      <c r="AM30" s="31"/>
      <c r="AN30" s="1336"/>
      <c r="AO30" s="13">
        <v>28</v>
      </c>
      <c r="AP30" s="81"/>
      <c r="AQ30" s="82"/>
    </row>
    <row r="31" spans="1:43" s="83" customFormat="1" ht="25.9" hidden="1" thickBot="1" x14ac:dyDescent="0.8">
      <c r="A31" s="1227"/>
      <c r="B31" s="76" t="s">
        <v>1175</v>
      </c>
      <c r="C31" s="559" t="s">
        <v>1176</v>
      </c>
      <c r="D31" s="367"/>
      <c r="E31" s="86"/>
      <c r="F31" s="79"/>
      <c r="G31" s="79"/>
      <c r="H31" s="79"/>
      <c r="I31" s="79"/>
      <c r="J31" s="79"/>
      <c r="K31" s="79"/>
      <c r="L31" s="79"/>
      <c r="M31" s="79"/>
      <c r="N31" s="79"/>
      <c r="O31" s="79"/>
      <c r="P31" s="79"/>
      <c r="Q31" s="79"/>
      <c r="R31" s="79"/>
      <c r="S31" s="79"/>
      <c r="T31" s="79"/>
      <c r="U31" s="79"/>
      <c r="V31" s="79"/>
      <c r="W31" s="79"/>
      <c r="X31" s="79"/>
      <c r="Y31" s="79"/>
      <c r="Z31" s="489">
        <f t="shared" ref="Z31:Z32" si="14">SUM(AB31,AD31,AF31,AH31)</f>
        <v>0</v>
      </c>
      <c r="AA31" s="489">
        <f t="shared" ref="AA31:AA32" si="15">SUM(AC31,AE31,AG31,AI31)</f>
        <v>0</v>
      </c>
      <c r="AB31" s="79"/>
      <c r="AC31" s="79"/>
      <c r="AD31" s="79"/>
      <c r="AE31" s="79"/>
      <c r="AF31" s="79"/>
      <c r="AG31" s="79"/>
      <c r="AH31" s="79"/>
      <c r="AI31" s="79"/>
      <c r="AJ31" s="192">
        <f t="shared" si="13"/>
        <v>0</v>
      </c>
      <c r="AK31" s="45"/>
      <c r="AL31" s="1348"/>
      <c r="AM31" s="31"/>
      <c r="AN31" s="1336"/>
      <c r="AO31" s="13">
        <v>29</v>
      </c>
      <c r="AP31" s="81"/>
      <c r="AQ31" s="82"/>
    </row>
    <row r="32" spans="1:43" s="83" customFormat="1" ht="25.9" hidden="1" thickBot="1" x14ac:dyDescent="0.8">
      <c r="A32" s="1228"/>
      <c r="B32" s="87" t="s">
        <v>142</v>
      </c>
      <c r="C32" s="583" t="s">
        <v>143</v>
      </c>
      <c r="D32" s="365"/>
      <c r="E32" s="88"/>
      <c r="F32" s="89"/>
      <c r="G32" s="89"/>
      <c r="H32" s="89"/>
      <c r="I32" s="89"/>
      <c r="J32" s="89"/>
      <c r="K32" s="89"/>
      <c r="L32" s="89"/>
      <c r="M32" s="89"/>
      <c r="N32" s="89"/>
      <c r="O32" s="89"/>
      <c r="P32" s="89"/>
      <c r="Q32" s="89"/>
      <c r="R32" s="89"/>
      <c r="S32" s="89"/>
      <c r="T32" s="89"/>
      <c r="U32" s="89"/>
      <c r="V32" s="89"/>
      <c r="W32" s="89"/>
      <c r="X32" s="89"/>
      <c r="Y32" s="89"/>
      <c r="Z32" s="489">
        <f t="shared" si="14"/>
        <v>0</v>
      </c>
      <c r="AA32" s="489">
        <f t="shared" si="15"/>
        <v>0</v>
      </c>
      <c r="AB32" s="89"/>
      <c r="AC32" s="89"/>
      <c r="AD32" s="89"/>
      <c r="AE32" s="89"/>
      <c r="AF32" s="89"/>
      <c r="AG32" s="89"/>
      <c r="AH32" s="89"/>
      <c r="AI32" s="89"/>
      <c r="AJ32" s="192">
        <f t="shared" ref="AJ32" si="16">SUM(D32:AA32)</f>
        <v>0</v>
      </c>
      <c r="AK32" s="582"/>
      <c r="AL32" s="1348"/>
      <c r="AM32" s="31"/>
      <c r="AN32" s="1336"/>
      <c r="AO32" s="13">
        <v>29</v>
      </c>
      <c r="AP32" s="81"/>
      <c r="AQ32" s="82"/>
    </row>
    <row r="33" spans="1:43" s="83" customFormat="1" ht="25.5" hidden="1" x14ac:dyDescent="0.75">
      <c r="A33" s="1132" t="s">
        <v>13</v>
      </c>
      <c r="B33" s="288" t="s">
        <v>146</v>
      </c>
      <c r="C33" s="558" t="s">
        <v>145</v>
      </c>
      <c r="D33" s="286"/>
      <c r="E33" s="93"/>
      <c r="F33" s="94"/>
      <c r="G33" s="94"/>
      <c r="H33" s="94"/>
      <c r="I33" s="94"/>
      <c r="J33" s="94"/>
      <c r="K33" s="94"/>
      <c r="L33" s="94"/>
      <c r="M33" s="94"/>
      <c r="N33" s="94"/>
      <c r="O33" s="94"/>
      <c r="P33" s="94"/>
      <c r="Q33" s="94"/>
      <c r="R33" s="94"/>
      <c r="S33" s="94"/>
      <c r="T33" s="94"/>
      <c r="U33" s="94"/>
      <c r="V33" s="94"/>
      <c r="W33" s="94"/>
      <c r="X33" s="94"/>
      <c r="Y33" s="94"/>
      <c r="Z33" s="489">
        <f t="shared" ref="Z33:Z34" si="17">SUM(AB33,AD33,AF33,AH33)</f>
        <v>0</v>
      </c>
      <c r="AA33" s="489">
        <f t="shared" ref="AA33:AA34" si="18">SUM(AC33,AE33,AG33,AI33)</f>
        <v>0</v>
      </c>
      <c r="AB33" s="94"/>
      <c r="AC33" s="310"/>
      <c r="AD33" s="94"/>
      <c r="AE33" s="310"/>
      <c r="AF33" s="94"/>
      <c r="AG33" s="310"/>
      <c r="AH33" s="94"/>
      <c r="AI33" s="310"/>
      <c r="AJ33" s="188">
        <f t="shared" si="13"/>
        <v>0</v>
      </c>
      <c r="AK33" s="1114"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348"/>
      <c r="AM33" s="31" t="str">
        <f>CONCATENATE(IF(AND(IFERROR((AJ34*100)/AJ33,0)&gt;10,AJ34&gt;5)," * This facility has a high positivity rate for Index Testing. Kindly confirm if this is the true reflection"&amp;CHAR(10),""),"")</f>
        <v/>
      </c>
      <c r="AN33" s="1336"/>
      <c r="AO33" s="13">
        <v>30</v>
      </c>
      <c r="AP33" s="81"/>
      <c r="AQ33" s="82"/>
    </row>
    <row r="34" spans="1:43" s="83" customFormat="1" ht="25.9" hidden="1" thickBot="1" x14ac:dyDescent="0.8">
      <c r="A34" s="1134"/>
      <c r="B34" s="289" t="s">
        <v>138</v>
      </c>
      <c r="C34" s="560" t="s">
        <v>147</v>
      </c>
      <c r="D34" s="287"/>
      <c r="E34" s="96"/>
      <c r="F34" s="97"/>
      <c r="G34" s="97"/>
      <c r="H34" s="97"/>
      <c r="I34" s="97"/>
      <c r="J34" s="97"/>
      <c r="K34" s="97"/>
      <c r="L34" s="97"/>
      <c r="M34" s="97"/>
      <c r="N34" s="97"/>
      <c r="O34" s="97"/>
      <c r="P34" s="97"/>
      <c r="Q34" s="97"/>
      <c r="R34" s="97"/>
      <c r="S34" s="97"/>
      <c r="T34" s="97"/>
      <c r="U34" s="97"/>
      <c r="V34" s="97"/>
      <c r="W34" s="97"/>
      <c r="X34" s="97"/>
      <c r="Y34" s="97"/>
      <c r="Z34" s="489">
        <f t="shared" si="17"/>
        <v>0</v>
      </c>
      <c r="AA34" s="489">
        <f t="shared" si="18"/>
        <v>0</v>
      </c>
      <c r="AB34" s="97"/>
      <c r="AC34" s="311"/>
      <c r="AD34" s="97"/>
      <c r="AE34" s="311"/>
      <c r="AF34" s="97"/>
      <c r="AG34" s="311"/>
      <c r="AH34" s="97"/>
      <c r="AI34" s="311"/>
      <c r="AJ34" s="362">
        <f t="shared" si="13"/>
        <v>0</v>
      </c>
      <c r="AK34" s="1114"/>
      <c r="AL34" s="1348"/>
      <c r="AM34" s="31"/>
      <c r="AN34" s="1336"/>
      <c r="AO34" s="13">
        <v>31</v>
      </c>
      <c r="AP34" s="81"/>
      <c r="AQ34" s="82"/>
    </row>
    <row r="35" spans="1:43" s="83" customFormat="1" ht="25.5" hidden="1" x14ac:dyDescent="0.75">
      <c r="A35" s="1132" t="s">
        <v>14</v>
      </c>
      <c r="B35" s="91" t="s">
        <v>146</v>
      </c>
      <c r="C35" s="558" t="s">
        <v>148</v>
      </c>
      <c r="D35" s="70"/>
      <c r="E35" s="71"/>
      <c r="F35" s="72"/>
      <c r="G35" s="72"/>
      <c r="H35" s="72"/>
      <c r="I35" s="72"/>
      <c r="J35" s="72"/>
      <c r="K35" s="72"/>
      <c r="L35" s="72"/>
      <c r="M35" s="72"/>
      <c r="N35" s="72"/>
      <c r="O35" s="72"/>
      <c r="P35" s="72"/>
      <c r="Q35" s="72"/>
      <c r="R35" s="72"/>
      <c r="S35" s="72"/>
      <c r="T35" s="72"/>
      <c r="U35" s="72"/>
      <c r="V35" s="72"/>
      <c r="W35" s="72"/>
      <c r="X35" s="72"/>
      <c r="Y35" s="72"/>
      <c r="Z35" s="489">
        <f t="shared" ref="Z35:Z36" si="19">SUM(AB35,AD35,AF35,AH35)</f>
        <v>0</v>
      </c>
      <c r="AA35" s="489">
        <f t="shared" ref="AA35:AA36" si="20">SUM(AC35,AE35,AG35,AI35)</f>
        <v>0</v>
      </c>
      <c r="AB35" s="72"/>
      <c r="AC35" s="306"/>
      <c r="AD35" s="72"/>
      <c r="AE35" s="306"/>
      <c r="AF35" s="72"/>
      <c r="AG35" s="306"/>
      <c r="AH35" s="72"/>
      <c r="AI35" s="306"/>
      <c r="AJ35" s="52">
        <f t="shared" si="13"/>
        <v>0</v>
      </c>
      <c r="AK35" s="1114"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348"/>
      <c r="AM35" s="31" t="str">
        <f>CONCATENATE(IF(AND(IFERROR((AJ36*100)/AJ35,0)&gt;10,AJ36&gt;5)," * This facility has a high positivity rate for Index Testing. Kindly confirm if this is the true reflection"&amp;CHAR(10),""),"")</f>
        <v/>
      </c>
      <c r="AN35" s="1336"/>
      <c r="AO35" s="13">
        <v>32</v>
      </c>
      <c r="AP35" s="81"/>
      <c r="AQ35" s="82"/>
    </row>
    <row r="36" spans="1:43" s="83" customFormat="1" ht="25.9" hidden="1" thickBot="1" x14ac:dyDescent="0.8">
      <c r="A36" s="1134"/>
      <c r="B36" s="95" t="s">
        <v>138</v>
      </c>
      <c r="C36" s="560" t="s">
        <v>149</v>
      </c>
      <c r="D36" s="100"/>
      <c r="E36" s="101"/>
      <c r="F36" s="97"/>
      <c r="G36" s="97"/>
      <c r="H36" s="97"/>
      <c r="I36" s="97"/>
      <c r="J36" s="97"/>
      <c r="K36" s="97"/>
      <c r="L36" s="97"/>
      <c r="M36" s="97"/>
      <c r="N36" s="97"/>
      <c r="O36" s="97"/>
      <c r="P36" s="97"/>
      <c r="Q36" s="97"/>
      <c r="R36" s="97"/>
      <c r="S36" s="97"/>
      <c r="T36" s="97"/>
      <c r="U36" s="97"/>
      <c r="V36" s="97"/>
      <c r="W36" s="97"/>
      <c r="X36" s="97"/>
      <c r="Y36" s="97"/>
      <c r="Z36" s="489">
        <f t="shared" si="19"/>
        <v>0</v>
      </c>
      <c r="AA36" s="489">
        <f t="shared" si="20"/>
        <v>0</v>
      </c>
      <c r="AB36" s="97"/>
      <c r="AC36" s="311"/>
      <c r="AD36" s="97"/>
      <c r="AE36" s="311"/>
      <c r="AF36" s="97"/>
      <c r="AG36" s="311"/>
      <c r="AH36" s="97"/>
      <c r="AI36" s="311"/>
      <c r="AJ36" s="362">
        <f t="shared" si="13"/>
        <v>0</v>
      </c>
      <c r="AK36" s="1114"/>
      <c r="AL36" s="1348"/>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336"/>
      <c r="AO36" s="13">
        <v>33</v>
      </c>
      <c r="AP36" s="81"/>
      <c r="AQ36" s="82"/>
    </row>
    <row r="37" spans="1:43" ht="25.5" hidden="1" x14ac:dyDescent="0.75">
      <c r="A37" s="1132" t="s">
        <v>15</v>
      </c>
      <c r="B37" s="91" t="s">
        <v>146</v>
      </c>
      <c r="C37" s="558" t="s">
        <v>150</v>
      </c>
      <c r="D37" s="98"/>
      <c r="E37" s="99"/>
      <c r="F37" s="94"/>
      <c r="G37" s="94"/>
      <c r="H37" s="99"/>
      <c r="I37" s="99"/>
      <c r="J37" s="99"/>
      <c r="K37" s="99"/>
      <c r="L37" s="99"/>
      <c r="M37" s="99"/>
      <c r="N37" s="99"/>
      <c r="O37" s="99"/>
      <c r="P37" s="99"/>
      <c r="Q37" s="99"/>
      <c r="R37" s="99"/>
      <c r="S37" s="99"/>
      <c r="T37" s="99"/>
      <c r="U37" s="99"/>
      <c r="V37" s="99"/>
      <c r="W37" s="99"/>
      <c r="X37" s="99"/>
      <c r="Y37" s="99"/>
      <c r="Z37" s="99"/>
      <c r="AA37" s="312"/>
      <c r="AB37" s="99"/>
      <c r="AC37" s="312"/>
      <c r="AD37" s="99"/>
      <c r="AE37" s="312"/>
      <c r="AF37" s="99"/>
      <c r="AG37" s="312"/>
      <c r="AH37" s="99"/>
      <c r="AI37" s="312"/>
      <c r="AJ37" s="188">
        <f t="shared" si="13"/>
        <v>0</v>
      </c>
      <c r="AK37" s="1114"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348"/>
      <c r="AM37" s="31" t="str">
        <f>CONCATENATE(IF(AND(IFERROR((AJ38*100)/AJ37,0)&gt;10,AJ38&gt;5)," * This facility has a high positivity rate for Index Testing. Kindly confirm if this is the true reflection"&amp;CHAR(10),""),"")</f>
        <v/>
      </c>
      <c r="AN37" s="1336"/>
      <c r="AO37" s="13">
        <v>34</v>
      </c>
      <c r="AP37" s="74"/>
      <c r="AQ37" s="75"/>
    </row>
    <row r="38" spans="1:43" ht="25.9" hidden="1" thickBot="1" x14ac:dyDescent="0.8">
      <c r="A38" s="1134"/>
      <c r="B38" s="95" t="s">
        <v>138</v>
      </c>
      <c r="C38" s="560" t="s">
        <v>151</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13"/>
      <c r="AB38" s="102"/>
      <c r="AC38" s="313"/>
      <c r="AD38" s="102"/>
      <c r="AE38" s="313"/>
      <c r="AF38" s="102"/>
      <c r="AG38" s="313"/>
      <c r="AH38" s="102"/>
      <c r="AI38" s="313"/>
      <c r="AJ38" s="362">
        <f t="shared" si="13"/>
        <v>0</v>
      </c>
      <c r="AK38" s="1114"/>
      <c r="AL38" s="1348"/>
      <c r="AM38" s="31"/>
      <c r="AN38" s="1336"/>
      <c r="AO38" s="13">
        <v>35</v>
      </c>
      <c r="AP38" s="74"/>
      <c r="AQ38" s="75"/>
    </row>
    <row r="39" spans="1:43" ht="25.5" hidden="1" x14ac:dyDescent="0.75">
      <c r="A39" s="1132" t="s">
        <v>416</v>
      </c>
      <c r="B39" s="91" t="s">
        <v>146</v>
      </c>
      <c r="C39" s="558" t="s">
        <v>152</v>
      </c>
      <c r="D39" s="98"/>
      <c r="E39" s="99"/>
      <c r="F39" s="94"/>
      <c r="G39" s="94"/>
      <c r="H39" s="99"/>
      <c r="I39" s="99"/>
      <c r="J39" s="99"/>
      <c r="K39" s="99"/>
      <c r="L39" s="99"/>
      <c r="M39" s="99"/>
      <c r="N39" s="99"/>
      <c r="O39" s="99"/>
      <c r="P39" s="99"/>
      <c r="Q39" s="99"/>
      <c r="R39" s="99"/>
      <c r="S39" s="99"/>
      <c r="T39" s="99"/>
      <c r="U39" s="99"/>
      <c r="V39" s="99"/>
      <c r="W39" s="99"/>
      <c r="X39" s="99"/>
      <c r="Y39" s="99"/>
      <c r="Z39" s="99"/>
      <c r="AA39" s="312"/>
      <c r="AB39" s="99"/>
      <c r="AC39" s="312"/>
      <c r="AD39" s="99"/>
      <c r="AE39" s="312"/>
      <c r="AF39" s="99"/>
      <c r="AG39" s="312"/>
      <c r="AH39" s="99"/>
      <c r="AI39" s="312"/>
      <c r="AJ39" s="188">
        <f t="shared" si="13"/>
        <v>0</v>
      </c>
      <c r="AK39" s="1114"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348"/>
      <c r="AM39" s="31" t="str">
        <f>CONCATENATE(IF(AND(IFERROR((AJ40*100)/AJ39,0)&gt;10,AJ40&gt;5)," * This facility has a high positivity rate for Index Testing. Kindly confirm if this is the true reflection"&amp;CHAR(10),""),"")</f>
        <v/>
      </c>
      <c r="AN39" s="1336"/>
      <c r="AO39" s="13">
        <v>36</v>
      </c>
      <c r="AP39" s="74"/>
      <c r="AQ39" s="75"/>
    </row>
    <row r="40" spans="1:43" ht="25.9" hidden="1" thickBot="1" x14ac:dyDescent="0.8">
      <c r="A40" s="1134"/>
      <c r="B40" s="95" t="s">
        <v>138</v>
      </c>
      <c r="C40" s="560" t="s">
        <v>153</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13"/>
      <c r="AB40" s="102"/>
      <c r="AC40" s="313"/>
      <c r="AD40" s="102"/>
      <c r="AE40" s="313"/>
      <c r="AF40" s="102"/>
      <c r="AG40" s="313"/>
      <c r="AH40" s="102"/>
      <c r="AI40" s="313"/>
      <c r="AJ40" s="362">
        <f t="shared" si="13"/>
        <v>0</v>
      </c>
      <c r="AK40" s="1114"/>
      <c r="AL40" s="1348"/>
      <c r="AM40" s="31"/>
      <c r="AN40" s="1336"/>
      <c r="AO40" s="13">
        <v>37</v>
      </c>
      <c r="AP40" s="74"/>
      <c r="AQ40" s="75"/>
    </row>
    <row r="41" spans="1:43" ht="25.5" hidden="1" x14ac:dyDescent="0.75">
      <c r="A41" s="1132" t="s">
        <v>16</v>
      </c>
      <c r="B41" s="91" t="s">
        <v>146</v>
      </c>
      <c r="C41" s="558" t="s">
        <v>154</v>
      </c>
      <c r="D41" s="286"/>
      <c r="E41" s="93"/>
      <c r="F41" s="94"/>
      <c r="G41" s="94"/>
      <c r="H41" s="94"/>
      <c r="I41" s="94"/>
      <c r="J41" s="94"/>
      <c r="K41" s="94"/>
      <c r="L41" s="94"/>
      <c r="M41" s="94"/>
      <c r="N41" s="94"/>
      <c r="O41" s="94"/>
      <c r="P41" s="94"/>
      <c r="Q41" s="94"/>
      <c r="R41" s="94"/>
      <c r="S41" s="94"/>
      <c r="T41" s="94"/>
      <c r="U41" s="94"/>
      <c r="V41" s="94"/>
      <c r="W41" s="94"/>
      <c r="X41" s="94"/>
      <c r="Y41" s="94"/>
      <c r="Z41" s="489">
        <f t="shared" ref="Z41:Z43" si="21">SUM(AB41,AD41,AF41,AH41)</f>
        <v>0</v>
      </c>
      <c r="AA41" s="489">
        <f t="shared" ref="AA41:AA43" si="22">SUM(AC41,AE41,AG41,AI41)</f>
        <v>0</v>
      </c>
      <c r="AB41" s="94"/>
      <c r="AC41" s="310"/>
      <c r="AD41" s="94"/>
      <c r="AE41" s="310"/>
      <c r="AF41" s="94"/>
      <c r="AG41" s="310"/>
      <c r="AH41" s="94"/>
      <c r="AI41" s="310"/>
      <c r="AJ41" s="188">
        <f t="shared" si="13"/>
        <v>0</v>
      </c>
      <c r="AK41" s="1114"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348"/>
      <c r="AM41" s="31" t="str">
        <f>CONCATENATE(IF(AND(IFERROR((AJ42*100)/AJ41,0)&gt;10,AJ42&gt;5)," * This facility has a high positivity rate for Index Testing. Kindly confirm if this is the true reflection"&amp;CHAR(10),""),"")</f>
        <v/>
      </c>
      <c r="AN41" s="1336"/>
      <c r="AO41" s="13">
        <v>38</v>
      </c>
      <c r="AP41" s="74"/>
      <c r="AQ41" s="75"/>
    </row>
    <row r="42" spans="1:43" ht="25.9" hidden="1" thickBot="1" x14ac:dyDescent="0.8">
      <c r="A42" s="1134"/>
      <c r="B42" s="95" t="s">
        <v>138</v>
      </c>
      <c r="C42" s="560" t="s">
        <v>155</v>
      </c>
      <c r="D42" s="365"/>
      <c r="E42" s="88"/>
      <c r="F42" s="97"/>
      <c r="G42" s="97"/>
      <c r="H42" s="97"/>
      <c r="I42" s="97"/>
      <c r="J42" s="97"/>
      <c r="K42" s="97"/>
      <c r="L42" s="97"/>
      <c r="M42" s="97"/>
      <c r="N42" s="97"/>
      <c r="O42" s="97"/>
      <c r="P42" s="97"/>
      <c r="Q42" s="97"/>
      <c r="R42" s="97"/>
      <c r="S42" s="97"/>
      <c r="T42" s="97"/>
      <c r="U42" s="97"/>
      <c r="V42" s="97"/>
      <c r="W42" s="97"/>
      <c r="X42" s="97"/>
      <c r="Y42" s="97"/>
      <c r="Z42" s="489">
        <f t="shared" si="21"/>
        <v>0</v>
      </c>
      <c r="AA42" s="489">
        <f t="shared" si="22"/>
        <v>0</v>
      </c>
      <c r="AB42" s="97"/>
      <c r="AC42" s="311"/>
      <c r="AD42" s="97"/>
      <c r="AE42" s="311"/>
      <c r="AF42" s="97"/>
      <c r="AG42" s="311"/>
      <c r="AH42" s="97"/>
      <c r="AI42" s="311"/>
      <c r="AJ42" s="362">
        <f t="shared" si="13"/>
        <v>0</v>
      </c>
      <c r="AK42" s="1114"/>
      <c r="AL42" s="1348"/>
      <c r="AM42" s="31"/>
      <c r="AN42" s="1336"/>
      <c r="AO42" s="13">
        <v>39</v>
      </c>
      <c r="AP42" s="74"/>
      <c r="AQ42" s="75"/>
    </row>
    <row r="43" spans="1:43" ht="42.75" hidden="1" customHeight="1" x14ac:dyDescent="0.75">
      <c r="A43" s="1132" t="s">
        <v>1304</v>
      </c>
      <c r="B43" s="91" t="s">
        <v>146</v>
      </c>
      <c r="C43" s="558" t="s">
        <v>323</v>
      </c>
      <c r="D43" s="286"/>
      <c r="E43" s="93"/>
      <c r="F43" s="104">
        <f>F426</f>
        <v>0</v>
      </c>
      <c r="G43" s="104">
        <f t="shared" ref="G43:Y43" si="23">G426</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489">
        <f t="shared" si="21"/>
        <v>0</v>
      </c>
      <c r="AA43" s="489">
        <f t="shared" si="22"/>
        <v>0</v>
      </c>
      <c r="AB43" s="104">
        <f t="shared" ref="AB43:AI43" si="24">AB426</f>
        <v>0</v>
      </c>
      <c r="AC43" s="314">
        <f t="shared" si="24"/>
        <v>0</v>
      </c>
      <c r="AD43" s="104">
        <f t="shared" si="24"/>
        <v>0</v>
      </c>
      <c r="AE43" s="314">
        <f t="shared" si="24"/>
        <v>0</v>
      </c>
      <c r="AF43" s="104">
        <f t="shared" si="24"/>
        <v>0</v>
      </c>
      <c r="AG43" s="314">
        <f t="shared" si="24"/>
        <v>0</v>
      </c>
      <c r="AH43" s="104">
        <f t="shared" si="24"/>
        <v>0</v>
      </c>
      <c r="AI43" s="314">
        <f t="shared" si="24"/>
        <v>0</v>
      </c>
      <c r="AJ43" s="188">
        <f t="shared" si="13"/>
        <v>0</v>
      </c>
      <c r="AK43" s="1114"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348"/>
      <c r="AM43" s="31" t="str">
        <f>CONCATENATE(IF(AND(IFERROR((AJ44*100)/AJ43,0)&gt;10,AJ44&gt;5)," * This facility has a high positivity rate for Index Testing. Kindly confirm if this is the true reflection"&amp;CHAR(10),""),"")</f>
        <v/>
      </c>
      <c r="AN43" s="1336"/>
      <c r="AO43" s="13">
        <v>40</v>
      </c>
      <c r="AP43" s="74"/>
      <c r="AQ43" s="75"/>
    </row>
    <row r="44" spans="1:43" ht="41.25" hidden="1" customHeight="1" thickBot="1" x14ac:dyDescent="0.8">
      <c r="A44" s="1134"/>
      <c r="B44" s="95" t="s">
        <v>138</v>
      </c>
      <c r="C44" s="560" t="s">
        <v>156</v>
      </c>
      <c r="D44" s="365"/>
      <c r="E44" s="88"/>
      <c r="F44" s="105">
        <f>F428</f>
        <v>0</v>
      </c>
      <c r="G44" s="105">
        <f t="shared" ref="G44:Y44" si="25">G428</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489">
        <f t="shared" ref="Z44:Z48" si="26">SUM(AB44,AD44,AF44,AH44)</f>
        <v>0</v>
      </c>
      <c r="AA44" s="489">
        <f t="shared" ref="AA44:AA48" si="27">SUM(AC44,AE44,AG44,AI44)</f>
        <v>0</v>
      </c>
      <c r="AB44" s="105">
        <f t="shared" ref="AB44:AI44" si="28">AB428</f>
        <v>0</v>
      </c>
      <c r="AC44" s="315">
        <f t="shared" si="28"/>
        <v>0</v>
      </c>
      <c r="AD44" s="105">
        <f t="shared" si="28"/>
        <v>0</v>
      </c>
      <c r="AE44" s="315">
        <f t="shared" si="28"/>
        <v>0</v>
      </c>
      <c r="AF44" s="105">
        <f t="shared" si="28"/>
        <v>0</v>
      </c>
      <c r="AG44" s="315">
        <f t="shared" si="28"/>
        <v>0</v>
      </c>
      <c r="AH44" s="105">
        <f t="shared" si="28"/>
        <v>0</v>
      </c>
      <c r="AI44" s="315">
        <f t="shared" si="28"/>
        <v>0</v>
      </c>
      <c r="AJ44" s="362">
        <f t="shared" si="13"/>
        <v>0</v>
      </c>
      <c r="AK44" s="1114"/>
      <c r="AL44" s="1348"/>
      <c r="AM44" s="31"/>
      <c r="AN44" s="1336"/>
      <c r="AO44" s="13">
        <v>41</v>
      </c>
      <c r="AP44" s="74"/>
      <c r="AQ44" s="75"/>
    </row>
    <row r="45" spans="1:43" ht="25.5" hidden="1" x14ac:dyDescent="0.75">
      <c r="A45" s="1132" t="s">
        <v>22</v>
      </c>
      <c r="B45" s="91" t="s">
        <v>146</v>
      </c>
      <c r="C45" s="558" t="s">
        <v>157</v>
      </c>
      <c r="D45" s="134"/>
      <c r="E45" s="99"/>
      <c r="F45" s="94"/>
      <c r="G45" s="94"/>
      <c r="H45" s="94"/>
      <c r="I45" s="94"/>
      <c r="J45" s="94"/>
      <c r="K45" s="94"/>
      <c r="L45" s="94"/>
      <c r="M45" s="94"/>
      <c r="N45" s="94"/>
      <c r="O45" s="94"/>
      <c r="P45" s="94"/>
      <c r="Q45" s="94"/>
      <c r="R45" s="94"/>
      <c r="S45" s="94"/>
      <c r="T45" s="94"/>
      <c r="U45" s="94"/>
      <c r="V45" s="94"/>
      <c r="W45" s="94"/>
      <c r="X45" s="94"/>
      <c r="Y45" s="94"/>
      <c r="Z45" s="489">
        <f t="shared" si="26"/>
        <v>0</v>
      </c>
      <c r="AA45" s="489">
        <f t="shared" si="27"/>
        <v>0</v>
      </c>
      <c r="AB45" s="94"/>
      <c r="AC45" s="310"/>
      <c r="AD45" s="94"/>
      <c r="AE45" s="310"/>
      <c r="AF45" s="94"/>
      <c r="AG45" s="310"/>
      <c r="AH45" s="94"/>
      <c r="AI45" s="310"/>
      <c r="AJ45" s="188">
        <f t="shared" si="13"/>
        <v>0</v>
      </c>
      <c r="AK45" s="1114"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348"/>
      <c r="AM45" s="31" t="str">
        <f>CONCATENATE(IF(AND(IFERROR((AJ46*100)/AJ45,0)&gt;10,AJ46&gt;5)," * This facility has a high positivity rate for Index Testing. Kindly confirm if this is the true reflection"&amp;CHAR(10),""),"")</f>
        <v/>
      </c>
      <c r="AN45" s="1336"/>
      <c r="AO45" s="13">
        <v>42</v>
      </c>
      <c r="AP45" s="74"/>
      <c r="AQ45" s="75"/>
    </row>
    <row r="46" spans="1:43" ht="25.9" hidden="1" thickBot="1" x14ac:dyDescent="0.8">
      <c r="A46" s="1134"/>
      <c r="B46" s="95" t="s">
        <v>138</v>
      </c>
      <c r="C46" s="560" t="s">
        <v>158</v>
      </c>
      <c r="D46" s="119"/>
      <c r="E46" s="102"/>
      <c r="F46" s="97"/>
      <c r="G46" s="97"/>
      <c r="H46" s="97"/>
      <c r="I46" s="97"/>
      <c r="J46" s="97"/>
      <c r="K46" s="97"/>
      <c r="L46" s="97"/>
      <c r="M46" s="97"/>
      <c r="N46" s="97"/>
      <c r="O46" s="97"/>
      <c r="P46" s="97"/>
      <c r="Q46" s="97"/>
      <c r="R46" s="97"/>
      <c r="S46" s="97"/>
      <c r="T46" s="97"/>
      <c r="U46" s="97"/>
      <c r="V46" s="97"/>
      <c r="W46" s="97"/>
      <c r="X46" s="97"/>
      <c r="Y46" s="97"/>
      <c r="Z46" s="489">
        <f t="shared" si="26"/>
        <v>0</v>
      </c>
      <c r="AA46" s="489">
        <f t="shared" si="27"/>
        <v>0</v>
      </c>
      <c r="AB46" s="97"/>
      <c r="AC46" s="311"/>
      <c r="AD46" s="97"/>
      <c r="AE46" s="311"/>
      <c r="AF46" s="97"/>
      <c r="AG46" s="311"/>
      <c r="AH46" s="97"/>
      <c r="AI46" s="311"/>
      <c r="AJ46" s="362">
        <f t="shared" si="13"/>
        <v>0</v>
      </c>
      <c r="AK46" s="1114"/>
      <c r="AL46" s="1348"/>
      <c r="AM46" s="31"/>
      <c r="AN46" s="1336"/>
      <c r="AO46" s="13">
        <v>43</v>
      </c>
      <c r="AP46" s="74"/>
      <c r="AQ46" s="75"/>
    </row>
    <row r="47" spans="1:43" ht="29.25" hidden="1" customHeight="1" x14ac:dyDescent="0.75">
      <c r="A47" s="1132" t="s">
        <v>18</v>
      </c>
      <c r="B47" s="91" t="s">
        <v>146</v>
      </c>
      <c r="C47" s="558" t="s">
        <v>159</v>
      </c>
      <c r="D47" s="286"/>
      <c r="E47" s="93"/>
      <c r="F47" s="99"/>
      <c r="G47" s="99"/>
      <c r="H47" s="99"/>
      <c r="I47" s="99"/>
      <c r="J47" s="99"/>
      <c r="K47" s="99"/>
      <c r="L47" s="94"/>
      <c r="M47" s="94"/>
      <c r="N47" s="94"/>
      <c r="O47" s="94"/>
      <c r="P47" s="94"/>
      <c r="Q47" s="94"/>
      <c r="R47" s="94"/>
      <c r="S47" s="94"/>
      <c r="T47" s="94"/>
      <c r="U47" s="94"/>
      <c r="V47" s="94"/>
      <c r="W47" s="94"/>
      <c r="X47" s="94"/>
      <c r="Y47" s="94"/>
      <c r="Z47" s="489">
        <f t="shared" si="26"/>
        <v>0</v>
      </c>
      <c r="AA47" s="489">
        <f t="shared" si="27"/>
        <v>0</v>
      </c>
      <c r="AB47" s="94"/>
      <c r="AC47" s="310"/>
      <c r="AD47" s="94"/>
      <c r="AE47" s="310"/>
      <c r="AF47" s="94"/>
      <c r="AG47" s="310"/>
      <c r="AH47" s="94"/>
      <c r="AI47" s="310"/>
      <c r="AJ47" s="188">
        <f t="shared" si="13"/>
        <v>0</v>
      </c>
      <c r="AK47" s="1114"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348"/>
      <c r="AM47" s="31" t="str">
        <f>CONCATENATE(IF(AND(IFERROR((AJ48*100)/AJ47,0)&gt;10,AJ48&gt;5)," * This facility has a high positivity rate for Index Testing. Kindly confirm if this is the true reflection"&amp;CHAR(10),""),"")</f>
        <v/>
      </c>
      <c r="AN47" s="1336"/>
      <c r="AO47" s="13">
        <v>44</v>
      </c>
      <c r="AP47" s="74"/>
      <c r="AQ47" s="75"/>
    </row>
    <row r="48" spans="1:43" ht="25.9" hidden="1" thickBot="1" x14ac:dyDescent="0.8">
      <c r="A48" s="1134"/>
      <c r="B48" s="95" t="s">
        <v>138</v>
      </c>
      <c r="C48" s="560" t="s">
        <v>160</v>
      </c>
      <c r="D48" s="365"/>
      <c r="E48" s="88"/>
      <c r="F48" s="102"/>
      <c r="G48" s="102"/>
      <c r="H48" s="102"/>
      <c r="I48" s="102"/>
      <c r="J48" s="102"/>
      <c r="K48" s="102"/>
      <c r="L48" s="106"/>
      <c r="M48" s="106"/>
      <c r="N48" s="106"/>
      <c r="O48" s="106"/>
      <c r="P48" s="106"/>
      <c r="Q48" s="106"/>
      <c r="R48" s="106"/>
      <c r="S48" s="106"/>
      <c r="T48" s="106"/>
      <c r="U48" s="106"/>
      <c r="V48" s="106"/>
      <c r="W48" s="106"/>
      <c r="X48" s="106"/>
      <c r="Y48" s="106"/>
      <c r="Z48" s="489">
        <f t="shared" si="26"/>
        <v>0</v>
      </c>
      <c r="AA48" s="489">
        <f t="shared" si="27"/>
        <v>0</v>
      </c>
      <c r="AB48" s="106"/>
      <c r="AC48" s="316"/>
      <c r="AD48" s="106"/>
      <c r="AE48" s="316"/>
      <c r="AF48" s="106"/>
      <c r="AG48" s="316"/>
      <c r="AH48" s="106"/>
      <c r="AI48" s="316"/>
      <c r="AJ48" s="362">
        <f t="shared" si="13"/>
        <v>0</v>
      </c>
      <c r="AK48" s="1114"/>
      <c r="AL48" s="1348"/>
      <c r="AM48" s="31"/>
      <c r="AN48" s="1336"/>
      <c r="AO48" s="13">
        <v>45</v>
      </c>
      <c r="AP48" s="74"/>
      <c r="AQ48" s="75"/>
    </row>
    <row r="49" spans="1:43" ht="27" hidden="1" customHeight="1" thickBot="1" x14ac:dyDescent="0.8">
      <c r="A49" s="1132" t="s">
        <v>101</v>
      </c>
      <c r="B49" s="91" t="s">
        <v>146</v>
      </c>
      <c r="C49" s="558" t="s">
        <v>324</v>
      </c>
      <c r="D49" s="92"/>
      <c r="E49" s="93"/>
      <c r="F49" s="99"/>
      <c r="G49" s="99"/>
      <c r="H49" s="99"/>
      <c r="I49" s="99"/>
      <c r="J49" s="99"/>
      <c r="K49" s="99"/>
      <c r="L49" s="94"/>
      <c r="M49" s="99"/>
      <c r="N49" s="94"/>
      <c r="O49" s="99"/>
      <c r="P49" s="94"/>
      <c r="Q49" s="99"/>
      <c r="R49" s="94"/>
      <c r="S49" s="99"/>
      <c r="T49" s="94"/>
      <c r="U49" s="99"/>
      <c r="V49" s="94"/>
      <c r="W49" s="99"/>
      <c r="X49" s="94"/>
      <c r="Y49" s="99"/>
      <c r="Z49" s="94"/>
      <c r="AA49" s="312"/>
      <c r="AB49" s="94"/>
      <c r="AC49" s="312"/>
      <c r="AD49" s="94"/>
      <c r="AE49" s="312"/>
      <c r="AF49" s="94"/>
      <c r="AG49" s="312"/>
      <c r="AH49" s="94"/>
      <c r="AI49" s="312"/>
      <c r="AJ49" s="188">
        <f t="shared" si="13"/>
        <v>0</v>
      </c>
      <c r="AK49" s="1114"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348"/>
      <c r="AM49" s="31" t="str">
        <f>CONCATENATE(IF(AND(IFERROR((AJ50*100)/AJ49,0)&gt;10,AJ50&gt;5)," * This facility has a high positivity rate for Index Testing. Kindly confirm if this is the true reflection"&amp;CHAR(10),""),"")</f>
        <v/>
      </c>
      <c r="AN49" s="1336"/>
      <c r="AO49" s="13">
        <v>46</v>
      </c>
      <c r="AP49" s="74"/>
      <c r="AQ49" s="75"/>
    </row>
    <row r="50" spans="1:43" ht="27" hidden="1" customHeight="1" thickBot="1" x14ac:dyDescent="0.8">
      <c r="A50" s="1134"/>
      <c r="B50" s="612" t="s">
        <v>138</v>
      </c>
      <c r="C50" s="584" t="s">
        <v>161</v>
      </c>
      <c r="D50" s="616"/>
      <c r="E50" s="617"/>
      <c r="F50" s="120"/>
      <c r="G50" s="120"/>
      <c r="H50" s="120"/>
      <c r="I50" s="120"/>
      <c r="J50" s="120"/>
      <c r="K50" s="120"/>
      <c r="L50" s="618"/>
      <c r="M50" s="120"/>
      <c r="N50" s="618"/>
      <c r="O50" s="120"/>
      <c r="P50" s="618"/>
      <c r="Q50" s="120"/>
      <c r="R50" s="618"/>
      <c r="S50" s="120"/>
      <c r="T50" s="618"/>
      <c r="U50" s="120"/>
      <c r="V50" s="618"/>
      <c r="W50" s="120"/>
      <c r="X50" s="618"/>
      <c r="Y50" s="120"/>
      <c r="Z50" s="618"/>
      <c r="AA50" s="323"/>
      <c r="AB50" s="618"/>
      <c r="AC50" s="323"/>
      <c r="AD50" s="618"/>
      <c r="AE50" s="323"/>
      <c r="AF50" s="618"/>
      <c r="AG50" s="323"/>
      <c r="AH50" s="618"/>
      <c r="AI50" s="323"/>
      <c r="AJ50" s="192">
        <f t="shared" si="13"/>
        <v>0</v>
      </c>
      <c r="AK50" s="1114"/>
      <c r="AL50" s="1348"/>
      <c r="AM50" s="31"/>
      <c r="AN50" s="1336"/>
      <c r="AO50" s="13">
        <v>47</v>
      </c>
      <c r="AP50" s="74"/>
      <c r="AQ50" s="75"/>
    </row>
    <row r="51" spans="1:43" ht="25.9" hidden="1" thickBot="1" x14ac:dyDescent="0.8">
      <c r="A51" s="1320" t="s">
        <v>1000</v>
      </c>
      <c r="B51" s="803" t="s">
        <v>132</v>
      </c>
      <c r="C51" s="980" t="s">
        <v>1177</v>
      </c>
      <c r="D51" s="623"/>
      <c r="E51" s="624"/>
      <c r="F51" s="621"/>
      <c r="G51" s="619"/>
      <c r="H51" s="619"/>
      <c r="I51" s="619"/>
      <c r="J51" s="619"/>
      <c r="K51" s="619"/>
      <c r="L51" s="619"/>
      <c r="M51" s="619"/>
      <c r="N51" s="619"/>
      <c r="O51" s="619"/>
      <c r="P51" s="619"/>
      <c r="Q51" s="619"/>
      <c r="R51" s="619"/>
      <c r="S51" s="619"/>
      <c r="T51" s="619"/>
      <c r="U51" s="619"/>
      <c r="V51" s="619"/>
      <c r="W51" s="619"/>
      <c r="X51" s="619"/>
      <c r="Y51" s="619"/>
      <c r="Z51" s="489">
        <f t="shared" ref="Z51:Z53" si="29">SUM(AB51,AD51,AF51,AH51)</f>
        <v>0</v>
      </c>
      <c r="AA51" s="489">
        <f t="shared" ref="AA51:AA53" si="30">SUM(AC51,AE51,AG51,AI51)</f>
        <v>0</v>
      </c>
      <c r="AB51" s="619"/>
      <c r="AC51" s="619"/>
      <c r="AD51" s="619"/>
      <c r="AE51" s="619"/>
      <c r="AF51" s="619"/>
      <c r="AG51" s="619"/>
      <c r="AH51" s="619"/>
      <c r="AI51" s="619"/>
      <c r="AJ51" s="188">
        <f t="shared" si="13"/>
        <v>0</v>
      </c>
      <c r="AK51" s="582"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348"/>
      <c r="AM51" s="31"/>
      <c r="AN51" s="1336"/>
      <c r="AO51" s="13"/>
      <c r="AP51" s="74"/>
      <c r="AQ51" s="75"/>
    </row>
    <row r="52" spans="1:43" ht="26.25" hidden="1" customHeight="1" x14ac:dyDescent="0.75">
      <c r="A52" s="1321"/>
      <c r="B52" s="613" t="s">
        <v>146</v>
      </c>
      <c r="C52" s="615" t="s">
        <v>1001</v>
      </c>
      <c r="D52" s="625"/>
      <c r="E52" s="473"/>
      <c r="F52" s="622"/>
      <c r="G52" s="622"/>
      <c r="H52" s="622"/>
      <c r="I52" s="622"/>
      <c r="J52" s="622"/>
      <c r="K52" s="622"/>
      <c r="L52" s="622"/>
      <c r="M52" s="622"/>
      <c r="N52" s="622"/>
      <c r="O52" s="622"/>
      <c r="P52" s="622"/>
      <c r="Q52" s="622"/>
      <c r="R52" s="622"/>
      <c r="S52" s="622"/>
      <c r="T52" s="622"/>
      <c r="U52" s="622"/>
      <c r="V52" s="622"/>
      <c r="W52" s="622"/>
      <c r="X52" s="622"/>
      <c r="Y52" s="622"/>
      <c r="Z52" s="489">
        <f t="shared" si="29"/>
        <v>0</v>
      </c>
      <c r="AA52" s="489">
        <f t="shared" si="30"/>
        <v>0</v>
      </c>
      <c r="AB52" s="622"/>
      <c r="AC52" s="622"/>
      <c r="AD52" s="622"/>
      <c r="AE52" s="622"/>
      <c r="AF52" s="622"/>
      <c r="AG52" s="622"/>
      <c r="AH52" s="622"/>
      <c r="AI52" s="622"/>
      <c r="AJ52" s="188">
        <f t="shared" si="13"/>
        <v>0</v>
      </c>
      <c r="AK52" s="29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348"/>
      <c r="AM52" s="31"/>
      <c r="AN52" s="1336"/>
      <c r="AO52" s="13"/>
      <c r="AP52" s="74"/>
      <c r="AQ52" s="75"/>
    </row>
    <row r="53" spans="1:43" ht="25.9" hidden="1" thickBot="1" x14ac:dyDescent="0.8">
      <c r="A53" s="1321"/>
      <c r="B53" s="643" t="s">
        <v>138</v>
      </c>
      <c r="C53" s="627" t="s">
        <v>1002</v>
      </c>
      <c r="D53" s="644"/>
      <c r="E53" s="645"/>
      <c r="F53" s="646"/>
      <c r="G53" s="647"/>
      <c r="H53" s="647"/>
      <c r="I53" s="647"/>
      <c r="J53" s="647"/>
      <c r="K53" s="647"/>
      <c r="L53" s="647"/>
      <c r="M53" s="647"/>
      <c r="N53" s="647"/>
      <c r="O53" s="647"/>
      <c r="P53" s="647"/>
      <c r="Q53" s="647"/>
      <c r="R53" s="647"/>
      <c r="S53" s="647"/>
      <c r="T53" s="647"/>
      <c r="U53" s="647"/>
      <c r="V53" s="647"/>
      <c r="W53" s="647"/>
      <c r="X53" s="647"/>
      <c r="Y53" s="647"/>
      <c r="Z53" s="489">
        <f t="shared" si="29"/>
        <v>0</v>
      </c>
      <c r="AA53" s="489">
        <f t="shared" si="30"/>
        <v>0</v>
      </c>
      <c r="AB53" s="647"/>
      <c r="AC53" s="647"/>
      <c r="AD53" s="647"/>
      <c r="AE53" s="647"/>
      <c r="AF53" s="647"/>
      <c r="AG53" s="647"/>
      <c r="AH53" s="647"/>
      <c r="AI53" s="647"/>
      <c r="AJ53" s="362">
        <f t="shared" si="13"/>
        <v>0</v>
      </c>
      <c r="AK53" s="296"/>
      <c r="AL53" s="1348"/>
      <c r="AM53" s="31"/>
      <c r="AN53" s="1336"/>
      <c r="AO53" s="13"/>
      <c r="AP53" s="74"/>
      <c r="AQ53" s="75"/>
    </row>
    <row r="54" spans="1:43" s="8" customFormat="1" ht="25.5" hidden="1" x14ac:dyDescent="0.75">
      <c r="A54" s="1318" t="s">
        <v>1183</v>
      </c>
      <c r="B54" s="648" t="s">
        <v>604</v>
      </c>
      <c r="C54" s="807" t="s">
        <v>325</v>
      </c>
      <c r="D54" s="810">
        <f>SUM(D27+D33+D35+D37+D39+D41+D43+D45+D47+D49+D52)</f>
        <v>0</v>
      </c>
      <c r="E54" s="811">
        <f t="shared" ref="E54:X54" si="31">SUM(E27+E33+E35+E37+E39+E41+E43+E45+E47+E49+E52)</f>
        <v>0</v>
      </c>
      <c r="F54" s="811">
        <f t="shared" si="31"/>
        <v>0</v>
      </c>
      <c r="G54" s="811">
        <f t="shared" si="31"/>
        <v>0</v>
      </c>
      <c r="H54" s="811">
        <f t="shared" si="31"/>
        <v>0</v>
      </c>
      <c r="I54" s="811">
        <f t="shared" si="31"/>
        <v>0</v>
      </c>
      <c r="J54" s="811">
        <f t="shared" si="31"/>
        <v>0</v>
      </c>
      <c r="K54" s="811">
        <f t="shared" si="31"/>
        <v>0</v>
      </c>
      <c r="L54" s="811">
        <f t="shared" si="31"/>
        <v>0</v>
      </c>
      <c r="M54" s="811">
        <f t="shared" si="31"/>
        <v>0</v>
      </c>
      <c r="N54" s="811">
        <f t="shared" si="31"/>
        <v>0</v>
      </c>
      <c r="O54" s="811">
        <f t="shared" si="31"/>
        <v>0</v>
      </c>
      <c r="P54" s="811">
        <f t="shared" si="31"/>
        <v>0</v>
      </c>
      <c r="Q54" s="811">
        <f t="shared" si="31"/>
        <v>0</v>
      </c>
      <c r="R54" s="811">
        <f t="shared" si="31"/>
        <v>0</v>
      </c>
      <c r="S54" s="811">
        <f t="shared" si="31"/>
        <v>0</v>
      </c>
      <c r="T54" s="811">
        <f t="shared" si="31"/>
        <v>0</v>
      </c>
      <c r="U54" s="811">
        <f t="shared" si="31"/>
        <v>0</v>
      </c>
      <c r="V54" s="811">
        <f t="shared" si="31"/>
        <v>0</v>
      </c>
      <c r="W54" s="811">
        <f t="shared" si="31"/>
        <v>0</v>
      </c>
      <c r="X54" s="811">
        <f t="shared" si="31"/>
        <v>0</v>
      </c>
      <c r="Y54" s="811">
        <f t="shared" ref="Y54:AH54" si="32">SUM(Y27+Y33+Y35+Y37+Y39+Y41+Y43+Y45+Y47+Y49+Y52)</f>
        <v>0</v>
      </c>
      <c r="Z54" s="811">
        <f t="shared" si="32"/>
        <v>0</v>
      </c>
      <c r="AA54" s="811">
        <f t="shared" si="32"/>
        <v>0</v>
      </c>
      <c r="AB54" s="811">
        <f t="shared" si="32"/>
        <v>0</v>
      </c>
      <c r="AC54" s="811">
        <f t="shared" si="32"/>
        <v>0</v>
      </c>
      <c r="AD54" s="811">
        <f t="shared" si="32"/>
        <v>0</v>
      </c>
      <c r="AE54" s="811">
        <f t="shared" si="32"/>
        <v>0</v>
      </c>
      <c r="AF54" s="811">
        <f t="shared" si="32"/>
        <v>0</v>
      </c>
      <c r="AG54" s="811">
        <f t="shared" si="32"/>
        <v>0</v>
      </c>
      <c r="AH54" s="811">
        <f t="shared" si="32"/>
        <v>0</v>
      </c>
      <c r="AI54" s="812">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348"/>
      <c r="AM54" s="108" t="str">
        <f>CONCATENATE(IF(AJ346&gt;SUM(AJ28,AJ34,AJ36,AJ38,AJ40,AJ42,AJ44,AJ46,AJ48,AJ50,AJ295,AJ299,AJ303,AJ307)," * This site has more started on ART than positives"&amp;CHAR(10),""),"")</f>
        <v/>
      </c>
      <c r="AN54" s="1336"/>
      <c r="AO54" s="13">
        <v>48</v>
      </c>
      <c r="AP54" s="109"/>
      <c r="AQ54" s="110"/>
    </row>
    <row r="55" spans="1:43" s="114" customFormat="1" ht="25.9" hidden="1" thickBot="1" x14ac:dyDescent="0.8">
      <c r="A55" s="1319"/>
      <c r="B55" s="650" t="s">
        <v>613</v>
      </c>
      <c r="C55" s="808" t="s">
        <v>326</v>
      </c>
      <c r="D55" s="813">
        <f>SUM(D28+D34+D36+D38+D40+D42+D44+D46+D48+D50+D53)</f>
        <v>0</v>
      </c>
      <c r="E55" s="814">
        <f t="shared" ref="E55:X55" si="34">SUM(E28+E34+E36+E38+E40+E42+E44+E46+E48+E50+E53)</f>
        <v>0</v>
      </c>
      <c r="F55" s="814">
        <f t="shared" si="34"/>
        <v>0</v>
      </c>
      <c r="G55" s="814">
        <f t="shared" si="34"/>
        <v>0</v>
      </c>
      <c r="H55" s="814">
        <f t="shared" si="34"/>
        <v>0</v>
      </c>
      <c r="I55" s="814">
        <f t="shared" si="34"/>
        <v>0</v>
      </c>
      <c r="J55" s="814">
        <f t="shared" si="34"/>
        <v>0</v>
      </c>
      <c r="K55" s="814">
        <f t="shared" si="34"/>
        <v>0</v>
      </c>
      <c r="L55" s="814">
        <f t="shared" si="34"/>
        <v>0</v>
      </c>
      <c r="M55" s="814">
        <f t="shared" si="34"/>
        <v>0</v>
      </c>
      <c r="N55" s="814">
        <f t="shared" si="34"/>
        <v>0</v>
      </c>
      <c r="O55" s="814">
        <f t="shared" si="34"/>
        <v>0</v>
      </c>
      <c r="P55" s="814">
        <f t="shared" si="34"/>
        <v>0</v>
      </c>
      <c r="Q55" s="814">
        <f t="shared" si="34"/>
        <v>0</v>
      </c>
      <c r="R55" s="814">
        <f t="shared" si="34"/>
        <v>0</v>
      </c>
      <c r="S55" s="814">
        <f t="shared" si="34"/>
        <v>0</v>
      </c>
      <c r="T55" s="814">
        <f t="shared" si="34"/>
        <v>0</v>
      </c>
      <c r="U55" s="814">
        <f t="shared" si="34"/>
        <v>0</v>
      </c>
      <c r="V55" s="814">
        <f t="shared" si="34"/>
        <v>0</v>
      </c>
      <c r="W55" s="814">
        <f t="shared" si="34"/>
        <v>0</v>
      </c>
      <c r="X55" s="814">
        <f t="shared" si="34"/>
        <v>0</v>
      </c>
      <c r="Y55" s="814">
        <f t="shared" ref="Y55:AH55" si="35">SUM(Y28+Y34+Y36+Y38+Y40+Y42+Y44+Y46+Y48+Y50+Y53)</f>
        <v>0</v>
      </c>
      <c r="Z55" s="814">
        <f t="shared" si="35"/>
        <v>0</v>
      </c>
      <c r="AA55" s="814">
        <f t="shared" si="35"/>
        <v>0</v>
      </c>
      <c r="AB55" s="814">
        <f t="shared" si="35"/>
        <v>0</v>
      </c>
      <c r="AC55" s="814">
        <f t="shared" si="35"/>
        <v>0</v>
      </c>
      <c r="AD55" s="814">
        <f t="shared" si="35"/>
        <v>0</v>
      </c>
      <c r="AE55" s="814">
        <f t="shared" si="35"/>
        <v>0</v>
      </c>
      <c r="AF55" s="814">
        <f t="shared" si="35"/>
        <v>0</v>
      </c>
      <c r="AG55" s="814">
        <f t="shared" si="35"/>
        <v>0</v>
      </c>
      <c r="AH55" s="814">
        <f t="shared" si="35"/>
        <v>0</v>
      </c>
      <c r="AI55" s="815">
        <f t="shared" ref="AI55" si="36">SUM(AI28+AI34+AI36+AI38+AI40+AI42+AI44+AI46+AI48+AI50+AI53)</f>
        <v>0</v>
      </c>
      <c r="AJ55" s="369">
        <f t="shared" si="13"/>
        <v>0</v>
      </c>
      <c r="AK55" s="111"/>
      <c r="AL55" s="1348"/>
      <c r="AM55" s="112" t="str">
        <f>CONCATENATE(IF(AND(AJ346=0,SUM(AJ28,AJ34,AJ36,AJ38,AJ40,AJ42,AJ44,AJ46,AJ48,AJ50,AJ295,AJ299,AJ303,AJ307)&gt;0)," * This site has positives but none was started on ART"&amp;CHAR(10),""),"")</f>
        <v/>
      </c>
      <c r="AN55" s="1337"/>
      <c r="AO55" s="13">
        <v>49</v>
      </c>
      <c r="AP55" s="113"/>
      <c r="AQ55" s="110"/>
    </row>
    <row r="56" spans="1:43" s="8" customFormat="1" ht="25.5" hidden="1" x14ac:dyDescent="0.75">
      <c r="A56" s="1318" t="s">
        <v>1184</v>
      </c>
      <c r="B56" s="804" t="s">
        <v>1185</v>
      </c>
      <c r="C56" s="807" t="s">
        <v>1187</v>
      </c>
      <c r="D56" s="809">
        <f>SUM(D27+D35+D37+D39+D41+D43+D45+D47+D49+D52+D294+D298+D300+D302+D304+D306+D308+D310+D312+D33)</f>
        <v>0</v>
      </c>
      <c r="E56" s="809">
        <f t="shared" ref="E56:AA56" si="37">SUM(E27+E35+E37+E39+E41+E43+E45+E47+E49+E52+E294+E298+E300+E302+E304+E306+E308+E310+E312+E33)</f>
        <v>0</v>
      </c>
      <c r="F56" s="809">
        <f t="shared" si="37"/>
        <v>0</v>
      </c>
      <c r="G56" s="809">
        <f t="shared" si="37"/>
        <v>0</v>
      </c>
      <c r="H56" s="809">
        <f t="shared" si="37"/>
        <v>0</v>
      </c>
      <c r="I56" s="809">
        <f t="shared" si="37"/>
        <v>0</v>
      </c>
      <c r="J56" s="809">
        <f t="shared" si="37"/>
        <v>0</v>
      </c>
      <c r="K56" s="809">
        <f t="shared" si="37"/>
        <v>0</v>
      </c>
      <c r="L56" s="809">
        <f t="shared" si="37"/>
        <v>0</v>
      </c>
      <c r="M56" s="809">
        <f t="shared" si="37"/>
        <v>0</v>
      </c>
      <c r="N56" s="809">
        <f t="shared" si="37"/>
        <v>0</v>
      </c>
      <c r="O56" s="809">
        <f t="shared" si="37"/>
        <v>0</v>
      </c>
      <c r="P56" s="809">
        <f t="shared" si="37"/>
        <v>0</v>
      </c>
      <c r="Q56" s="809">
        <f t="shared" si="37"/>
        <v>0</v>
      </c>
      <c r="R56" s="809">
        <f t="shared" si="37"/>
        <v>0</v>
      </c>
      <c r="S56" s="809">
        <f t="shared" si="37"/>
        <v>0</v>
      </c>
      <c r="T56" s="809">
        <f t="shared" si="37"/>
        <v>0</v>
      </c>
      <c r="U56" s="809">
        <f t="shared" si="37"/>
        <v>0</v>
      </c>
      <c r="V56" s="809">
        <f t="shared" si="37"/>
        <v>0</v>
      </c>
      <c r="W56" s="809">
        <f>SUM(W27+W35+W37+W39+W41+W43+W45+W47+W49+W52+W294+W298+W300+W302+W304+W306+W308+W310+W312+W33)</f>
        <v>0</v>
      </c>
      <c r="X56" s="809">
        <f t="shared" si="37"/>
        <v>0</v>
      </c>
      <c r="Y56" s="809">
        <f>SUM(Y27+Y35+Y37+Y39+Y41+Y43+Y45+Y47+Y49+Y52+Y294+Y298+Y300+Y302+Y304+Y306+Y308+Y310+Y312+Y33)</f>
        <v>0</v>
      </c>
      <c r="Z56" s="809">
        <f t="shared" si="37"/>
        <v>0</v>
      </c>
      <c r="AA56" s="809">
        <f t="shared" si="37"/>
        <v>0</v>
      </c>
      <c r="AB56" s="809">
        <f t="shared" ref="AB56:AH56" si="38">SUM(AB27+AB35+AB37+AB39+AB41+AB43+AB45+AB47+AB49+AB52+AB294+AB298+AB300+AB302+AB304+AB306+AB308+AB310+AB312+AB33)</f>
        <v>0</v>
      </c>
      <c r="AC56" s="809">
        <f t="shared" si="38"/>
        <v>0</v>
      </c>
      <c r="AD56" s="809">
        <f t="shared" si="38"/>
        <v>0</v>
      </c>
      <c r="AE56" s="809">
        <f t="shared" si="38"/>
        <v>0</v>
      </c>
      <c r="AF56" s="809">
        <f t="shared" si="38"/>
        <v>0</v>
      </c>
      <c r="AG56" s="809">
        <f t="shared" si="38"/>
        <v>0</v>
      </c>
      <c r="AH56" s="809">
        <f t="shared" si="38"/>
        <v>0</v>
      </c>
      <c r="AI56" s="809">
        <f>SUM(AI27+AI35+AI37+AI39+AI41+AI43+AI45+AI47+AI49+AI52+AI294+AI298+AI300+AI302+AI304+AI306+AI308+AI310+AI312+AI33)</f>
        <v>0</v>
      </c>
      <c r="AJ56" s="628">
        <f t="shared" ref="AJ56:AJ62" si="39">SUM(D56:AA56)</f>
        <v>0</v>
      </c>
      <c r="AK56" s="791"/>
      <c r="AL56" s="1348"/>
      <c r="AM56" s="108" t="str">
        <f>CONCATENATE(IF(AJ348&gt;SUM(AJ30,AJ36,AJ38,AJ40,AJ42,AJ44,AJ46,AJ48,AJ50,AJ52,AJ297,AJ301,AJ305,AJ309)," * This site has more started on ART than positives"&amp;CHAR(10),""),"")</f>
        <v/>
      </c>
      <c r="AN56" s="355"/>
      <c r="AO56" s="13">
        <v>48</v>
      </c>
      <c r="AP56" s="109"/>
      <c r="AQ56" s="110"/>
    </row>
    <row r="57" spans="1:43" s="114" customFormat="1" ht="25.9" hidden="1" thickBot="1" x14ac:dyDescent="0.8">
      <c r="A57" s="1319"/>
      <c r="B57" s="805" t="s">
        <v>1186</v>
      </c>
      <c r="C57" s="808" t="s">
        <v>1188</v>
      </c>
      <c r="D57" s="642">
        <f t="shared" ref="D57:AI57" si="40">SUM(D28+D34+D36+D38+D40+D42+D44+D46+D48+D50+D53+D295,D299,D301,D303,D305,D307,D309,D311,D313)</f>
        <v>0</v>
      </c>
      <c r="E57" s="642">
        <f t="shared" si="40"/>
        <v>0</v>
      </c>
      <c r="F57" s="642">
        <f t="shared" si="40"/>
        <v>0</v>
      </c>
      <c r="G57" s="642">
        <f t="shared" si="40"/>
        <v>0</v>
      </c>
      <c r="H57" s="642">
        <f t="shared" si="40"/>
        <v>0</v>
      </c>
      <c r="I57" s="642">
        <f t="shared" si="40"/>
        <v>0</v>
      </c>
      <c r="J57" s="642">
        <f t="shared" si="40"/>
        <v>0</v>
      </c>
      <c r="K57" s="642">
        <f t="shared" si="40"/>
        <v>0</v>
      </c>
      <c r="L57" s="642">
        <f t="shared" si="40"/>
        <v>0</v>
      </c>
      <c r="M57" s="642">
        <f t="shared" si="40"/>
        <v>0</v>
      </c>
      <c r="N57" s="642">
        <f t="shared" si="40"/>
        <v>0</v>
      </c>
      <c r="O57" s="642">
        <f t="shared" si="40"/>
        <v>0</v>
      </c>
      <c r="P57" s="642">
        <f t="shared" si="40"/>
        <v>0</v>
      </c>
      <c r="Q57" s="642">
        <f t="shared" si="40"/>
        <v>0</v>
      </c>
      <c r="R57" s="642">
        <f t="shared" si="40"/>
        <v>0</v>
      </c>
      <c r="S57" s="642">
        <f t="shared" si="40"/>
        <v>0</v>
      </c>
      <c r="T57" s="642">
        <f t="shared" si="40"/>
        <v>0</v>
      </c>
      <c r="U57" s="642">
        <f t="shared" si="40"/>
        <v>0</v>
      </c>
      <c r="V57" s="642">
        <f t="shared" si="40"/>
        <v>0</v>
      </c>
      <c r="W57" s="642">
        <f t="shared" si="40"/>
        <v>0</v>
      </c>
      <c r="X57" s="642">
        <f t="shared" si="40"/>
        <v>0</v>
      </c>
      <c r="Y57" s="642">
        <f t="shared" si="40"/>
        <v>0</v>
      </c>
      <c r="Z57" s="642">
        <f t="shared" si="40"/>
        <v>0</v>
      </c>
      <c r="AA57" s="642">
        <f t="shared" si="40"/>
        <v>0</v>
      </c>
      <c r="AB57" s="642">
        <f t="shared" si="40"/>
        <v>0</v>
      </c>
      <c r="AC57" s="642">
        <f t="shared" si="40"/>
        <v>0</v>
      </c>
      <c r="AD57" s="642">
        <f t="shared" si="40"/>
        <v>0</v>
      </c>
      <c r="AE57" s="642">
        <f t="shared" si="40"/>
        <v>0</v>
      </c>
      <c r="AF57" s="642">
        <f t="shared" si="40"/>
        <v>0</v>
      </c>
      <c r="AG57" s="642">
        <f t="shared" si="40"/>
        <v>0</v>
      </c>
      <c r="AH57" s="642">
        <f t="shared" si="40"/>
        <v>0</v>
      </c>
      <c r="AI57" s="642">
        <f t="shared" si="40"/>
        <v>0</v>
      </c>
      <c r="AJ57" s="629">
        <f t="shared" si="39"/>
        <v>0</v>
      </c>
      <c r="AK57" s="791"/>
      <c r="AL57" s="1349"/>
      <c r="AM57" s="112" t="str">
        <f>CONCATENATE(IF(AND(AJ348=0,SUM(AJ30,AJ36,AJ38,AJ40,AJ42,AJ44,AJ46,AJ48,AJ50,AJ52,AJ297,AJ301,AJ305,AJ309)&gt;0)," * This site has positives but none was started on ART"&amp;CHAR(10),""),"")</f>
        <v/>
      </c>
      <c r="AN57" s="355"/>
      <c r="AO57" s="13">
        <v>49</v>
      </c>
      <c r="AP57" s="113"/>
      <c r="AQ57" s="110"/>
    </row>
    <row r="58" spans="1:43" ht="25.9" hidden="1" thickBot="1" x14ac:dyDescent="0.8">
      <c r="A58" s="1334" t="s">
        <v>1199</v>
      </c>
      <c r="B58" s="1145"/>
      <c r="C58" s="1145"/>
      <c r="D58" s="1145"/>
      <c r="E58" s="1145"/>
      <c r="F58" s="1145"/>
      <c r="G58" s="1145"/>
      <c r="H58" s="1145"/>
      <c r="I58" s="1145"/>
      <c r="J58" s="1145"/>
      <c r="K58" s="1145"/>
      <c r="L58" s="1145"/>
      <c r="M58" s="1145"/>
      <c r="N58" s="1145"/>
      <c r="O58" s="1145"/>
      <c r="P58" s="1145"/>
      <c r="Q58" s="1145"/>
      <c r="R58" s="1145"/>
      <c r="S58" s="1145"/>
      <c r="T58" s="1145"/>
      <c r="U58" s="1145"/>
      <c r="V58" s="1145"/>
      <c r="W58" s="1145"/>
      <c r="X58" s="1145"/>
      <c r="Y58" s="1145"/>
      <c r="Z58" s="1145"/>
      <c r="AA58" s="1145"/>
      <c r="AB58" s="1145"/>
      <c r="AC58" s="1145"/>
      <c r="AD58" s="1145"/>
      <c r="AE58" s="1145"/>
      <c r="AF58" s="1145"/>
      <c r="AG58" s="1145"/>
      <c r="AH58" s="1145"/>
      <c r="AI58" s="1145"/>
      <c r="AJ58" s="1144"/>
      <c r="AK58" s="1145"/>
      <c r="AL58" s="1144"/>
      <c r="AM58" s="1144"/>
      <c r="AN58" s="1146"/>
      <c r="AO58" s="13">
        <v>50</v>
      </c>
      <c r="AP58" s="74"/>
      <c r="AQ58" s="75"/>
    </row>
    <row r="59" spans="1:43" ht="29.25" hidden="1" customHeight="1" x14ac:dyDescent="0.75">
      <c r="A59" s="1132" t="s">
        <v>367</v>
      </c>
      <c r="B59" s="91" t="s">
        <v>146</v>
      </c>
      <c r="C59" s="868" t="s">
        <v>1195</v>
      </c>
      <c r="D59" s="286"/>
      <c r="E59" s="93"/>
      <c r="F59" s="99"/>
      <c r="G59" s="99"/>
      <c r="H59" s="99"/>
      <c r="I59" s="99"/>
      <c r="J59" s="99"/>
      <c r="K59" s="99"/>
      <c r="L59" s="94"/>
      <c r="M59" s="94"/>
      <c r="N59" s="94"/>
      <c r="O59" s="94"/>
      <c r="P59" s="94"/>
      <c r="Q59" s="94"/>
      <c r="R59" s="94"/>
      <c r="S59" s="94"/>
      <c r="T59" s="94"/>
      <c r="U59" s="94"/>
      <c r="V59" s="94"/>
      <c r="W59" s="94"/>
      <c r="X59" s="94"/>
      <c r="Y59" s="94"/>
      <c r="Z59" s="94"/>
      <c r="AA59" s="310"/>
      <c r="AB59" s="375"/>
      <c r="AC59" s="345"/>
      <c r="AD59" s="345"/>
      <c r="AE59" s="345"/>
      <c r="AF59" s="345"/>
      <c r="AG59" s="345"/>
      <c r="AH59" s="345"/>
      <c r="AI59" s="302"/>
      <c r="AJ59" s="628">
        <f t="shared" si="39"/>
        <v>0</v>
      </c>
      <c r="AK59" s="1333"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626"/>
      <c r="AM59" s="31" t="str">
        <f>CONCATENATE(IF(AND(IFERROR((AJ60*100)/AJ59,0)&gt;10,AJ60&gt;5)," * This facility has a high positivity rate for Index Testing. Kindly confirm if this is the true reflection"&amp;CHAR(10),""),"")</f>
        <v/>
      </c>
      <c r="AN59" s="355"/>
      <c r="AO59" s="13">
        <v>44</v>
      </c>
      <c r="AP59" s="74"/>
      <c r="AQ59" s="75"/>
    </row>
    <row r="60" spans="1:43" ht="25.9" hidden="1" thickBot="1" x14ac:dyDescent="0.8">
      <c r="A60" s="1134"/>
      <c r="B60" s="95" t="s">
        <v>138</v>
      </c>
      <c r="C60" s="869" t="s">
        <v>1196</v>
      </c>
      <c r="D60" s="365"/>
      <c r="E60" s="88"/>
      <c r="F60" s="102"/>
      <c r="G60" s="102"/>
      <c r="H60" s="102"/>
      <c r="I60" s="102"/>
      <c r="J60" s="102"/>
      <c r="K60" s="102"/>
      <c r="L60" s="106"/>
      <c r="M60" s="106"/>
      <c r="N60" s="106"/>
      <c r="O60" s="106"/>
      <c r="P60" s="106"/>
      <c r="Q60" s="106"/>
      <c r="R60" s="106"/>
      <c r="S60" s="106"/>
      <c r="T60" s="106"/>
      <c r="U60" s="106"/>
      <c r="V60" s="106"/>
      <c r="W60" s="106"/>
      <c r="X60" s="106"/>
      <c r="Y60" s="106"/>
      <c r="Z60" s="106"/>
      <c r="AA60" s="316"/>
      <c r="AB60" s="375"/>
      <c r="AC60" s="345"/>
      <c r="AD60" s="345"/>
      <c r="AE60" s="345"/>
      <c r="AF60" s="345"/>
      <c r="AG60" s="345"/>
      <c r="AH60" s="345"/>
      <c r="AI60" s="302"/>
      <c r="AJ60" s="630">
        <f t="shared" si="39"/>
        <v>0</v>
      </c>
      <c r="AK60" s="1333"/>
      <c r="AL60" s="626"/>
      <c r="AM60" s="31"/>
      <c r="AN60" s="355"/>
      <c r="AO60" s="13">
        <v>45</v>
      </c>
      <c r="AP60" s="74"/>
      <c r="AQ60" s="75"/>
    </row>
    <row r="61" spans="1:43" ht="29.25" hidden="1" customHeight="1" x14ac:dyDescent="0.75">
      <c r="A61" s="1132" t="s">
        <v>365</v>
      </c>
      <c r="B61" s="91" t="s">
        <v>146</v>
      </c>
      <c r="C61" s="868" t="s">
        <v>1197</v>
      </c>
      <c r="D61" s="286"/>
      <c r="E61" s="93"/>
      <c r="F61" s="99"/>
      <c r="G61" s="99"/>
      <c r="H61" s="99"/>
      <c r="I61" s="99"/>
      <c r="J61" s="99"/>
      <c r="K61" s="99"/>
      <c r="L61" s="94"/>
      <c r="M61" s="94"/>
      <c r="N61" s="94"/>
      <c r="O61" s="94"/>
      <c r="P61" s="94"/>
      <c r="Q61" s="94"/>
      <c r="R61" s="94"/>
      <c r="S61" s="94"/>
      <c r="T61" s="94"/>
      <c r="U61" s="94"/>
      <c r="V61" s="94"/>
      <c r="W61" s="94"/>
      <c r="X61" s="94"/>
      <c r="Y61" s="94"/>
      <c r="Z61" s="94"/>
      <c r="AA61" s="310"/>
      <c r="AB61" s="375"/>
      <c r="AC61" s="345"/>
      <c r="AD61" s="345"/>
      <c r="AE61" s="345"/>
      <c r="AF61" s="345"/>
      <c r="AG61" s="345"/>
      <c r="AH61" s="345"/>
      <c r="AI61" s="302"/>
      <c r="AJ61" s="628">
        <f t="shared" si="39"/>
        <v>0</v>
      </c>
      <c r="AK61" s="1333"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626"/>
      <c r="AM61" s="31" t="str">
        <f>CONCATENATE(IF(AND(IFERROR((AJ62*100)/AJ61,0)&gt;10,AJ62&gt;5)," * This facility has a high positivity rate for Index Testing. Kindly confirm if this is the true reflection"&amp;CHAR(10),""),"")</f>
        <v/>
      </c>
      <c r="AN61" s="355"/>
      <c r="AO61" s="13">
        <v>44</v>
      </c>
      <c r="AP61" s="74"/>
      <c r="AQ61" s="75"/>
    </row>
    <row r="62" spans="1:43" ht="25.9" hidden="1" thickBot="1" x14ac:dyDescent="0.8">
      <c r="A62" s="1134"/>
      <c r="B62" s="95" t="s">
        <v>138</v>
      </c>
      <c r="C62" s="869" t="s">
        <v>1198</v>
      </c>
      <c r="D62" s="365"/>
      <c r="E62" s="88"/>
      <c r="F62" s="102"/>
      <c r="G62" s="102"/>
      <c r="H62" s="102"/>
      <c r="I62" s="102"/>
      <c r="J62" s="102"/>
      <c r="K62" s="102"/>
      <c r="L62" s="106"/>
      <c r="M62" s="106"/>
      <c r="N62" s="106"/>
      <c r="O62" s="106"/>
      <c r="P62" s="106"/>
      <c r="Q62" s="106"/>
      <c r="R62" s="106"/>
      <c r="S62" s="106"/>
      <c r="T62" s="106"/>
      <c r="U62" s="106"/>
      <c r="V62" s="106"/>
      <c r="W62" s="106"/>
      <c r="X62" s="106"/>
      <c r="Y62" s="106"/>
      <c r="Z62" s="106"/>
      <c r="AA62" s="316"/>
      <c r="AB62" s="375"/>
      <c r="AC62" s="345"/>
      <c r="AD62" s="345"/>
      <c r="AE62" s="345"/>
      <c r="AF62" s="345"/>
      <c r="AG62" s="345"/>
      <c r="AH62" s="345"/>
      <c r="AI62" s="302"/>
      <c r="AJ62" s="630">
        <f t="shared" si="39"/>
        <v>0</v>
      </c>
      <c r="AK62" s="1333"/>
      <c r="AL62" s="626"/>
      <c r="AM62" s="31"/>
      <c r="AN62" s="355"/>
      <c r="AO62" s="13">
        <v>45</v>
      </c>
      <c r="AP62" s="74"/>
      <c r="AQ62" s="75"/>
    </row>
    <row r="63" spans="1:43" ht="25.9" hidden="1" thickBot="1" x14ac:dyDescent="0.8">
      <c r="A63" s="1143" t="s">
        <v>967</v>
      </c>
      <c r="B63" s="1144"/>
      <c r="C63" s="1145"/>
      <c r="D63" s="1144"/>
      <c r="E63" s="1144"/>
      <c r="F63" s="1144"/>
      <c r="G63" s="1144"/>
      <c r="H63" s="1144"/>
      <c r="I63" s="1144"/>
      <c r="J63" s="1144"/>
      <c r="K63" s="1144"/>
      <c r="L63" s="1144"/>
      <c r="M63" s="1144"/>
      <c r="N63" s="1144"/>
      <c r="O63" s="1144"/>
      <c r="P63" s="1144"/>
      <c r="Q63" s="1144"/>
      <c r="R63" s="1144"/>
      <c r="S63" s="1144"/>
      <c r="T63" s="1144"/>
      <c r="U63" s="1144"/>
      <c r="V63" s="1144"/>
      <c r="W63" s="1144"/>
      <c r="X63" s="1144"/>
      <c r="Y63" s="1144"/>
      <c r="Z63" s="1144"/>
      <c r="AA63" s="1144"/>
      <c r="AB63" s="1145"/>
      <c r="AC63" s="1145"/>
      <c r="AD63" s="1145"/>
      <c r="AE63" s="1145"/>
      <c r="AF63" s="1145"/>
      <c r="AG63" s="1145"/>
      <c r="AH63" s="1145"/>
      <c r="AI63" s="1145"/>
      <c r="AJ63" s="1144"/>
      <c r="AK63" s="1145"/>
      <c r="AL63" s="1144"/>
      <c r="AM63" s="1144"/>
      <c r="AN63" s="1146"/>
      <c r="AO63" s="13">
        <v>50</v>
      </c>
      <c r="AP63" s="74"/>
      <c r="AQ63" s="75"/>
    </row>
    <row r="64" spans="1:43" ht="26.25" hidden="1" customHeight="1" x14ac:dyDescent="0.75">
      <c r="A64" s="1122" t="s">
        <v>36</v>
      </c>
      <c r="B64" s="1126" t="s">
        <v>321</v>
      </c>
      <c r="C64" s="1155" t="s">
        <v>305</v>
      </c>
      <c r="D64" s="1131"/>
      <c r="E64" s="1131"/>
      <c r="F64" s="1131"/>
      <c r="G64" s="1131"/>
      <c r="H64" s="1131"/>
      <c r="I64" s="1131"/>
      <c r="J64" s="1131"/>
      <c r="K64" s="1131"/>
      <c r="L64" s="1131" t="s">
        <v>4</v>
      </c>
      <c r="M64" s="1131"/>
      <c r="N64" s="1131" t="s">
        <v>5</v>
      </c>
      <c r="O64" s="1131"/>
      <c r="P64" s="1131" t="s">
        <v>6</v>
      </c>
      <c r="Q64" s="1131"/>
      <c r="R64" s="1131" t="s">
        <v>7</v>
      </c>
      <c r="S64" s="1131"/>
      <c r="T64" s="1131" t="s">
        <v>8</v>
      </c>
      <c r="U64" s="1131"/>
      <c r="V64" s="1131" t="s">
        <v>23</v>
      </c>
      <c r="W64" s="1131"/>
      <c r="X64" s="1131" t="s">
        <v>24</v>
      </c>
      <c r="Y64" s="1131"/>
      <c r="Z64" s="1131" t="s">
        <v>9</v>
      </c>
      <c r="AA64" s="1115"/>
      <c r="AB64" s="1341"/>
      <c r="AC64" s="1117"/>
      <c r="AD64" s="1117"/>
      <c r="AE64" s="1117"/>
      <c r="AF64" s="1117"/>
      <c r="AG64" s="1117"/>
      <c r="AH64" s="1117"/>
      <c r="AI64" s="1118"/>
      <c r="AJ64" s="1302" t="s">
        <v>19</v>
      </c>
      <c r="AK64" s="1300" t="s">
        <v>354</v>
      </c>
      <c r="AL64" s="1292" t="s">
        <v>360</v>
      </c>
      <c r="AM64" s="1150" t="s">
        <v>361</v>
      </c>
      <c r="AN64" s="1229" t="s">
        <v>361</v>
      </c>
      <c r="AO64" s="13">
        <v>98</v>
      </c>
      <c r="AP64" s="74"/>
      <c r="AQ64" s="75"/>
    </row>
    <row r="65" spans="1:43" ht="27" hidden="1" customHeight="1" thickBot="1" x14ac:dyDescent="0.8">
      <c r="A65" s="1123"/>
      <c r="B65" s="1127"/>
      <c r="C65" s="1222"/>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57" t="s">
        <v>11</v>
      </c>
      <c r="AB65" s="371"/>
      <c r="AC65" s="358"/>
      <c r="AD65" s="358"/>
      <c r="AE65" s="358"/>
      <c r="AF65" s="358"/>
      <c r="AG65" s="358"/>
      <c r="AH65" s="358"/>
      <c r="AI65" s="372"/>
      <c r="AJ65" s="1305"/>
      <c r="AK65" s="1301"/>
      <c r="AL65" s="1394"/>
      <c r="AM65" s="1150"/>
      <c r="AN65" s="1148"/>
      <c r="AO65" s="13">
        <v>99</v>
      </c>
      <c r="AP65" s="74"/>
      <c r="AQ65" s="75"/>
    </row>
    <row r="66" spans="1:43" s="83" customFormat="1" ht="25.5" hidden="1" customHeight="1" x14ac:dyDescent="0.75">
      <c r="A66" s="1311" t="s">
        <v>980</v>
      </c>
      <c r="B66" s="1" t="s">
        <v>1134</v>
      </c>
      <c r="C66" s="562" t="s">
        <v>968</v>
      </c>
      <c r="D66" s="134"/>
      <c r="E66" s="99"/>
      <c r="F66" s="99"/>
      <c r="G66" s="99"/>
      <c r="H66" s="99"/>
      <c r="I66" s="99"/>
      <c r="J66" s="99"/>
      <c r="K66" s="363"/>
      <c r="L66" s="236"/>
      <c r="M66" s="236"/>
      <c r="N66" s="236"/>
      <c r="O66" s="236"/>
      <c r="P66" s="236"/>
      <c r="Q66" s="236"/>
      <c r="R66" s="236"/>
      <c r="S66" s="236"/>
      <c r="T66" s="236"/>
      <c r="U66" s="236"/>
      <c r="V66" s="236"/>
      <c r="W66" s="236"/>
      <c r="X66" s="236"/>
      <c r="Y66" s="236"/>
      <c r="Z66" s="236"/>
      <c r="AA66" s="236"/>
      <c r="AB66" s="373"/>
      <c r="AC66" s="374"/>
      <c r="AD66" s="374"/>
      <c r="AE66" s="374"/>
      <c r="AF66" s="374"/>
      <c r="AG66" s="374"/>
      <c r="AH66" s="374"/>
      <c r="AI66" s="305"/>
      <c r="AJ66" s="188">
        <f t="shared" ref="AJ66:AJ107" si="41">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391" t="str">
        <f>CONCATENATE(AK66,AK67,AK68,AK69,AK70,AK71,AK72,AK73,AK74,AK75,AK76,AK77,AK78,AK79,AK80,AK81,AK82,AK83,AK84,AK85,AK86,AK87,AK88,AK89,AK90,AK91,AK92,AK93,AK94,AK95,AK96,AK97,AK98,AK99,AK100,AK101,AK102,AK103,AK104,AK105)</f>
        <v/>
      </c>
      <c r="AM66" s="31"/>
      <c r="AN66" s="355"/>
      <c r="AO66" s="13">
        <v>30</v>
      </c>
      <c r="AP66" s="81"/>
      <c r="AQ66" s="82"/>
    </row>
    <row r="67" spans="1:43" s="83" customFormat="1" ht="25.9" hidden="1" thickBot="1" x14ac:dyDescent="0.8">
      <c r="A67" s="1312"/>
      <c r="B67" s="356" t="s">
        <v>1135</v>
      </c>
      <c r="C67" s="563" t="s">
        <v>969</v>
      </c>
      <c r="D67" s="119"/>
      <c r="E67" s="102"/>
      <c r="F67" s="102"/>
      <c r="G67" s="102"/>
      <c r="H67" s="102"/>
      <c r="I67" s="102"/>
      <c r="J67" s="102"/>
      <c r="K67" s="364"/>
      <c r="L67" s="141"/>
      <c r="M67" s="141"/>
      <c r="N67" s="141"/>
      <c r="O67" s="141"/>
      <c r="P67" s="141"/>
      <c r="Q67" s="141"/>
      <c r="R67" s="141"/>
      <c r="S67" s="141"/>
      <c r="T67" s="141"/>
      <c r="U67" s="141"/>
      <c r="V67" s="141"/>
      <c r="W67" s="141"/>
      <c r="X67" s="141"/>
      <c r="Y67" s="141"/>
      <c r="Z67" s="141"/>
      <c r="AA67" s="141"/>
      <c r="AB67" s="375"/>
      <c r="AC67" s="345"/>
      <c r="AD67" s="345"/>
      <c r="AE67" s="345"/>
      <c r="AF67" s="345"/>
      <c r="AG67" s="345"/>
      <c r="AH67" s="345"/>
      <c r="AI67" s="302"/>
      <c r="AJ67" s="192">
        <f t="shared" si="41"/>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392"/>
      <c r="AM67" s="31"/>
      <c r="AN67" s="355"/>
      <c r="AO67" s="13">
        <v>31</v>
      </c>
      <c r="AP67" s="81"/>
      <c r="AQ67" s="82"/>
    </row>
    <row r="68" spans="1:43" s="83" customFormat="1" ht="25.5" hidden="1" customHeight="1" x14ac:dyDescent="0.75">
      <c r="A68" s="1312"/>
      <c r="B68" s="1" t="s">
        <v>1136</v>
      </c>
      <c r="C68" s="562" t="s">
        <v>1138</v>
      </c>
      <c r="D68" s="134"/>
      <c r="E68" s="99"/>
      <c r="F68" s="99"/>
      <c r="G68" s="99"/>
      <c r="H68" s="99"/>
      <c r="I68" s="99"/>
      <c r="J68" s="99"/>
      <c r="K68" s="363"/>
      <c r="L68" s="236"/>
      <c r="M68" s="236"/>
      <c r="N68" s="236"/>
      <c r="O68" s="236"/>
      <c r="P68" s="236"/>
      <c r="Q68" s="236"/>
      <c r="R68" s="236"/>
      <c r="S68" s="236"/>
      <c r="T68" s="236"/>
      <c r="U68" s="236"/>
      <c r="V68" s="236"/>
      <c r="W68" s="236"/>
      <c r="X68" s="236"/>
      <c r="Y68" s="236"/>
      <c r="Z68" s="236"/>
      <c r="AA68" s="236"/>
      <c r="AB68" s="373"/>
      <c r="AC68" s="374"/>
      <c r="AD68" s="374"/>
      <c r="AE68" s="374"/>
      <c r="AF68" s="374"/>
      <c r="AG68" s="374"/>
      <c r="AH68" s="374"/>
      <c r="AI68" s="305"/>
      <c r="AJ68" s="188">
        <f t="shared" ref="AJ68:AJ69" si="42">SUM(D68:AA68)</f>
        <v>0</v>
      </c>
      <c r="AK68" s="30"/>
      <c r="AL68" s="1392"/>
      <c r="AM68" s="31"/>
      <c r="AN68" s="355"/>
      <c r="AO68" s="13">
        <v>30</v>
      </c>
      <c r="AP68" s="81"/>
      <c r="AQ68" s="82"/>
    </row>
    <row r="69" spans="1:43" s="83" customFormat="1" ht="25.9" hidden="1" thickBot="1" x14ac:dyDescent="0.8">
      <c r="A69" s="1313"/>
      <c r="B69" s="356" t="s">
        <v>1137</v>
      </c>
      <c r="C69" s="564" t="s">
        <v>1139</v>
      </c>
      <c r="D69" s="492"/>
      <c r="E69" s="120"/>
      <c r="F69" s="120"/>
      <c r="G69" s="120"/>
      <c r="H69" s="120"/>
      <c r="I69" s="120"/>
      <c r="J69" s="120"/>
      <c r="K69" s="394"/>
      <c r="L69" s="248"/>
      <c r="M69" s="248"/>
      <c r="N69" s="248"/>
      <c r="O69" s="248"/>
      <c r="P69" s="248"/>
      <c r="Q69" s="248"/>
      <c r="R69" s="248"/>
      <c r="S69" s="248"/>
      <c r="T69" s="248"/>
      <c r="U69" s="248"/>
      <c r="V69" s="248"/>
      <c r="W69" s="248"/>
      <c r="X69" s="248"/>
      <c r="Y69" s="248"/>
      <c r="Z69" s="248"/>
      <c r="AA69" s="248"/>
      <c r="AB69" s="375"/>
      <c r="AC69" s="345"/>
      <c r="AD69" s="345"/>
      <c r="AE69" s="345"/>
      <c r="AF69" s="345"/>
      <c r="AG69" s="345"/>
      <c r="AH69" s="345"/>
      <c r="AI69" s="302"/>
      <c r="AJ69" s="192">
        <f t="shared" si="42"/>
        <v>0</v>
      </c>
      <c r="AK69" s="30"/>
      <c r="AL69" s="1392"/>
      <c r="AM69" s="31"/>
      <c r="AN69" s="355"/>
      <c r="AO69" s="13">
        <v>31</v>
      </c>
      <c r="AP69" s="81"/>
      <c r="AQ69" s="82"/>
    </row>
    <row r="70" spans="1:43" s="83" customFormat="1" ht="25.5" hidden="1" customHeight="1" x14ac:dyDescent="0.75">
      <c r="A70" s="1226" t="s">
        <v>981</v>
      </c>
      <c r="B70" s="1" t="s">
        <v>1134</v>
      </c>
      <c r="C70" s="562" t="s">
        <v>970</v>
      </c>
      <c r="D70" s="134"/>
      <c r="E70" s="99"/>
      <c r="F70" s="99"/>
      <c r="G70" s="99"/>
      <c r="H70" s="99"/>
      <c r="I70" s="99"/>
      <c r="J70" s="99"/>
      <c r="K70" s="363"/>
      <c r="L70" s="236"/>
      <c r="M70" s="236"/>
      <c r="N70" s="236"/>
      <c r="O70" s="236"/>
      <c r="P70" s="236"/>
      <c r="Q70" s="236"/>
      <c r="R70" s="236"/>
      <c r="S70" s="236"/>
      <c r="T70" s="236"/>
      <c r="U70" s="236"/>
      <c r="V70" s="236"/>
      <c r="W70" s="236"/>
      <c r="X70" s="236"/>
      <c r="Y70" s="236"/>
      <c r="Z70" s="236"/>
      <c r="AA70" s="236"/>
      <c r="AB70" s="375"/>
      <c r="AC70" s="345"/>
      <c r="AD70" s="345"/>
      <c r="AE70" s="345"/>
      <c r="AF70" s="345"/>
      <c r="AG70" s="345"/>
      <c r="AH70" s="345"/>
      <c r="AI70" s="302"/>
      <c r="AJ70" s="188">
        <f t="shared" si="41"/>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392"/>
      <c r="AM70" s="31"/>
      <c r="AN70" s="355"/>
      <c r="AO70" s="13">
        <v>32</v>
      </c>
      <c r="AP70" s="81"/>
      <c r="AQ70" s="82"/>
    </row>
    <row r="71" spans="1:43" s="83" customFormat="1" ht="25.9" hidden="1" thickBot="1" x14ac:dyDescent="0.8">
      <c r="A71" s="1227"/>
      <c r="B71" s="356" t="s">
        <v>1135</v>
      </c>
      <c r="C71" s="563" t="s">
        <v>971</v>
      </c>
      <c r="D71" s="135"/>
      <c r="E71" s="78"/>
      <c r="F71" s="78"/>
      <c r="G71" s="78"/>
      <c r="H71" s="78"/>
      <c r="I71" s="78"/>
      <c r="J71" s="78"/>
      <c r="K71" s="370"/>
      <c r="L71" s="141"/>
      <c r="M71" s="141"/>
      <c r="N71" s="141"/>
      <c r="O71" s="141"/>
      <c r="P71" s="141"/>
      <c r="Q71" s="141"/>
      <c r="R71" s="141"/>
      <c r="S71" s="141"/>
      <c r="T71" s="141"/>
      <c r="U71" s="141"/>
      <c r="V71" s="141"/>
      <c r="W71" s="141"/>
      <c r="X71" s="141"/>
      <c r="Y71" s="141"/>
      <c r="Z71" s="141"/>
      <c r="AA71" s="141"/>
      <c r="AB71" s="375"/>
      <c r="AC71" s="345"/>
      <c r="AD71" s="345"/>
      <c r="AE71" s="345"/>
      <c r="AF71" s="345"/>
      <c r="AG71" s="345"/>
      <c r="AH71" s="345"/>
      <c r="AI71" s="302"/>
      <c r="AJ71" s="192">
        <f t="shared" si="41"/>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392"/>
      <c r="AM71" s="31"/>
      <c r="AN71" s="355"/>
      <c r="AO71" s="13">
        <v>33</v>
      </c>
      <c r="AP71" s="81"/>
      <c r="AQ71" s="82"/>
    </row>
    <row r="72" spans="1:43" s="83" customFormat="1" ht="25.5" hidden="1" customHeight="1" x14ac:dyDescent="0.75">
      <c r="A72" s="1227"/>
      <c r="B72" s="1" t="s">
        <v>1136</v>
      </c>
      <c r="C72" s="563" t="s">
        <v>1140</v>
      </c>
      <c r="D72" s="135"/>
      <c r="E72" s="78"/>
      <c r="F72" s="78"/>
      <c r="G72" s="78"/>
      <c r="H72" s="78"/>
      <c r="I72" s="78"/>
      <c r="J72" s="78"/>
      <c r="K72" s="370"/>
      <c r="L72" s="236"/>
      <c r="M72" s="236"/>
      <c r="N72" s="236"/>
      <c r="O72" s="236"/>
      <c r="P72" s="236"/>
      <c r="Q72" s="236"/>
      <c r="R72" s="236"/>
      <c r="S72" s="236"/>
      <c r="T72" s="236"/>
      <c r="U72" s="236"/>
      <c r="V72" s="236"/>
      <c r="W72" s="236"/>
      <c r="X72" s="236"/>
      <c r="Y72" s="236"/>
      <c r="Z72" s="236"/>
      <c r="AA72" s="236"/>
      <c r="AB72" s="375"/>
      <c r="AC72" s="345"/>
      <c r="AD72" s="345"/>
      <c r="AE72" s="345"/>
      <c r="AF72" s="345"/>
      <c r="AG72" s="345"/>
      <c r="AH72" s="345"/>
      <c r="AI72" s="302"/>
      <c r="AJ72" s="188">
        <f t="shared" ref="AJ72:AJ73" si="43">SUM(D72:AA72)</f>
        <v>0</v>
      </c>
      <c r="AK72" s="30"/>
      <c r="AL72" s="1392"/>
      <c r="AM72" s="31"/>
      <c r="AN72" s="355"/>
      <c r="AO72" s="13">
        <v>32</v>
      </c>
      <c r="AP72" s="81"/>
      <c r="AQ72" s="82"/>
    </row>
    <row r="73" spans="1:43" s="83" customFormat="1" ht="25.9" hidden="1" thickBot="1" x14ac:dyDescent="0.8">
      <c r="A73" s="1228"/>
      <c r="B73" s="356" t="s">
        <v>1137</v>
      </c>
      <c r="C73" s="565" t="s">
        <v>1141</v>
      </c>
      <c r="D73" s="119"/>
      <c r="E73" s="102"/>
      <c r="F73" s="102"/>
      <c r="G73" s="102"/>
      <c r="H73" s="102"/>
      <c r="I73" s="102"/>
      <c r="J73" s="102"/>
      <c r="K73" s="364"/>
      <c r="L73" s="248"/>
      <c r="M73" s="248"/>
      <c r="N73" s="248"/>
      <c r="O73" s="248"/>
      <c r="P73" s="248"/>
      <c r="Q73" s="248"/>
      <c r="R73" s="248"/>
      <c r="S73" s="248"/>
      <c r="T73" s="248"/>
      <c r="U73" s="248"/>
      <c r="V73" s="248"/>
      <c r="W73" s="248"/>
      <c r="X73" s="248"/>
      <c r="Y73" s="248"/>
      <c r="Z73" s="248"/>
      <c r="AA73" s="248"/>
      <c r="AB73" s="375"/>
      <c r="AC73" s="345"/>
      <c r="AD73" s="345"/>
      <c r="AE73" s="345"/>
      <c r="AF73" s="345"/>
      <c r="AG73" s="345"/>
      <c r="AH73" s="345"/>
      <c r="AI73" s="302"/>
      <c r="AJ73" s="192">
        <f t="shared" si="43"/>
        <v>0</v>
      </c>
      <c r="AK73" s="30"/>
      <c r="AL73" s="1392"/>
      <c r="AM73" s="31"/>
      <c r="AN73" s="355"/>
      <c r="AO73" s="13">
        <v>33</v>
      </c>
      <c r="AP73" s="81"/>
      <c r="AQ73" s="82"/>
    </row>
    <row r="74" spans="1:43" s="83" customFormat="1" ht="25.5" hidden="1" customHeight="1" x14ac:dyDescent="0.75">
      <c r="A74" s="1311" t="s">
        <v>982</v>
      </c>
      <c r="B74" s="1" t="s">
        <v>1134</v>
      </c>
      <c r="C74" s="562" t="s">
        <v>972</v>
      </c>
      <c r="D74" s="134"/>
      <c r="E74" s="99"/>
      <c r="F74" s="99"/>
      <c r="G74" s="99"/>
      <c r="H74" s="99"/>
      <c r="I74" s="99"/>
      <c r="J74" s="99"/>
      <c r="K74" s="363"/>
      <c r="L74" s="236"/>
      <c r="M74" s="236"/>
      <c r="N74" s="236"/>
      <c r="O74" s="236"/>
      <c r="P74" s="236"/>
      <c r="Q74" s="236"/>
      <c r="R74" s="236"/>
      <c r="S74" s="236"/>
      <c r="T74" s="236"/>
      <c r="U74" s="236"/>
      <c r="V74" s="236"/>
      <c r="W74" s="236"/>
      <c r="X74" s="236"/>
      <c r="Y74" s="236"/>
      <c r="Z74" s="236"/>
      <c r="AA74" s="236"/>
      <c r="AB74" s="375"/>
      <c r="AC74" s="345"/>
      <c r="AD74" s="345"/>
      <c r="AE74" s="345"/>
      <c r="AF74" s="345"/>
      <c r="AG74" s="345"/>
      <c r="AH74" s="345"/>
      <c r="AI74" s="302"/>
      <c r="AJ74" s="188">
        <f t="shared" si="41"/>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392"/>
      <c r="AM74" s="31"/>
      <c r="AN74" s="355"/>
      <c r="AO74" s="13">
        <v>32</v>
      </c>
      <c r="AP74" s="81"/>
      <c r="AQ74" s="82"/>
    </row>
    <row r="75" spans="1:43" s="83" customFormat="1" ht="25.9" hidden="1" thickBot="1" x14ac:dyDescent="0.8">
      <c r="A75" s="1312"/>
      <c r="B75" s="356" t="s">
        <v>1135</v>
      </c>
      <c r="C75" s="563" t="s">
        <v>973</v>
      </c>
      <c r="D75" s="135"/>
      <c r="E75" s="78"/>
      <c r="F75" s="78"/>
      <c r="G75" s="78"/>
      <c r="H75" s="78"/>
      <c r="I75" s="78"/>
      <c r="J75" s="78"/>
      <c r="K75" s="370"/>
      <c r="L75" s="141"/>
      <c r="M75" s="141"/>
      <c r="N75" s="141"/>
      <c r="O75" s="141"/>
      <c r="P75" s="141"/>
      <c r="Q75" s="141"/>
      <c r="R75" s="141"/>
      <c r="S75" s="141"/>
      <c r="T75" s="141"/>
      <c r="U75" s="141"/>
      <c r="V75" s="141"/>
      <c r="W75" s="141"/>
      <c r="X75" s="141"/>
      <c r="Y75" s="141"/>
      <c r="Z75" s="141"/>
      <c r="AA75" s="141"/>
      <c r="AB75" s="375"/>
      <c r="AC75" s="345"/>
      <c r="AD75" s="345"/>
      <c r="AE75" s="345"/>
      <c r="AF75" s="345"/>
      <c r="AG75" s="345"/>
      <c r="AH75" s="345"/>
      <c r="AI75" s="302"/>
      <c r="AJ75" s="192">
        <f t="shared" si="41"/>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392"/>
      <c r="AM75" s="31"/>
      <c r="AN75" s="355"/>
      <c r="AO75" s="13">
        <v>33</v>
      </c>
      <c r="AP75" s="81"/>
      <c r="AQ75" s="82"/>
    </row>
    <row r="76" spans="1:43" s="83" customFormat="1" ht="25.5" hidden="1" customHeight="1" x14ac:dyDescent="0.75">
      <c r="A76" s="1312"/>
      <c r="B76" s="1" t="s">
        <v>1136</v>
      </c>
      <c r="C76" s="563" t="s">
        <v>1178</v>
      </c>
      <c r="D76" s="135"/>
      <c r="E76" s="78"/>
      <c r="F76" s="78"/>
      <c r="G76" s="78"/>
      <c r="H76" s="78"/>
      <c r="I76" s="78"/>
      <c r="J76" s="78"/>
      <c r="K76" s="370"/>
      <c r="L76" s="236"/>
      <c r="M76" s="236"/>
      <c r="N76" s="236"/>
      <c r="O76" s="236"/>
      <c r="P76" s="236"/>
      <c r="Q76" s="236"/>
      <c r="R76" s="236"/>
      <c r="S76" s="236"/>
      <c r="T76" s="236"/>
      <c r="U76" s="236"/>
      <c r="V76" s="236"/>
      <c r="W76" s="236"/>
      <c r="X76" s="236"/>
      <c r="Y76" s="236"/>
      <c r="Z76" s="236"/>
      <c r="AA76" s="236"/>
      <c r="AB76" s="375"/>
      <c r="AC76" s="345"/>
      <c r="AD76" s="345"/>
      <c r="AE76" s="345"/>
      <c r="AF76" s="345"/>
      <c r="AG76" s="345"/>
      <c r="AH76" s="345"/>
      <c r="AI76" s="302"/>
      <c r="AJ76" s="184"/>
      <c r="AK76" s="30"/>
      <c r="AL76" s="1392"/>
      <c r="AM76" s="31"/>
      <c r="AN76" s="355"/>
      <c r="AO76" s="13"/>
      <c r="AP76" s="81"/>
      <c r="AQ76" s="82"/>
    </row>
    <row r="77" spans="1:43" s="83" customFormat="1" ht="25.9" hidden="1" thickBot="1" x14ac:dyDescent="0.8">
      <c r="A77" s="1313"/>
      <c r="B77" s="356" t="s">
        <v>1137</v>
      </c>
      <c r="C77" s="565" t="s">
        <v>1179</v>
      </c>
      <c r="D77" s="119"/>
      <c r="E77" s="102"/>
      <c r="F77" s="102"/>
      <c r="G77" s="102"/>
      <c r="H77" s="102"/>
      <c r="I77" s="102"/>
      <c r="J77" s="102"/>
      <c r="K77" s="364"/>
      <c r="L77" s="248"/>
      <c r="M77" s="248"/>
      <c r="N77" s="248"/>
      <c r="O77" s="248"/>
      <c r="P77" s="248"/>
      <c r="Q77" s="248"/>
      <c r="R77" s="248"/>
      <c r="S77" s="248"/>
      <c r="T77" s="248"/>
      <c r="U77" s="248"/>
      <c r="V77" s="248"/>
      <c r="W77" s="248"/>
      <c r="X77" s="248"/>
      <c r="Y77" s="248"/>
      <c r="Z77" s="248"/>
      <c r="AA77" s="248"/>
      <c r="AB77" s="375"/>
      <c r="AC77" s="345"/>
      <c r="AD77" s="345"/>
      <c r="AE77" s="345"/>
      <c r="AF77" s="345"/>
      <c r="AG77" s="345"/>
      <c r="AH77" s="345"/>
      <c r="AI77" s="302"/>
      <c r="AJ77" s="184"/>
      <c r="AK77" s="30"/>
      <c r="AL77" s="1392"/>
      <c r="AM77" s="31"/>
      <c r="AN77" s="355"/>
      <c r="AO77" s="13"/>
      <c r="AP77" s="81"/>
      <c r="AQ77" s="82"/>
    </row>
    <row r="78" spans="1:43" s="83" customFormat="1" ht="25.5" hidden="1" customHeight="1" x14ac:dyDescent="0.75">
      <c r="A78" s="1226" t="s">
        <v>983</v>
      </c>
      <c r="B78" s="1" t="s">
        <v>1134</v>
      </c>
      <c r="C78" s="562" t="s">
        <v>974</v>
      </c>
      <c r="D78" s="134"/>
      <c r="E78" s="99"/>
      <c r="F78" s="99"/>
      <c r="G78" s="99"/>
      <c r="H78" s="99"/>
      <c r="I78" s="99"/>
      <c r="J78" s="99"/>
      <c r="K78" s="363"/>
      <c r="L78" s="98"/>
      <c r="M78" s="236"/>
      <c r="N78" s="99"/>
      <c r="O78" s="236"/>
      <c r="P78" s="99"/>
      <c r="Q78" s="236"/>
      <c r="R78" s="99"/>
      <c r="S78" s="236"/>
      <c r="T78" s="99"/>
      <c r="U78" s="236"/>
      <c r="V78" s="99"/>
      <c r="W78" s="236"/>
      <c r="X78" s="99"/>
      <c r="Y78" s="236"/>
      <c r="Z78" s="99"/>
      <c r="AA78" s="495"/>
      <c r="AB78" s="375"/>
      <c r="AC78" s="345"/>
      <c r="AD78" s="345"/>
      <c r="AE78" s="345"/>
      <c r="AF78" s="345"/>
      <c r="AG78" s="345"/>
      <c r="AH78" s="345"/>
      <c r="AI78" s="302"/>
      <c r="AJ78" s="188">
        <f t="shared" si="41"/>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392"/>
      <c r="AM78" s="31"/>
      <c r="AN78" s="355"/>
      <c r="AO78" s="13">
        <v>32</v>
      </c>
      <c r="AP78" s="81"/>
      <c r="AQ78" s="82"/>
    </row>
    <row r="79" spans="1:43" s="83" customFormat="1" ht="25.9" hidden="1" thickBot="1" x14ac:dyDescent="0.8">
      <c r="A79" s="1227"/>
      <c r="B79" s="356" t="s">
        <v>1135</v>
      </c>
      <c r="C79" s="563" t="s">
        <v>975</v>
      </c>
      <c r="D79" s="135"/>
      <c r="E79" s="78"/>
      <c r="F79" s="78"/>
      <c r="G79" s="78"/>
      <c r="H79" s="78"/>
      <c r="I79" s="78"/>
      <c r="J79" s="78"/>
      <c r="K79" s="370"/>
      <c r="L79" s="77"/>
      <c r="M79" s="141"/>
      <c r="N79" s="78"/>
      <c r="O79" s="141"/>
      <c r="P79" s="78"/>
      <c r="Q79" s="141"/>
      <c r="R79" s="78"/>
      <c r="S79" s="141"/>
      <c r="T79" s="78"/>
      <c r="U79" s="141"/>
      <c r="V79" s="78"/>
      <c r="W79" s="141"/>
      <c r="X79" s="78"/>
      <c r="Y79" s="141"/>
      <c r="Z79" s="78"/>
      <c r="AA79" s="496"/>
      <c r="AB79" s="375"/>
      <c r="AC79" s="345"/>
      <c r="AD79" s="345"/>
      <c r="AE79" s="345"/>
      <c r="AF79" s="345"/>
      <c r="AG79" s="345"/>
      <c r="AH79" s="345"/>
      <c r="AI79" s="302"/>
      <c r="AJ79" s="192">
        <f t="shared" si="41"/>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392"/>
      <c r="AM79" s="31"/>
      <c r="AN79" s="355"/>
      <c r="AO79" s="13">
        <v>33</v>
      </c>
      <c r="AP79" s="81"/>
      <c r="AQ79" s="82"/>
    </row>
    <row r="80" spans="1:43" s="83" customFormat="1" ht="25.5" hidden="1" x14ac:dyDescent="0.75">
      <c r="A80" s="1227"/>
      <c r="B80" s="1" t="s">
        <v>1136</v>
      </c>
      <c r="C80" s="563" t="s">
        <v>1142</v>
      </c>
      <c r="D80" s="135"/>
      <c r="E80" s="78"/>
      <c r="F80" s="78"/>
      <c r="G80" s="78"/>
      <c r="H80" s="78"/>
      <c r="I80" s="78"/>
      <c r="J80" s="78"/>
      <c r="K80" s="370"/>
      <c r="L80" s="77"/>
      <c r="M80" s="236"/>
      <c r="N80" s="78"/>
      <c r="O80" s="236"/>
      <c r="P80" s="78"/>
      <c r="Q80" s="236"/>
      <c r="R80" s="78"/>
      <c r="S80" s="236"/>
      <c r="T80" s="78"/>
      <c r="U80" s="236"/>
      <c r="V80" s="78"/>
      <c r="W80" s="236"/>
      <c r="X80" s="78"/>
      <c r="Y80" s="236"/>
      <c r="Z80" s="78"/>
      <c r="AA80" s="495"/>
      <c r="AB80" s="375"/>
      <c r="AC80" s="345"/>
      <c r="AD80" s="345"/>
      <c r="AE80" s="345"/>
      <c r="AF80" s="345"/>
      <c r="AG80" s="345"/>
      <c r="AH80" s="345"/>
      <c r="AI80" s="302"/>
      <c r="AJ80" s="184"/>
      <c r="AK80" s="30"/>
      <c r="AL80" s="1392"/>
      <c r="AM80" s="31"/>
      <c r="AN80" s="355"/>
      <c r="AO80" s="13"/>
      <c r="AP80" s="81"/>
      <c r="AQ80" s="82"/>
    </row>
    <row r="81" spans="1:43" s="83" customFormat="1" ht="25.9" hidden="1" thickBot="1" x14ac:dyDescent="0.8">
      <c r="A81" s="1228"/>
      <c r="B81" s="356" t="s">
        <v>1137</v>
      </c>
      <c r="C81" s="565" t="s">
        <v>1143</v>
      </c>
      <c r="D81" s="119"/>
      <c r="E81" s="102"/>
      <c r="F81" s="102"/>
      <c r="G81" s="102"/>
      <c r="H81" s="102"/>
      <c r="I81" s="102"/>
      <c r="J81" s="102"/>
      <c r="K81" s="364"/>
      <c r="L81" s="103"/>
      <c r="M81" s="141"/>
      <c r="N81" s="102"/>
      <c r="O81" s="141"/>
      <c r="P81" s="102"/>
      <c r="Q81" s="141"/>
      <c r="R81" s="102"/>
      <c r="S81" s="141"/>
      <c r="T81" s="102"/>
      <c r="U81" s="141"/>
      <c r="V81" s="102"/>
      <c r="W81" s="141"/>
      <c r="X81" s="102"/>
      <c r="Y81" s="141"/>
      <c r="Z81" s="102"/>
      <c r="AA81" s="496"/>
      <c r="AB81" s="375"/>
      <c r="AC81" s="345"/>
      <c r="AD81" s="345"/>
      <c r="AE81" s="345"/>
      <c r="AF81" s="345"/>
      <c r="AG81" s="345"/>
      <c r="AH81" s="345"/>
      <c r="AI81" s="302"/>
      <c r="AJ81" s="184"/>
      <c r="AK81" s="30"/>
      <c r="AL81" s="1392"/>
      <c r="AM81" s="31"/>
      <c r="AN81" s="355"/>
      <c r="AO81" s="13"/>
      <c r="AP81" s="81"/>
      <c r="AQ81" s="82"/>
    </row>
    <row r="82" spans="1:43" s="83" customFormat="1" ht="25.5" hidden="1" customHeight="1" x14ac:dyDescent="0.75">
      <c r="A82" s="1226" t="s">
        <v>991</v>
      </c>
      <c r="B82" s="1" t="s">
        <v>1134</v>
      </c>
      <c r="C82" s="566" t="s">
        <v>976</v>
      </c>
      <c r="D82" s="493"/>
      <c r="E82" s="71"/>
      <c r="F82" s="71"/>
      <c r="G82" s="71"/>
      <c r="H82" s="71"/>
      <c r="I82" s="71"/>
      <c r="J82" s="71"/>
      <c r="K82" s="494"/>
      <c r="L82" s="98"/>
      <c r="M82" s="236"/>
      <c r="N82" s="99"/>
      <c r="O82" s="236"/>
      <c r="P82" s="99"/>
      <c r="Q82" s="236"/>
      <c r="R82" s="99"/>
      <c r="S82" s="236"/>
      <c r="T82" s="99"/>
      <c r="U82" s="236"/>
      <c r="V82" s="99"/>
      <c r="W82" s="236"/>
      <c r="X82" s="99"/>
      <c r="Y82" s="236"/>
      <c r="Z82" s="99"/>
      <c r="AA82" s="495"/>
      <c r="AB82" s="375"/>
      <c r="AC82" s="345"/>
      <c r="AD82" s="345"/>
      <c r="AE82" s="345"/>
      <c r="AF82" s="345"/>
      <c r="AG82" s="345"/>
      <c r="AH82" s="345"/>
      <c r="AI82" s="302"/>
      <c r="AJ82" s="188">
        <f t="shared" si="41"/>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392"/>
      <c r="AM82" s="31"/>
      <c r="AN82" s="355"/>
      <c r="AO82" s="13">
        <v>32</v>
      </c>
      <c r="AP82" s="81"/>
      <c r="AQ82" s="82"/>
    </row>
    <row r="83" spans="1:43" s="83" customFormat="1" ht="25.9" hidden="1" thickBot="1" x14ac:dyDescent="0.8">
      <c r="A83" s="1227"/>
      <c r="B83" s="356" t="s">
        <v>1135</v>
      </c>
      <c r="C83" s="563" t="s">
        <v>977</v>
      </c>
      <c r="D83" s="135"/>
      <c r="E83" s="78"/>
      <c r="F83" s="78"/>
      <c r="G83" s="78"/>
      <c r="H83" s="78"/>
      <c r="I83" s="78"/>
      <c r="J83" s="78"/>
      <c r="K83" s="370"/>
      <c r="L83" s="77"/>
      <c r="M83" s="141"/>
      <c r="N83" s="78"/>
      <c r="O83" s="141"/>
      <c r="P83" s="78"/>
      <c r="Q83" s="141"/>
      <c r="R83" s="78"/>
      <c r="S83" s="141"/>
      <c r="T83" s="78"/>
      <c r="U83" s="141"/>
      <c r="V83" s="78"/>
      <c r="W83" s="141"/>
      <c r="X83" s="78"/>
      <c r="Y83" s="141"/>
      <c r="Z83" s="78"/>
      <c r="AA83" s="496"/>
      <c r="AB83" s="375"/>
      <c r="AC83" s="345"/>
      <c r="AD83" s="345"/>
      <c r="AE83" s="345"/>
      <c r="AF83" s="345"/>
      <c r="AG83" s="345"/>
      <c r="AH83" s="345"/>
      <c r="AI83" s="302"/>
      <c r="AJ83" s="192">
        <f t="shared" si="41"/>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392"/>
      <c r="AM83" s="31"/>
      <c r="AN83" s="355"/>
      <c r="AO83" s="13">
        <v>33</v>
      </c>
      <c r="AP83" s="81"/>
      <c r="AQ83" s="82"/>
    </row>
    <row r="84" spans="1:43" s="83" customFormat="1" ht="25.5" hidden="1" x14ac:dyDescent="0.75">
      <c r="A84" s="1227"/>
      <c r="B84" s="1" t="s">
        <v>1136</v>
      </c>
      <c r="C84" s="563" t="s">
        <v>1144</v>
      </c>
      <c r="D84" s="135"/>
      <c r="E84" s="78"/>
      <c r="F84" s="78"/>
      <c r="G84" s="78"/>
      <c r="H84" s="78"/>
      <c r="I84" s="78"/>
      <c r="J84" s="78"/>
      <c r="K84" s="370"/>
      <c r="L84" s="77"/>
      <c r="M84" s="236"/>
      <c r="N84" s="78"/>
      <c r="O84" s="236"/>
      <c r="P84" s="78"/>
      <c r="Q84" s="236"/>
      <c r="R84" s="78"/>
      <c r="S84" s="236"/>
      <c r="T84" s="78"/>
      <c r="U84" s="236"/>
      <c r="V84" s="78"/>
      <c r="W84" s="236"/>
      <c r="X84" s="78"/>
      <c r="Y84" s="236"/>
      <c r="Z84" s="78"/>
      <c r="AA84" s="495"/>
      <c r="AB84" s="375"/>
      <c r="AC84" s="345"/>
      <c r="AD84" s="345"/>
      <c r="AE84" s="345"/>
      <c r="AF84" s="345"/>
      <c r="AG84" s="345"/>
      <c r="AH84" s="345"/>
      <c r="AI84" s="302"/>
      <c r="AJ84" s="184"/>
      <c r="AK84" s="30"/>
      <c r="AL84" s="1392"/>
      <c r="AM84" s="31"/>
      <c r="AN84" s="355"/>
      <c r="AO84" s="13"/>
      <c r="AP84" s="81"/>
      <c r="AQ84" s="82"/>
    </row>
    <row r="85" spans="1:43" s="83" customFormat="1" ht="25.9" hidden="1" thickBot="1" x14ac:dyDescent="0.8">
      <c r="A85" s="1228"/>
      <c r="B85" s="356" t="s">
        <v>1137</v>
      </c>
      <c r="C85" s="563" t="s">
        <v>1145</v>
      </c>
      <c r="D85" s="492"/>
      <c r="E85" s="120"/>
      <c r="F85" s="120"/>
      <c r="G85" s="120"/>
      <c r="H85" s="120"/>
      <c r="I85" s="120"/>
      <c r="J85" s="120"/>
      <c r="K85" s="394"/>
      <c r="L85" s="103"/>
      <c r="M85" s="141"/>
      <c r="N85" s="102"/>
      <c r="O85" s="141"/>
      <c r="P85" s="102"/>
      <c r="Q85" s="141"/>
      <c r="R85" s="102"/>
      <c r="S85" s="141"/>
      <c r="T85" s="102"/>
      <c r="U85" s="141"/>
      <c r="V85" s="102"/>
      <c r="W85" s="141"/>
      <c r="X85" s="102"/>
      <c r="Y85" s="141"/>
      <c r="Z85" s="102"/>
      <c r="AA85" s="496"/>
      <c r="AB85" s="375"/>
      <c r="AC85" s="345"/>
      <c r="AD85" s="345"/>
      <c r="AE85" s="345"/>
      <c r="AF85" s="345"/>
      <c r="AG85" s="345"/>
      <c r="AH85" s="345"/>
      <c r="AI85" s="302"/>
      <c r="AJ85" s="184"/>
      <c r="AK85" s="30"/>
      <c r="AL85" s="1392"/>
      <c r="AM85" s="31"/>
      <c r="AN85" s="355"/>
      <c r="AO85" s="13"/>
      <c r="AP85" s="81"/>
      <c r="AQ85" s="82"/>
    </row>
    <row r="86" spans="1:43" s="83" customFormat="1" ht="25.5" hidden="1" customHeight="1" x14ac:dyDescent="0.75">
      <c r="A86" s="1226" t="s">
        <v>984</v>
      </c>
      <c r="B86" s="1" t="s">
        <v>1134</v>
      </c>
      <c r="C86" s="563" t="s">
        <v>978</v>
      </c>
      <c r="D86" s="134"/>
      <c r="E86" s="99"/>
      <c r="F86" s="99"/>
      <c r="G86" s="99"/>
      <c r="H86" s="99"/>
      <c r="I86" s="99"/>
      <c r="J86" s="99"/>
      <c r="K86" s="363"/>
      <c r="L86" s="236"/>
      <c r="M86" s="236"/>
      <c r="N86" s="236"/>
      <c r="O86" s="236"/>
      <c r="P86" s="236"/>
      <c r="Q86" s="236"/>
      <c r="R86" s="236"/>
      <c r="S86" s="236"/>
      <c r="T86" s="236"/>
      <c r="U86" s="236"/>
      <c r="V86" s="236"/>
      <c r="W86" s="236"/>
      <c r="X86" s="236"/>
      <c r="Y86" s="236"/>
      <c r="Z86" s="236"/>
      <c r="AA86" s="236"/>
      <c r="AB86" s="375"/>
      <c r="AC86" s="345"/>
      <c r="AD86" s="345"/>
      <c r="AE86" s="345"/>
      <c r="AF86" s="345"/>
      <c r="AG86" s="345"/>
      <c r="AH86" s="345"/>
      <c r="AI86" s="302"/>
      <c r="AJ86" s="188">
        <f t="shared" si="41"/>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392"/>
      <c r="AM86" s="31"/>
      <c r="AN86" s="355"/>
      <c r="AO86" s="13">
        <v>32</v>
      </c>
      <c r="AP86" s="81"/>
      <c r="AQ86" s="82"/>
    </row>
    <row r="87" spans="1:43" s="83" customFormat="1" ht="25.9" hidden="1" thickBot="1" x14ac:dyDescent="0.8">
      <c r="A87" s="1227"/>
      <c r="B87" s="356" t="s">
        <v>1135</v>
      </c>
      <c r="C87" s="563" t="s">
        <v>979</v>
      </c>
      <c r="D87" s="135"/>
      <c r="E87" s="78"/>
      <c r="F87" s="78"/>
      <c r="G87" s="78"/>
      <c r="H87" s="78"/>
      <c r="I87" s="78"/>
      <c r="J87" s="78"/>
      <c r="K87" s="370"/>
      <c r="L87" s="141"/>
      <c r="M87" s="141"/>
      <c r="N87" s="141"/>
      <c r="O87" s="141"/>
      <c r="P87" s="141"/>
      <c r="Q87" s="141"/>
      <c r="R87" s="141"/>
      <c r="S87" s="141"/>
      <c r="T87" s="141"/>
      <c r="U87" s="141"/>
      <c r="V87" s="141"/>
      <c r="W87" s="141"/>
      <c r="X87" s="141"/>
      <c r="Y87" s="141"/>
      <c r="Z87" s="141"/>
      <c r="AA87" s="141"/>
      <c r="AB87" s="375"/>
      <c r="AC87" s="345"/>
      <c r="AD87" s="345"/>
      <c r="AE87" s="345"/>
      <c r="AF87" s="345"/>
      <c r="AG87" s="345"/>
      <c r="AH87" s="345"/>
      <c r="AI87" s="302"/>
      <c r="AJ87" s="192">
        <f t="shared" si="41"/>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392"/>
      <c r="AM87" s="31"/>
      <c r="AN87" s="355"/>
      <c r="AO87" s="13">
        <v>33</v>
      </c>
      <c r="AP87" s="81"/>
      <c r="AQ87" s="82"/>
    </row>
    <row r="88" spans="1:43" s="83" customFormat="1" ht="25.5" hidden="1" x14ac:dyDescent="0.75">
      <c r="A88" s="1227"/>
      <c r="B88" s="1" t="s">
        <v>1136</v>
      </c>
      <c r="C88" s="563" t="s">
        <v>1146</v>
      </c>
      <c r="D88" s="135"/>
      <c r="E88" s="78"/>
      <c r="F88" s="78"/>
      <c r="G88" s="78"/>
      <c r="H88" s="78"/>
      <c r="I88" s="78"/>
      <c r="J88" s="78"/>
      <c r="K88" s="370"/>
      <c r="L88" s="236"/>
      <c r="M88" s="236"/>
      <c r="N88" s="236"/>
      <c r="O88" s="236"/>
      <c r="P88" s="236"/>
      <c r="Q88" s="236"/>
      <c r="R88" s="236"/>
      <c r="S88" s="236"/>
      <c r="T88" s="236"/>
      <c r="U88" s="236"/>
      <c r="V88" s="236"/>
      <c r="W88" s="236"/>
      <c r="X88" s="236"/>
      <c r="Y88" s="236"/>
      <c r="Z88" s="236"/>
      <c r="AA88" s="236"/>
      <c r="AB88" s="375"/>
      <c r="AC88" s="345"/>
      <c r="AD88" s="345"/>
      <c r="AE88" s="345"/>
      <c r="AF88" s="345"/>
      <c r="AG88" s="345"/>
      <c r="AH88" s="345"/>
      <c r="AI88" s="302"/>
      <c r="AJ88" s="184"/>
      <c r="AK88" s="30"/>
      <c r="AL88" s="1392"/>
      <c r="AM88" s="31"/>
      <c r="AN88" s="355"/>
      <c r="AO88" s="13"/>
      <c r="AP88" s="81"/>
      <c r="AQ88" s="82"/>
    </row>
    <row r="89" spans="1:43" s="83" customFormat="1" ht="25.9" hidden="1" thickBot="1" x14ac:dyDescent="0.8">
      <c r="A89" s="1228"/>
      <c r="B89" s="356" t="s">
        <v>1137</v>
      </c>
      <c r="C89" s="563" t="s">
        <v>1147</v>
      </c>
      <c r="D89" s="119"/>
      <c r="E89" s="102"/>
      <c r="F89" s="102"/>
      <c r="G89" s="102"/>
      <c r="H89" s="102"/>
      <c r="I89" s="102"/>
      <c r="J89" s="102"/>
      <c r="K89" s="364"/>
      <c r="L89" s="248"/>
      <c r="M89" s="248"/>
      <c r="N89" s="248"/>
      <c r="O89" s="248"/>
      <c r="P89" s="248"/>
      <c r="Q89" s="248"/>
      <c r="R89" s="248"/>
      <c r="S89" s="248"/>
      <c r="T89" s="248"/>
      <c r="U89" s="248"/>
      <c r="V89" s="248"/>
      <c r="W89" s="248"/>
      <c r="X89" s="248"/>
      <c r="Y89" s="248"/>
      <c r="Z89" s="248"/>
      <c r="AA89" s="248"/>
      <c r="AB89" s="375"/>
      <c r="AC89" s="345"/>
      <c r="AD89" s="345"/>
      <c r="AE89" s="345"/>
      <c r="AF89" s="345"/>
      <c r="AG89" s="345"/>
      <c r="AH89" s="345"/>
      <c r="AI89" s="302"/>
      <c r="AJ89" s="184"/>
      <c r="AK89" s="30"/>
      <c r="AL89" s="1392"/>
      <c r="AM89" s="31"/>
      <c r="AN89" s="355"/>
      <c r="AO89" s="13"/>
      <c r="AP89" s="81"/>
      <c r="AQ89" s="82"/>
    </row>
    <row r="90" spans="1:43" s="83" customFormat="1" ht="25.5" hidden="1" customHeight="1" x14ac:dyDescent="0.75">
      <c r="A90" s="1226" t="s">
        <v>985</v>
      </c>
      <c r="B90" s="1" t="s">
        <v>1134</v>
      </c>
      <c r="C90" s="563" t="s">
        <v>992</v>
      </c>
      <c r="D90" s="134"/>
      <c r="E90" s="99"/>
      <c r="F90" s="99"/>
      <c r="G90" s="99"/>
      <c r="H90" s="99"/>
      <c r="I90" s="99"/>
      <c r="J90" s="99"/>
      <c r="K90" s="363"/>
      <c r="L90" s="236"/>
      <c r="M90" s="236"/>
      <c r="N90" s="236"/>
      <c r="O90" s="236"/>
      <c r="P90" s="236"/>
      <c r="Q90" s="236"/>
      <c r="R90" s="236"/>
      <c r="S90" s="236"/>
      <c r="T90" s="236"/>
      <c r="U90" s="236"/>
      <c r="V90" s="236"/>
      <c r="W90" s="236"/>
      <c r="X90" s="236"/>
      <c r="Y90" s="236"/>
      <c r="Z90" s="236"/>
      <c r="AA90" s="236"/>
      <c r="AB90" s="375"/>
      <c r="AC90" s="345"/>
      <c r="AD90" s="345"/>
      <c r="AE90" s="345"/>
      <c r="AF90" s="345"/>
      <c r="AG90" s="345"/>
      <c r="AH90" s="345"/>
      <c r="AI90" s="302"/>
      <c r="AJ90" s="188">
        <f t="shared" si="41"/>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392"/>
      <c r="AM90" s="31"/>
      <c r="AN90" s="355"/>
      <c r="AO90" s="13">
        <v>32</v>
      </c>
      <c r="AP90" s="81"/>
      <c r="AQ90" s="82"/>
    </row>
    <row r="91" spans="1:43" s="83" customFormat="1" ht="25.9" hidden="1" thickBot="1" x14ac:dyDescent="0.8">
      <c r="A91" s="1227"/>
      <c r="B91" s="356" t="s">
        <v>1135</v>
      </c>
      <c r="C91" s="565" t="s">
        <v>993</v>
      </c>
      <c r="D91" s="135"/>
      <c r="E91" s="78"/>
      <c r="F91" s="78"/>
      <c r="G91" s="78"/>
      <c r="H91" s="78"/>
      <c r="I91" s="78"/>
      <c r="J91" s="78"/>
      <c r="K91" s="370"/>
      <c r="L91" s="141"/>
      <c r="M91" s="141"/>
      <c r="N91" s="141"/>
      <c r="O91" s="141"/>
      <c r="P91" s="141"/>
      <c r="Q91" s="141"/>
      <c r="R91" s="141"/>
      <c r="S91" s="141"/>
      <c r="T91" s="141"/>
      <c r="U91" s="141"/>
      <c r="V91" s="141"/>
      <c r="W91" s="141"/>
      <c r="X91" s="141"/>
      <c r="Y91" s="141"/>
      <c r="Z91" s="141"/>
      <c r="AA91" s="141"/>
      <c r="AB91" s="375"/>
      <c r="AC91" s="345"/>
      <c r="AD91" s="345"/>
      <c r="AE91" s="345"/>
      <c r="AF91" s="345"/>
      <c r="AG91" s="345"/>
      <c r="AH91" s="345"/>
      <c r="AI91" s="302"/>
      <c r="AJ91" s="192">
        <f t="shared" si="41"/>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392"/>
      <c r="AM91" s="31"/>
      <c r="AN91" s="355"/>
      <c r="AO91" s="13">
        <v>33</v>
      </c>
      <c r="AP91" s="81"/>
      <c r="AQ91" s="82"/>
    </row>
    <row r="92" spans="1:43" s="83" customFormat="1" ht="25.5" hidden="1" x14ac:dyDescent="0.75">
      <c r="A92" s="1227"/>
      <c r="B92" s="1" t="s">
        <v>1136</v>
      </c>
      <c r="C92" s="563" t="s">
        <v>1148</v>
      </c>
      <c r="D92" s="135"/>
      <c r="E92" s="78"/>
      <c r="F92" s="78"/>
      <c r="G92" s="78"/>
      <c r="H92" s="78"/>
      <c r="I92" s="78"/>
      <c r="J92" s="78"/>
      <c r="K92" s="370"/>
      <c r="L92" s="236"/>
      <c r="M92" s="236"/>
      <c r="N92" s="236"/>
      <c r="O92" s="236"/>
      <c r="P92" s="236"/>
      <c r="Q92" s="236"/>
      <c r="R92" s="236"/>
      <c r="S92" s="236"/>
      <c r="T92" s="236"/>
      <c r="U92" s="236"/>
      <c r="V92" s="236"/>
      <c r="W92" s="236"/>
      <c r="X92" s="236"/>
      <c r="Y92" s="236"/>
      <c r="Z92" s="236"/>
      <c r="AA92" s="236"/>
      <c r="AB92" s="375"/>
      <c r="AC92" s="345"/>
      <c r="AD92" s="345"/>
      <c r="AE92" s="345"/>
      <c r="AF92" s="345"/>
      <c r="AG92" s="345"/>
      <c r="AH92" s="345"/>
      <c r="AI92" s="302"/>
      <c r="AJ92" s="184"/>
      <c r="AK92" s="30"/>
      <c r="AL92" s="1392"/>
      <c r="AM92" s="31"/>
      <c r="AN92" s="355"/>
      <c r="AO92" s="13"/>
      <c r="AP92" s="81"/>
      <c r="AQ92" s="82"/>
    </row>
    <row r="93" spans="1:43" s="83" customFormat="1" ht="25.9" hidden="1" thickBot="1" x14ac:dyDescent="0.8">
      <c r="A93" s="1228"/>
      <c r="B93" s="356" t="s">
        <v>1137</v>
      </c>
      <c r="C93" s="565" t="s">
        <v>1149</v>
      </c>
      <c r="D93" s="119"/>
      <c r="E93" s="102"/>
      <c r="F93" s="102"/>
      <c r="G93" s="102"/>
      <c r="H93" s="102"/>
      <c r="I93" s="102"/>
      <c r="J93" s="102"/>
      <c r="K93" s="364"/>
      <c r="L93" s="248"/>
      <c r="M93" s="248"/>
      <c r="N93" s="248"/>
      <c r="O93" s="248"/>
      <c r="P93" s="248"/>
      <c r="Q93" s="248"/>
      <c r="R93" s="248"/>
      <c r="S93" s="248"/>
      <c r="T93" s="248"/>
      <c r="U93" s="248"/>
      <c r="V93" s="248"/>
      <c r="W93" s="248"/>
      <c r="X93" s="248"/>
      <c r="Y93" s="248"/>
      <c r="Z93" s="248"/>
      <c r="AA93" s="248"/>
      <c r="AB93" s="375"/>
      <c r="AC93" s="345"/>
      <c r="AD93" s="345"/>
      <c r="AE93" s="345"/>
      <c r="AF93" s="345"/>
      <c r="AG93" s="345"/>
      <c r="AH93" s="345"/>
      <c r="AI93" s="302"/>
      <c r="AJ93" s="184"/>
      <c r="AK93" s="30"/>
      <c r="AL93" s="1392"/>
      <c r="AM93" s="31"/>
      <c r="AN93" s="355"/>
      <c r="AO93" s="13"/>
      <c r="AP93" s="81"/>
      <c r="AQ93" s="82"/>
    </row>
    <row r="94" spans="1:43" s="83" customFormat="1" ht="25.5" hidden="1" customHeight="1" x14ac:dyDescent="0.75">
      <c r="A94" s="1226" t="s">
        <v>986</v>
      </c>
      <c r="B94" s="1" t="s">
        <v>1134</v>
      </c>
      <c r="C94" s="563" t="s">
        <v>994</v>
      </c>
      <c r="D94" s="134"/>
      <c r="E94" s="99"/>
      <c r="F94" s="99"/>
      <c r="G94" s="99"/>
      <c r="H94" s="99"/>
      <c r="I94" s="99"/>
      <c r="J94" s="99"/>
      <c r="K94" s="363"/>
      <c r="L94" s="236"/>
      <c r="M94" s="236"/>
      <c r="N94" s="236"/>
      <c r="O94" s="236"/>
      <c r="P94" s="236"/>
      <c r="Q94" s="236"/>
      <c r="R94" s="236"/>
      <c r="S94" s="236"/>
      <c r="T94" s="236"/>
      <c r="U94" s="236"/>
      <c r="V94" s="236"/>
      <c r="W94" s="236"/>
      <c r="X94" s="236"/>
      <c r="Y94" s="236"/>
      <c r="Z94" s="236"/>
      <c r="AA94" s="236"/>
      <c r="AB94" s="375"/>
      <c r="AC94" s="345"/>
      <c r="AD94" s="345"/>
      <c r="AE94" s="345"/>
      <c r="AF94" s="345"/>
      <c r="AG94" s="345"/>
      <c r="AH94" s="345"/>
      <c r="AI94" s="302"/>
      <c r="AJ94" s="188">
        <f t="shared" si="41"/>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392"/>
      <c r="AM94" s="31"/>
      <c r="AN94" s="355"/>
      <c r="AO94" s="13">
        <v>32</v>
      </c>
      <c r="AP94" s="81"/>
      <c r="AQ94" s="82"/>
    </row>
    <row r="95" spans="1:43" s="83" customFormat="1" ht="25.9" hidden="1" thickBot="1" x14ac:dyDescent="0.8">
      <c r="A95" s="1227"/>
      <c r="B95" s="356" t="s">
        <v>1135</v>
      </c>
      <c r="C95" s="565" t="s">
        <v>995</v>
      </c>
      <c r="D95" s="135"/>
      <c r="E95" s="78"/>
      <c r="F95" s="78"/>
      <c r="G95" s="78"/>
      <c r="H95" s="78"/>
      <c r="I95" s="78"/>
      <c r="J95" s="78"/>
      <c r="K95" s="370"/>
      <c r="L95" s="141"/>
      <c r="M95" s="141"/>
      <c r="N95" s="141"/>
      <c r="O95" s="141"/>
      <c r="P95" s="141"/>
      <c r="Q95" s="141"/>
      <c r="R95" s="141"/>
      <c r="S95" s="141"/>
      <c r="T95" s="141"/>
      <c r="U95" s="141"/>
      <c r="V95" s="141"/>
      <c r="W95" s="141"/>
      <c r="X95" s="141"/>
      <c r="Y95" s="141"/>
      <c r="Z95" s="141"/>
      <c r="AA95" s="141"/>
      <c r="AB95" s="375"/>
      <c r="AC95" s="345"/>
      <c r="AD95" s="345"/>
      <c r="AE95" s="345"/>
      <c r="AF95" s="345"/>
      <c r="AG95" s="345"/>
      <c r="AH95" s="345"/>
      <c r="AI95" s="302"/>
      <c r="AJ95" s="192">
        <f t="shared" si="41"/>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392"/>
      <c r="AM95" s="31"/>
      <c r="AN95" s="355"/>
      <c r="AO95" s="13">
        <v>33</v>
      </c>
      <c r="AP95" s="81"/>
      <c r="AQ95" s="82"/>
    </row>
    <row r="96" spans="1:43" s="83" customFormat="1" ht="25.5" hidden="1" x14ac:dyDescent="0.75">
      <c r="A96" s="1227"/>
      <c r="B96" s="1" t="s">
        <v>1136</v>
      </c>
      <c r="C96" s="563" t="s">
        <v>1150</v>
      </c>
      <c r="D96" s="135"/>
      <c r="E96" s="78"/>
      <c r="F96" s="78"/>
      <c r="G96" s="78"/>
      <c r="H96" s="78"/>
      <c r="I96" s="78"/>
      <c r="J96" s="78"/>
      <c r="K96" s="370"/>
      <c r="L96" s="236"/>
      <c r="M96" s="236"/>
      <c r="N96" s="236"/>
      <c r="O96" s="236"/>
      <c r="P96" s="236"/>
      <c r="Q96" s="236"/>
      <c r="R96" s="236"/>
      <c r="S96" s="236"/>
      <c r="T96" s="236"/>
      <c r="U96" s="236"/>
      <c r="V96" s="236"/>
      <c r="W96" s="236"/>
      <c r="X96" s="236"/>
      <c r="Y96" s="236"/>
      <c r="Z96" s="236"/>
      <c r="AA96" s="236"/>
      <c r="AB96" s="375"/>
      <c r="AC96" s="345"/>
      <c r="AD96" s="345"/>
      <c r="AE96" s="345"/>
      <c r="AF96" s="345"/>
      <c r="AG96" s="345"/>
      <c r="AH96" s="345"/>
      <c r="AI96" s="302"/>
      <c r="AJ96" s="184"/>
      <c r="AK96" s="30"/>
      <c r="AL96" s="1392"/>
      <c r="AM96" s="31"/>
      <c r="AN96" s="355"/>
      <c r="AO96" s="13"/>
      <c r="AP96" s="81"/>
      <c r="AQ96" s="82"/>
    </row>
    <row r="97" spans="1:43" s="83" customFormat="1" ht="25.9" hidden="1" thickBot="1" x14ac:dyDescent="0.8">
      <c r="A97" s="1228"/>
      <c r="B97" s="356" t="s">
        <v>1137</v>
      </c>
      <c r="C97" s="565" t="s">
        <v>1151</v>
      </c>
      <c r="D97" s="119"/>
      <c r="E97" s="102"/>
      <c r="F97" s="102"/>
      <c r="G97" s="102"/>
      <c r="H97" s="102"/>
      <c r="I97" s="102"/>
      <c r="J97" s="102"/>
      <c r="K97" s="364"/>
      <c r="L97" s="248"/>
      <c r="M97" s="248"/>
      <c r="N97" s="248"/>
      <c r="O97" s="248"/>
      <c r="P97" s="248"/>
      <c r="Q97" s="248"/>
      <c r="R97" s="248"/>
      <c r="S97" s="248"/>
      <c r="T97" s="248"/>
      <c r="U97" s="248"/>
      <c r="V97" s="248"/>
      <c r="W97" s="248"/>
      <c r="X97" s="248"/>
      <c r="Y97" s="248"/>
      <c r="Z97" s="248"/>
      <c r="AA97" s="248"/>
      <c r="AB97" s="375"/>
      <c r="AC97" s="345"/>
      <c r="AD97" s="345"/>
      <c r="AE97" s="345"/>
      <c r="AF97" s="345"/>
      <c r="AG97" s="345"/>
      <c r="AH97" s="345"/>
      <c r="AI97" s="302"/>
      <c r="AJ97" s="184"/>
      <c r="AK97" s="30"/>
      <c r="AL97" s="1392"/>
      <c r="AM97" s="31"/>
      <c r="AN97" s="355"/>
      <c r="AO97" s="13"/>
      <c r="AP97" s="81"/>
      <c r="AQ97" s="82"/>
    </row>
    <row r="98" spans="1:43" s="83" customFormat="1" ht="25.5" hidden="1" customHeight="1" x14ac:dyDescent="0.75">
      <c r="A98" s="1226" t="s">
        <v>987</v>
      </c>
      <c r="B98" s="1" t="s">
        <v>1134</v>
      </c>
      <c r="C98" s="563" t="s">
        <v>996</v>
      </c>
      <c r="D98" s="134"/>
      <c r="E98" s="99"/>
      <c r="F98" s="99"/>
      <c r="G98" s="99"/>
      <c r="H98" s="99"/>
      <c r="I98" s="99"/>
      <c r="J98" s="99"/>
      <c r="K98" s="363"/>
      <c r="L98" s="236"/>
      <c r="M98" s="236"/>
      <c r="N98" s="236"/>
      <c r="O98" s="236"/>
      <c r="P98" s="236"/>
      <c r="Q98" s="236"/>
      <c r="R98" s="236"/>
      <c r="S98" s="236"/>
      <c r="T98" s="236"/>
      <c r="U98" s="236"/>
      <c r="V98" s="236"/>
      <c r="W98" s="236"/>
      <c r="X98" s="236"/>
      <c r="Y98" s="236"/>
      <c r="Z98" s="236"/>
      <c r="AA98" s="236"/>
      <c r="AB98" s="375"/>
      <c r="AC98" s="345"/>
      <c r="AD98" s="345"/>
      <c r="AE98" s="345"/>
      <c r="AF98" s="345"/>
      <c r="AG98" s="345"/>
      <c r="AH98" s="345"/>
      <c r="AI98" s="302"/>
      <c r="AJ98" s="188">
        <f t="shared" si="41"/>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392"/>
      <c r="AM98" s="31"/>
      <c r="AN98" s="355"/>
      <c r="AO98" s="13">
        <v>32</v>
      </c>
      <c r="AP98" s="81"/>
      <c r="AQ98" s="82"/>
    </row>
    <row r="99" spans="1:43" s="83" customFormat="1" ht="25.9" hidden="1" thickBot="1" x14ac:dyDescent="0.8">
      <c r="A99" s="1227"/>
      <c r="B99" s="356" t="s">
        <v>1135</v>
      </c>
      <c r="C99" s="565" t="s">
        <v>997</v>
      </c>
      <c r="D99" s="135"/>
      <c r="E99" s="78"/>
      <c r="F99" s="78"/>
      <c r="G99" s="78"/>
      <c r="H99" s="78"/>
      <c r="I99" s="78"/>
      <c r="J99" s="78"/>
      <c r="K99" s="370"/>
      <c r="L99" s="141"/>
      <c r="M99" s="141"/>
      <c r="N99" s="141"/>
      <c r="O99" s="141"/>
      <c r="P99" s="141"/>
      <c r="Q99" s="141"/>
      <c r="R99" s="141"/>
      <c r="S99" s="141"/>
      <c r="T99" s="141"/>
      <c r="U99" s="141"/>
      <c r="V99" s="141"/>
      <c r="W99" s="141"/>
      <c r="X99" s="141"/>
      <c r="Y99" s="141"/>
      <c r="Z99" s="141"/>
      <c r="AA99" s="141"/>
      <c r="AB99" s="375"/>
      <c r="AC99" s="345"/>
      <c r="AD99" s="345"/>
      <c r="AE99" s="345"/>
      <c r="AF99" s="345"/>
      <c r="AG99" s="345"/>
      <c r="AH99" s="345"/>
      <c r="AI99" s="302"/>
      <c r="AJ99" s="192">
        <f t="shared" si="41"/>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392"/>
      <c r="AM99" s="31"/>
      <c r="AN99" s="355"/>
      <c r="AO99" s="13">
        <v>33</v>
      </c>
      <c r="AP99" s="81"/>
      <c r="AQ99" s="82"/>
    </row>
    <row r="100" spans="1:43" s="83" customFormat="1" ht="25.5" hidden="1" x14ac:dyDescent="0.75">
      <c r="A100" s="1227"/>
      <c r="B100" s="1" t="s">
        <v>1136</v>
      </c>
      <c r="C100" s="563" t="s">
        <v>1152</v>
      </c>
      <c r="D100" s="135"/>
      <c r="E100" s="78"/>
      <c r="F100" s="78"/>
      <c r="G100" s="78"/>
      <c r="H100" s="78"/>
      <c r="I100" s="78"/>
      <c r="J100" s="78"/>
      <c r="K100" s="370"/>
      <c r="L100" s="236"/>
      <c r="M100" s="236"/>
      <c r="N100" s="236"/>
      <c r="O100" s="236"/>
      <c r="P100" s="236"/>
      <c r="Q100" s="236"/>
      <c r="R100" s="236"/>
      <c r="S100" s="236"/>
      <c r="T100" s="236"/>
      <c r="U100" s="236"/>
      <c r="V100" s="236"/>
      <c r="W100" s="236"/>
      <c r="X100" s="236"/>
      <c r="Y100" s="236"/>
      <c r="Z100" s="236"/>
      <c r="AA100" s="236"/>
      <c r="AB100" s="375"/>
      <c r="AC100" s="345"/>
      <c r="AD100" s="345"/>
      <c r="AE100" s="345"/>
      <c r="AF100" s="345"/>
      <c r="AG100" s="345"/>
      <c r="AH100" s="345"/>
      <c r="AI100" s="302"/>
      <c r="AJ100" s="184"/>
      <c r="AK100" s="30"/>
      <c r="AL100" s="1392"/>
      <c r="AM100" s="31"/>
      <c r="AN100" s="355"/>
      <c r="AO100" s="13"/>
      <c r="AP100" s="81"/>
      <c r="AQ100" s="82"/>
    </row>
    <row r="101" spans="1:43" s="83" customFormat="1" ht="25.9" hidden="1" thickBot="1" x14ac:dyDescent="0.8">
      <c r="A101" s="1228"/>
      <c r="B101" s="356" t="s">
        <v>1137</v>
      </c>
      <c r="C101" s="565" t="s">
        <v>1153</v>
      </c>
      <c r="D101" s="119"/>
      <c r="E101" s="102"/>
      <c r="F101" s="102"/>
      <c r="G101" s="102"/>
      <c r="H101" s="102"/>
      <c r="I101" s="102"/>
      <c r="J101" s="102"/>
      <c r="K101" s="364"/>
      <c r="L101" s="248"/>
      <c r="M101" s="248"/>
      <c r="N101" s="248"/>
      <c r="O101" s="248"/>
      <c r="P101" s="248"/>
      <c r="Q101" s="248"/>
      <c r="R101" s="248"/>
      <c r="S101" s="248"/>
      <c r="T101" s="248"/>
      <c r="U101" s="248"/>
      <c r="V101" s="248"/>
      <c r="W101" s="248"/>
      <c r="X101" s="248"/>
      <c r="Y101" s="248"/>
      <c r="Z101" s="248"/>
      <c r="AA101" s="248"/>
      <c r="AB101" s="375"/>
      <c r="AC101" s="345"/>
      <c r="AD101" s="345"/>
      <c r="AE101" s="345"/>
      <c r="AF101" s="345"/>
      <c r="AG101" s="345"/>
      <c r="AH101" s="345"/>
      <c r="AI101" s="302"/>
      <c r="AJ101" s="184"/>
      <c r="AK101" s="30"/>
      <c r="AL101" s="1392"/>
      <c r="AM101" s="31"/>
      <c r="AN101" s="355"/>
      <c r="AO101" s="13"/>
      <c r="AP101" s="81"/>
      <c r="AQ101" s="82"/>
    </row>
    <row r="102" spans="1:43" s="83" customFormat="1" ht="25.15" hidden="1" customHeight="1" x14ac:dyDescent="0.75">
      <c r="A102" s="1226" t="s">
        <v>1005</v>
      </c>
      <c r="B102" s="1" t="s">
        <v>1134</v>
      </c>
      <c r="C102" s="563" t="s">
        <v>998</v>
      </c>
      <c r="D102" s="493"/>
      <c r="E102" s="71"/>
      <c r="F102" s="71"/>
      <c r="G102" s="71"/>
      <c r="H102" s="71"/>
      <c r="I102" s="71"/>
      <c r="J102" s="71"/>
      <c r="K102" s="494"/>
      <c r="L102" s="236"/>
      <c r="M102" s="236"/>
      <c r="N102" s="236"/>
      <c r="O102" s="236"/>
      <c r="P102" s="236"/>
      <c r="Q102" s="236"/>
      <c r="R102" s="236"/>
      <c r="S102" s="236"/>
      <c r="T102" s="236"/>
      <c r="U102" s="236"/>
      <c r="V102" s="236"/>
      <c r="W102" s="236"/>
      <c r="X102" s="236"/>
      <c r="Y102" s="236"/>
      <c r="Z102" s="236"/>
      <c r="AA102" s="236"/>
      <c r="AB102" s="375"/>
      <c r="AC102" s="345"/>
      <c r="AD102" s="345"/>
      <c r="AE102" s="345"/>
      <c r="AF102" s="345"/>
      <c r="AG102" s="345"/>
      <c r="AH102" s="345"/>
      <c r="AI102" s="302"/>
      <c r="AJ102" s="188">
        <f t="shared" si="41"/>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392"/>
      <c r="AM102" s="31"/>
      <c r="AN102" s="355"/>
      <c r="AO102" s="13">
        <v>32</v>
      </c>
      <c r="AP102" s="81"/>
      <c r="AQ102" s="82"/>
    </row>
    <row r="103" spans="1:43" s="83" customFormat="1" ht="28.15" hidden="1" customHeight="1" thickBot="1" x14ac:dyDescent="0.8">
      <c r="A103" s="1227"/>
      <c r="B103" s="356" t="s">
        <v>1135</v>
      </c>
      <c r="C103" s="565" t="s">
        <v>999</v>
      </c>
      <c r="D103" s="119"/>
      <c r="E103" s="102"/>
      <c r="F103" s="102"/>
      <c r="G103" s="102"/>
      <c r="H103" s="102"/>
      <c r="I103" s="102"/>
      <c r="J103" s="102"/>
      <c r="K103" s="364"/>
      <c r="L103" s="141"/>
      <c r="M103" s="141"/>
      <c r="N103" s="141"/>
      <c r="O103" s="141"/>
      <c r="P103" s="141"/>
      <c r="Q103" s="141"/>
      <c r="R103" s="141"/>
      <c r="S103" s="141"/>
      <c r="T103" s="141"/>
      <c r="U103" s="141"/>
      <c r="V103" s="141"/>
      <c r="W103" s="141"/>
      <c r="X103" s="141"/>
      <c r="Y103" s="141"/>
      <c r="Z103" s="141"/>
      <c r="AA103" s="141"/>
      <c r="AB103" s="376"/>
      <c r="AC103" s="377"/>
      <c r="AD103" s="377"/>
      <c r="AE103" s="377"/>
      <c r="AF103" s="377"/>
      <c r="AG103" s="377"/>
      <c r="AH103" s="377"/>
      <c r="AI103" s="303"/>
      <c r="AJ103" s="192">
        <f t="shared" si="41"/>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392"/>
      <c r="AM103" s="31"/>
      <c r="AN103" s="355"/>
      <c r="AO103" s="13">
        <v>33</v>
      </c>
      <c r="AP103" s="81"/>
      <c r="AQ103" s="82"/>
    </row>
    <row r="104" spans="1:43" s="83" customFormat="1" ht="27.4" hidden="1" customHeight="1" x14ac:dyDescent="0.75">
      <c r="A104" s="1227"/>
      <c r="B104" s="1" t="s">
        <v>1136</v>
      </c>
      <c r="C104" s="563" t="s">
        <v>1154</v>
      </c>
      <c r="D104" s="492"/>
      <c r="E104" s="120"/>
      <c r="F104" s="120"/>
      <c r="G104" s="120"/>
      <c r="H104" s="120"/>
      <c r="I104" s="120"/>
      <c r="J104" s="120"/>
      <c r="K104" s="394"/>
      <c r="L104" s="236"/>
      <c r="M104" s="236"/>
      <c r="N104" s="236"/>
      <c r="O104" s="236"/>
      <c r="P104" s="236"/>
      <c r="Q104" s="236"/>
      <c r="R104" s="236"/>
      <c r="S104" s="236"/>
      <c r="T104" s="236"/>
      <c r="U104" s="236"/>
      <c r="V104" s="236"/>
      <c r="W104" s="236"/>
      <c r="X104" s="236"/>
      <c r="Y104" s="236"/>
      <c r="Z104" s="236"/>
      <c r="AA104" s="236"/>
      <c r="AB104" s="375"/>
      <c r="AC104" s="345"/>
      <c r="AD104" s="345"/>
      <c r="AE104" s="345"/>
      <c r="AF104" s="345"/>
      <c r="AG104" s="345"/>
      <c r="AH104" s="345"/>
      <c r="AI104" s="302"/>
      <c r="AJ104" s="184"/>
      <c r="AK104" s="30"/>
      <c r="AL104" s="1392"/>
      <c r="AM104" s="31"/>
      <c r="AN104" s="355"/>
      <c r="AO104" s="13"/>
      <c r="AP104" s="81"/>
      <c r="AQ104" s="82"/>
    </row>
    <row r="105" spans="1:43" s="83" customFormat="1" ht="24.4" hidden="1" customHeight="1" thickBot="1" x14ac:dyDescent="0.8">
      <c r="A105" s="1228"/>
      <c r="B105" s="356" t="s">
        <v>1137</v>
      </c>
      <c r="C105" s="565" t="s">
        <v>1155</v>
      </c>
      <c r="D105" s="492"/>
      <c r="E105" s="120"/>
      <c r="F105" s="120"/>
      <c r="G105" s="120"/>
      <c r="H105" s="120"/>
      <c r="I105" s="120"/>
      <c r="J105" s="120"/>
      <c r="K105" s="394"/>
      <c r="L105" s="248"/>
      <c r="M105" s="248"/>
      <c r="N105" s="248"/>
      <c r="O105" s="248"/>
      <c r="P105" s="248"/>
      <c r="Q105" s="248"/>
      <c r="R105" s="248"/>
      <c r="S105" s="248"/>
      <c r="T105" s="248"/>
      <c r="U105" s="248"/>
      <c r="V105" s="248"/>
      <c r="W105" s="248"/>
      <c r="X105" s="248"/>
      <c r="Y105" s="248"/>
      <c r="Z105" s="248"/>
      <c r="AA105" s="248"/>
      <c r="AB105" s="375"/>
      <c r="AC105" s="345"/>
      <c r="AD105" s="345"/>
      <c r="AE105" s="345"/>
      <c r="AF105" s="345"/>
      <c r="AG105" s="345"/>
      <c r="AH105" s="345"/>
      <c r="AI105" s="302"/>
      <c r="AJ105" s="184"/>
      <c r="AK105" s="30"/>
      <c r="AL105" s="1392"/>
      <c r="AM105" s="31"/>
      <c r="AN105" s="355"/>
      <c r="AO105" s="13"/>
      <c r="AP105" s="81"/>
      <c r="AQ105" s="82"/>
    </row>
    <row r="106" spans="1:43" s="83" customFormat="1" ht="25.5" hidden="1" customHeight="1" x14ac:dyDescent="0.75">
      <c r="A106" s="1132" t="s">
        <v>988</v>
      </c>
      <c r="B106" s="1" t="s">
        <v>989</v>
      </c>
      <c r="C106" s="567" t="s">
        <v>1006</v>
      </c>
      <c r="D106" s="135"/>
      <c r="E106" s="78"/>
      <c r="F106" s="78"/>
      <c r="G106" s="78"/>
      <c r="H106" s="78"/>
      <c r="I106" s="78"/>
      <c r="J106" s="78"/>
      <c r="K106" s="370"/>
      <c r="L106" s="236"/>
      <c r="M106" s="94"/>
      <c r="N106" s="94"/>
      <c r="O106" s="94"/>
      <c r="P106" s="94"/>
      <c r="Q106" s="94"/>
      <c r="R106" s="94"/>
      <c r="S106" s="94"/>
      <c r="T106" s="94"/>
      <c r="U106" s="94"/>
      <c r="V106" s="94"/>
      <c r="W106" s="94"/>
      <c r="X106" s="94"/>
      <c r="Y106" s="94"/>
      <c r="Z106" s="94"/>
      <c r="AA106" s="310"/>
      <c r="AB106" s="1119"/>
      <c r="AC106" s="1120"/>
      <c r="AD106" s="1120"/>
      <c r="AE106" s="1120"/>
      <c r="AF106" s="1120"/>
      <c r="AG106" s="1120"/>
      <c r="AH106" s="1120"/>
      <c r="AI106" s="1121"/>
      <c r="AJ106" s="395">
        <f t="shared" si="41"/>
        <v>0</v>
      </c>
      <c r="AK106" s="30"/>
      <c r="AL106" s="1392"/>
      <c r="AM106" s="31"/>
      <c r="AN106" s="355"/>
      <c r="AO106" s="13">
        <v>32</v>
      </c>
      <c r="AP106" s="81"/>
      <c r="AQ106" s="82"/>
    </row>
    <row r="107" spans="1:43" s="83" customFormat="1" ht="25.9" hidden="1" customHeight="1" thickBot="1" x14ac:dyDescent="0.8">
      <c r="A107" s="1134"/>
      <c r="B107" s="356" t="s">
        <v>990</v>
      </c>
      <c r="C107" s="568" t="s">
        <v>1007</v>
      </c>
      <c r="D107" s="119"/>
      <c r="E107" s="102"/>
      <c r="F107" s="102"/>
      <c r="G107" s="102"/>
      <c r="H107" s="102"/>
      <c r="I107" s="102"/>
      <c r="J107" s="102"/>
      <c r="K107" s="364"/>
      <c r="L107" s="391"/>
      <c r="M107" s="97"/>
      <c r="N107" s="97"/>
      <c r="O107" s="97"/>
      <c r="P107" s="97"/>
      <c r="Q107" s="97"/>
      <c r="R107" s="97"/>
      <c r="S107" s="97"/>
      <c r="T107" s="97"/>
      <c r="U107" s="97"/>
      <c r="V107" s="97"/>
      <c r="W107" s="97"/>
      <c r="X107" s="97"/>
      <c r="Y107" s="97"/>
      <c r="Z107" s="97"/>
      <c r="AA107" s="311"/>
      <c r="AB107" s="359"/>
      <c r="AC107" s="360"/>
      <c r="AD107" s="360"/>
      <c r="AE107" s="360"/>
      <c r="AF107" s="360"/>
      <c r="AG107" s="360"/>
      <c r="AH107" s="360"/>
      <c r="AI107" s="361"/>
      <c r="AJ107" s="396">
        <f t="shared" si="41"/>
        <v>0</v>
      </c>
      <c r="AK107" s="30"/>
      <c r="AL107" s="1393"/>
      <c r="AM107" s="31"/>
      <c r="AN107" s="355"/>
      <c r="AO107" s="13">
        <v>33</v>
      </c>
      <c r="AP107" s="81"/>
      <c r="AQ107" s="82"/>
    </row>
    <row r="108" spans="1:43" ht="25.9" hidden="1" thickBot="1" x14ac:dyDescent="0.8">
      <c r="A108" s="1143" t="s">
        <v>100</v>
      </c>
      <c r="B108" s="1144"/>
      <c r="C108" s="1145"/>
      <c r="D108" s="1144"/>
      <c r="E108" s="1144"/>
      <c r="F108" s="1144"/>
      <c r="G108" s="1144"/>
      <c r="H108" s="1144"/>
      <c r="I108" s="1144"/>
      <c r="J108" s="1144"/>
      <c r="K108" s="1144"/>
      <c r="L108" s="1144"/>
      <c r="M108" s="1144"/>
      <c r="N108" s="1144"/>
      <c r="O108" s="1144"/>
      <c r="P108" s="1144"/>
      <c r="Q108" s="1144"/>
      <c r="R108" s="1144"/>
      <c r="S108" s="1144"/>
      <c r="T108" s="1144"/>
      <c r="U108" s="1144"/>
      <c r="V108" s="1144"/>
      <c r="W108" s="1144"/>
      <c r="X108" s="1144"/>
      <c r="Y108" s="1144"/>
      <c r="Z108" s="1144"/>
      <c r="AA108" s="1144"/>
      <c r="AB108" s="1145"/>
      <c r="AC108" s="1145"/>
      <c r="AD108" s="1145"/>
      <c r="AE108" s="1145"/>
      <c r="AF108" s="1145"/>
      <c r="AG108" s="1145"/>
      <c r="AH108" s="1145"/>
      <c r="AI108" s="1145"/>
      <c r="AJ108" s="1144"/>
      <c r="AK108" s="1144"/>
      <c r="AL108" s="1145"/>
      <c r="AM108" s="1144"/>
      <c r="AN108" s="1146"/>
      <c r="AO108" s="13">
        <v>50</v>
      </c>
      <c r="AP108" s="74"/>
      <c r="AQ108" s="75"/>
    </row>
    <row r="109" spans="1:43" ht="26.25" hidden="1" customHeight="1" x14ac:dyDescent="0.75">
      <c r="A109" s="1122" t="s">
        <v>36</v>
      </c>
      <c r="B109" s="1126" t="s">
        <v>321</v>
      </c>
      <c r="C109" s="1155" t="s">
        <v>305</v>
      </c>
      <c r="D109" s="1389"/>
      <c r="E109" s="1389"/>
      <c r="F109" s="1389"/>
      <c r="G109" s="1389"/>
      <c r="H109" s="1389"/>
      <c r="I109" s="1389"/>
      <c r="J109" s="1135" t="s">
        <v>3</v>
      </c>
      <c r="K109" s="1135"/>
      <c r="L109" s="1135" t="s">
        <v>4</v>
      </c>
      <c r="M109" s="1135"/>
      <c r="N109" s="1135" t="s">
        <v>5</v>
      </c>
      <c r="O109" s="1135"/>
      <c r="P109" s="1135" t="s">
        <v>6</v>
      </c>
      <c r="Q109" s="1135"/>
      <c r="R109" s="1135" t="s">
        <v>7</v>
      </c>
      <c r="S109" s="1135"/>
      <c r="T109" s="1135" t="s">
        <v>8</v>
      </c>
      <c r="U109" s="1135"/>
      <c r="V109" s="1135" t="s">
        <v>23</v>
      </c>
      <c r="W109" s="1135"/>
      <c r="X109" s="1135" t="s">
        <v>24</v>
      </c>
      <c r="Y109" s="1135"/>
      <c r="Z109" s="1135" t="s">
        <v>9</v>
      </c>
      <c r="AA109" s="1135"/>
      <c r="AB109" s="1341"/>
      <c r="AC109" s="1117"/>
      <c r="AD109" s="1117"/>
      <c r="AE109" s="1117"/>
      <c r="AF109" s="1117"/>
      <c r="AG109" s="1117"/>
      <c r="AH109" s="1117"/>
      <c r="AI109" s="1118"/>
      <c r="AJ109" s="1353" t="s">
        <v>19</v>
      </c>
      <c r="AK109" s="1183" t="s">
        <v>354</v>
      </c>
      <c r="AL109" s="1235" t="s">
        <v>360</v>
      </c>
      <c r="AM109" s="1149" t="s">
        <v>361</v>
      </c>
      <c r="AN109" s="1147" t="s">
        <v>361</v>
      </c>
      <c r="AO109" s="13">
        <v>51</v>
      </c>
      <c r="AP109" s="74"/>
      <c r="AQ109" s="75"/>
    </row>
    <row r="110" spans="1:43" ht="27" hidden="1" customHeight="1" thickBot="1" x14ac:dyDescent="0.8">
      <c r="A110" s="1123"/>
      <c r="B110" s="1127"/>
      <c r="C110" s="1156"/>
      <c r="D110" s="1390"/>
      <c r="E110" s="1390"/>
      <c r="F110" s="1390"/>
      <c r="G110" s="1390"/>
      <c r="H110" s="1390"/>
      <c r="I110" s="1390"/>
      <c r="J110" s="284" t="s">
        <v>10</v>
      </c>
      <c r="K110" s="284" t="s">
        <v>11</v>
      </c>
      <c r="L110" s="284" t="s">
        <v>10</v>
      </c>
      <c r="M110" s="284" t="s">
        <v>11</v>
      </c>
      <c r="N110" s="284" t="s">
        <v>10</v>
      </c>
      <c r="O110" s="284" t="s">
        <v>11</v>
      </c>
      <c r="P110" s="284" t="s">
        <v>10</v>
      </c>
      <c r="Q110" s="284" t="s">
        <v>11</v>
      </c>
      <c r="R110" s="284" t="s">
        <v>10</v>
      </c>
      <c r="S110" s="284" t="s">
        <v>11</v>
      </c>
      <c r="T110" s="284" t="s">
        <v>10</v>
      </c>
      <c r="U110" s="284" t="s">
        <v>11</v>
      </c>
      <c r="V110" s="284" t="s">
        <v>10</v>
      </c>
      <c r="W110" s="284" t="s">
        <v>11</v>
      </c>
      <c r="X110" s="284" t="s">
        <v>10</v>
      </c>
      <c r="Y110" s="284" t="s">
        <v>11</v>
      </c>
      <c r="Z110" s="284" t="s">
        <v>10</v>
      </c>
      <c r="AA110" s="284" t="s">
        <v>11</v>
      </c>
      <c r="AB110" s="371"/>
      <c r="AC110" s="358"/>
      <c r="AD110" s="358"/>
      <c r="AE110" s="358"/>
      <c r="AF110" s="358"/>
      <c r="AG110" s="358"/>
      <c r="AH110" s="358"/>
      <c r="AI110" s="372"/>
      <c r="AJ110" s="1354"/>
      <c r="AK110" s="1355"/>
      <c r="AL110" s="1236"/>
      <c r="AM110" s="1150"/>
      <c r="AN110" s="1148"/>
      <c r="AO110" s="13">
        <v>52</v>
      </c>
      <c r="AP110" s="74"/>
      <c r="AQ110" s="75"/>
    </row>
    <row r="111" spans="1:43" ht="25.5" hidden="1" x14ac:dyDescent="0.75">
      <c r="A111" s="1132" t="s">
        <v>20</v>
      </c>
      <c r="B111" s="91" t="s">
        <v>948</v>
      </c>
      <c r="C111" s="558" t="s">
        <v>162</v>
      </c>
      <c r="D111" s="134"/>
      <c r="E111" s="99"/>
      <c r="F111" s="99"/>
      <c r="G111" s="99"/>
      <c r="H111" s="99"/>
      <c r="I111" s="363"/>
      <c r="J111" s="236"/>
      <c r="K111" s="94"/>
      <c r="L111" s="94"/>
      <c r="M111" s="94"/>
      <c r="N111" s="94"/>
      <c r="O111" s="94"/>
      <c r="P111" s="94"/>
      <c r="Q111" s="94"/>
      <c r="R111" s="94"/>
      <c r="S111" s="94"/>
      <c r="T111" s="94"/>
      <c r="U111" s="94"/>
      <c r="V111" s="94"/>
      <c r="W111" s="94"/>
      <c r="X111" s="94"/>
      <c r="Y111" s="94"/>
      <c r="Z111" s="94"/>
      <c r="AA111" s="310"/>
      <c r="AB111" s="373"/>
      <c r="AC111" s="374"/>
      <c r="AD111" s="374"/>
      <c r="AE111" s="374"/>
      <c r="AF111" s="374"/>
      <c r="AG111" s="374"/>
      <c r="AH111" s="374"/>
      <c r="AI111" s="305"/>
      <c r="AJ111" s="188">
        <f>SUM(D111:AA111)</f>
        <v>0</v>
      </c>
      <c r="AK111" s="116"/>
      <c r="AL111" s="1347" t="str">
        <f>CONCATENATE(AK111,AK112,AK113,AK114,AK116,AK117,AK119,AK118,AK120)</f>
        <v/>
      </c>
      <c r="AM111" s="31"/>
      <c r="AN111" s="1382" t="str">
        <f>CONCATENATE(AM111,AM112,AM113,AM114,AM116)</f>
        <v/>
      </c>
      <c r="AO111" s="13">
        <v>53</v>
      </c>
      <c r="AP111" s="74"/>
      <c r="AQ111" s="75"/>
    </row>
    <row r="112" spans="1:43" ht="25.5" hidden="1" x14ac:dyDescent="0.75">
      <c r="A112" s="1133"/>
      <c r="B112" s="76" t="s">
        <v>915</v>
      </c>
      <c r="C112" s="559" t="s">
        <v>164</v>
      </c>
      <c r="D112" s="135"/>
      <c r="E112" s="78"/>
      <c r="F112" s="78"/>
      <c r="G112" s="78"/>
      <c r="H112" s="78"/>
      <c r="I112" s="370"/>
      <c r="J112" s="392">
        <f>SUM(J113:J116)</f>
        <v>0</v>
      </c>
      <c r="K112" s="117">
        <f t="shared" ref="K112:AA112" si="44">SUM(K113:K116)</f>
        <v>0</v>
      </c>
      <c r="L112" s="117">
        <f t="shared" si="44"/>
        <v>0</v>
      </c>
      <c r="M112" s="117">
        <f t="shared" si="44"/>
        <v>0</v>
      </c>
      <c r="N112" s="117">
        <f t="shared" si="44"/>
        <v>0</v>
      </c>
      <c r="O112" s="117">
        <f t="shared" si="44"/>
        <v>0</v>
      </c>
      <c r="P112" s="117">
        <f t="shared" si="44"/>
        <v>0</v>
      </c>
      <c r="Q112" s="117">
        <f t="shared" si="44"/>
        <v>0</v>
      </c>
      <c r="R112" s="117">
        <f t="shared" si="44"/>
        <v>0</v>
      </c>
      <c r="S112" s="117">
        <f t="shared" si="44"/>
        <v>0</v>
      </c>
      <c r="T112" s="117">
        <f t="shared" si="44"/>
        <v>0</v>
      </c>
      <c r="U112" s="117">
        <f t="shared" si="44"/>
        <v>0</v>
      </c>
      <c r="V112" s="117">
        <f t="shared" si="44"/>
        <v>0</v>
      </c>
      <c r="W112" s="117">
        <f t="shared" si="44"/>
        <v>0</v>
      </c>
      <c r="X112" s="117">
        <f t="shared" si="44"/>
        <v>0</v>
      </c>
      <c r="Y112" s="117">
        <f t="shared" si="44"/>
        <v>0</v>
      </c>
      <c r="Z112" s="117">
        <f t="shared" si="44"/>
        <v>0</v>
      </c>
      <c r="AA112" s="317">
        <f t="shared" si="44"/>
        <v>0</v>
      </c>
      <c r="AB112" s="375"/>
      <c r="AC112" s="345"/>
      <c r="AD112" s="345"/>
      <c r="AE112" s="345"/>
      <c r="AF112" s="345"/>
      <c r="AG112" s="345"/>
      <c r="AH112" s="345"/>
      <c r="AI112" s="302"/>
      <c r="AJ112" s="173">
        <f t="shared" ref="AJ112:AJ117" si="45">SUM(D112:AA112)</f>
        <v>0</v>
      </c>
      <c r="AK112" s="116"/>
      <c r="AL112" s="1348"/>
      <c r="AM112" s="31"/>
      <c r="AN112" s="1365"/>
      <c r="AO112" s="13">
        <v>54</v>
      </c>
      <c r="AP112" s="74"/>
      <c r="AQ112" s="75"/>
    </row>
    <row r="113" spans="1:43" ht="25.5" hidden="1" x14ac:dyDescent="0.75">
      <c r="A113" s="1133"/>
      <c r="B113" s="76" t="s">
        <v>614</v>
      </c>
      <c r="C113" s="559" t="s">
        <v>165</v>
      </c>
      <c r="D113" s="135"/>
      <c r="E113" s="78"/>
      <c r="F113" s="78"/>
      <c r="G113" s="78"/>
      <c r="H113" s="78"/>
      <c r="I113" s="370"/>
      <c r="J113" s="237"/>
      <c r="K113" s="79"/>
      <c r="L113" s="79"/>
      <c r="M113" s="79"/>
      <c r="N113" s="79"/>
      <c r="O113" s="79"/>
      <c r="P113" s="79"/>
      <c r="Q113" s="79"/>
      <c r="R113" s="79"/>
      <c r="S113" s="79"/>
      <c r="T113" s="79"/>
      <c r="U113" s="79"/>
      <c r="V113" s="79"/>
      <c r="W113" s="79"/>
      <c r="X113" s="79"/>
      <c r="Y113" s="79"/>
      <c r="Z113" s="79"/>
      <c r="AA113" s="307"/>
      <c r="AB113" s="375"/>
      <c r="AC113" s="345"/>
      <c r="AD113" s="345"/>
      <c r="AE113" s="345"/>
      <c r="AF113" s="345"/>
      <c r="AG113" s="345"/>
      <c r="AH113" s="345"/>
      <c r="AI113" s="302"/>
      <c r="AJ113" s="173">
        <f t="shared" si="45"/>
        <v>0</v>
      </c>
      <c r="AK113" s="116"/>
      <c r="AL113" s="1348"/>
      <c r="AM113" s="31"/>
      <c r="AN113" s="1365"/>
      <c r="AO113" s="13">
        <v>55</v>
      </c>
      <c r="AP113" s="74"/>
      <c r="AQ113" s="75"/>
    </row>
    <row r="114" spans="1:43" ht="25.5" hidden="1" x14ac:dyDescent="0.75">
      <c r="A114" s="1133"/>
      <c r="B114" s="76" t="s">
        <v>615</v>
      </c>
      <c r="C114" s="559" t="s">
        <v>166</v>
      </c>
      <c r="D114" s="135"/>
      <c r="E114" s="78"/>
      <c r="F114" s="78"/>
      <c r="G114" s="78"/>
      <c r="H114" s="78"/>
      <c r="I114" s="370"/>
      <c r="J114" s="237"/>
      <c r="K114" s="79"/>
      <c r="L114" s="79"/>
      <c r="M114" s="79"/>
      <c r="N114" s="79"/>
      <c r="O114" s="79"/>
      <c r="P114" s="79"/>
      <c r="Q114" s="79"/>
      <c r="R114" s="79"/>
      <c r="S114" s="79"/>
      <c r="T114" s="79"/>
      <c r="U114" s="79"/>
      <c r="V114" s="79"/>
      <c r="W114" s="79"/>
      <c r="X114" s="79"/>
      <c r="Y114" s="79"/>
      <c r="Z114" s="79"/>
      <c r="AA114" s="307"/>
      <c r="AB114" s="375"/>
      <c r="AC114" s="345"/>
      <c r="AD114" s="345"/>
      <c r="AE114" s="345"/>
      <c r="AF114" s="345"/>
      <c r="AG114" s="345"/>
      <c r="AH114" s="345"/>
      <c r="AI114" s="302"/>
      <c r="AJ114" s="173">
        <f t="shared" si="45"/>
        <v>0</v>
      </c>
      <c r="AK114" s="116"/>
      <c r="AL114" s="1348"/>
      <c r="AM114" s="31"/>
      <c r="AN114" s="1365"/>
      <c r="AO114" s="13">
        <v>56</v>
      </c>
      <c r="AP114" s="74"/>
      <c r="AQ114" s="75"/>
    </row>
    <row r="115" spans="1:43" ht="25.5" hidden="1" x14ac:dyDescent="0.75">
      <c r="A115" s="1217"/>
      <c r="B115" s="214" t="s">
        <v>1307</v>
      </c>
      <c r="C115" s="981" t="s">
        <v>1256</v>
      </c>
      <c r="D115" s="492"/>
      <c r="E115" s="120"/>
      <c r="F115" s="120"/>
      <c r="G115" s="120"/>
      <c r="H115" s="120"/>
      <c r="I115" s="394"/>
      <c r="J115" s="248"/>
      <c r="K115" s="121"/>
      <c r="L115" s="121"/>
      <c r="M115" s="121"/>
      <c r="N115" s="121"/>
      <c r="O115" s="121"/>
      <c r="P115" s="121"/>
      <c r="Q115" s="121"/>
      <c r="R115" s="121"/>
      <c r="S115" s="121"/>
      <c r="T115" s="121"/>
      <c r="U115" s="121"/>
      <c r="V115" s="121"/>
      <c r="W115" s="121"/>
      <c r="X115" s="121"/>
      <c r="Y115" s="121"/>
      <c r="Z115" s="121"/>
      <c r="AA115" s="318"/>
      <c r="AB115" s="375"/>
      <c r="AC115" s="345"/>
      <c r="AD115" s="345"/>
      <c r="AE115" s="345"/>
      <c r="AF115" s="345"/>
      <c r="AG115" s="345"/>
      <c r="AH115" s="345"/>
      <c r="AI115" s="302"/>
      <c r="AJ115" s="173">
        <f t="shared" si="45"/>
        <v>0</v>
      </c>
      <c r="AK115" s="122"/>
      <c r="AL115" s="1348"/>
      <c r="AM115" s="123"/>
      <c r="AN115" s="1366"/>
      <c r="AO115" s="13"/>
      <c r="AP115" s="74"/>
      <c r="AQ115" s="75"/>
    </row>
    <row r="116" spans="1:43" ht="25.9" hidden="1" thickBot="1" x14ac:dyDescent="0.8">
      <c r="A116" s="1134"/>
      <c r="B116" s="118" t="s">
        <v>616</v>
      </c>
      <c r="C116" s="560" t="s">
        <v>167</v>
      </c>
      <c r="D116" s="119"/>
      <c r="E116" s="102"/>
      <c r="F116" s="102"/>
      <c r="G116" s="120"/>
      <c r="H116" s="120"/>
      <c r="I116" s="394"/>
      <c r="J116" s="248"/>
      <c r="K116" s="121"/>
      <c r="L116" s="121"/>
      <c r="M116" s="121"/>
      <c r="N116" s="121"/>
      <c r="O116" s="121"/>
      <c r="P116" s="121"/>
      <c r="Q116" s="121"/>
      <c r="R116" s="121"/>
      <c r="S116" s="121"/>
      <c r="T116" s="121"/>
      <c r="U116" s="121"/>
      <c r="V116" s="121"/>
      <c r="W116" s="121"/>
      <c r="X116" s="121"/>
      <c r="Y116" s="121"/>
      <c r="Z116" s="121"/>
      <c r="AA116" s="318"/>
      <c r="AB116" s="375"/>
      <c r="AC116" s="345"/>
      <c r="AD116" s="345"/>
      <c r="AE116" s="345"/>
      <c r="AF116" s="345"/>
      <c r="AG116" s="345"/>
      <c r="AH116" s="345"/>
      <c r="AI116" s="302"/>
      <c r="AJ116" s="173">
        <f t="shared" si="45"/>
        <v>0</v>
      </c>
      <c r="AK116" s="122"/>
      <c r="AL116" s="1348"/>
      <c r="AM116" s="123"/>
      <c r="AN116" s="1366"/>
      <c r="AO116" s="13">
        <v>57</v>
      </c>
      <c r="AP116" s="74"/>
      <c r="AQ116" s="75"/>
    </row>
    <row r="117" spans="1:43" ht="25.5" hidden="1" x14ac:dyDescent="0.75">
      <c r="A117" s="1226" t="s">
        <v>1305</v>
      </c>
      <c r="B117" s="91" t="s">
        <v>146</v>
      </c>
      <c r="C117" s="559" t="s">
        <v>925</v>
      </c>
      <c r="D117" s="134"/>
      <c r="E117" s="99"/>
      <c r="F117" s="99"/>
      <c r="G117" s="99"/>
      <c r="H117" s="99"/>
      <c r="I117" s="363"/>
      <c r="J117" s="236"/>
      <c r="K117" s="94"/>
      <c r="L117" s="94"/>
      <c r="M117" s="94"/>
      <c r="N117" s="94"/>
      <c r="O117" s="94"/>
      <c r="P117" s="94"/>
      <c r="Q117" s="94"/>
      <c r="R117" s="94"/>
      <c r="S117" s="94"/>
      <c r="T117" s="94"/>
      <c r="U117" s="94"/>
      <c r="V117" s="94"/>
      <c r="W117" s="94"/>
      <c r="X117" s="94"/>
      <c r="Y117" s="94"/>
      <c r="Z117" s="94"/>
      <c r="AA117" s="310"/>
      <c r="AB117" s="375"/>
      <c r="AC117" s="345"/>
      <c r="AD117" s="345"/>
      <c r="AE117" s="345"/>
      <c r="AF117" s="345"/>
      <c r="AG117" s="345"/>
      <c r="AH117" s="345"/>
      <c r="AI117" s="302"/>
      <c r="AJ117" s="173">
        <f t="shared" si="45"/>
        <v>0</v>
      </c>
      <c r="AK117" s="124" t="str">
        <f>CONCATENATE(IF(D118&gt;D117," * Tested Positive  for Age "&amp;D20&amp;" "&amp;D21&amp;" is more than Number Tested "&amp;CHAR(10),""),IF(E118&gt;E117," * Tested Positive  for Age "&amp;D20&amp;" "&amp;E21&amp;" is more than Number Tested "&amp;CHAR(10),""),IF(F118&gt;F117," * Tested Positive  for Age "&amp;F20&amp;" "&amp;F21&amp;" is more than Number Tested "&amp;CHAR(10),""),IF(G118&gt;G117," * Tested Positive  for Age "&amp;F20&amp;" "&amp;G21&amp;" is more than Number Tested "&amp;CHAR(10),""),IF(H118&gt;H117," * Tested Positive  for Age "&amp;H20&amp;" "&amp;H21&amp;" is more than Number Tested "&amp;CHAR(10),""),IF(I118&gt;I117," * Tested Positive  for Age "&amp;H20&amp;" "&amp;I21&amp;" is more than Number Tested "&amp;CHAR(10),""),IF(J118&gt;J117," * Tested Positive  for Age "&amp;J20&amp;" "&amp;J21&amp;" is more than Number Tested "&amp;CHAR(10),""),IF(K118&gt;K117," * Tested Positive  for Age "&amp;J20&amp;" "&amp;K21&amp;" is more than Number Tested "&amp;CHAR(10),""),IF(L118&gt;L117," * Tested Positive  for Age "&amp;L20&amp;" "&amp;L21&amp;" is more than Number Tested "&amp;CHAR(10),""),IF(M118&gt;M117," * Tested Positive  for Age "&amp;L20&amp;" "&amp;M21&amp;" is more than Number Tested "&amp;CHAR(10),""),IF(N118&gt;N117," * Tested Positive  for Age "&amp;N20&amp;" "&amp;N21&amp;" is more than Number Tested "&amp;CHAR(10),""),IF(O118&gt;O117," * Tested Positive  for Age "&amp;N20&amp;" "&amp;O21&amp;" is more than Number Tested "&amp;CHAR(10),""),IF(P118&gt;P117," * Tested Positive  for Age "&amp;P20&amp;" "&amp;P21&amp;" is more than Number Tested "&amp;CHAR(10),""),IF(Q118&gt;Q117," * Tested Positive  for Age "&amp;P20&amp;" "&amp;Q21&amp;" is more than Number Tested "&amp;CHAR(10),""),IF(R118&gt;R117," * Tested Positive  for Age "&amp;R20&amp;" "&amp;R21&amp;" is more than Number Tested "&amp;CHAR(10),""),IF(S118&gt;S117," * Tested Positive  for Age "&amp;R20&amp;" "&amp;S21&amp;" is more than Number Tested "&amp;CHAR(10),""),IF(T118&gt;T117," * Tested Positive  for Age "&amp;T20&amp;" "&amp;T21&amp;" is more than Number Tested "&amp;CHAR(10),""),IF(U118&gt;U117," * Tested Positive  for Age "&amp;T20&amp;" "&amp;U21&amp;" is more than Number Tested "&amp;CHAR(10),""),IF(V118&gt;V117," * Tested Positive  for Age "&amp;V20&amp;" "&amp;V21&amp;" is more than Number Tested "&amp;CHAR(10),""),IF(W118&gt;W117," * Tested Positive  for Age "&amp;V20&amp;" "&amp;W21&amp;" is more than Number Tested "&amp;CHAR(10),""),IF(X118&gt;X117," * Tested Positive  for Age "&amp;X20&amp;" "&amp;X21&amp;" is more than Number Tested "&amp;CHAR(10),""),IF(Y118&gt;Y117," * Tested Positive  for Age "&amp;X20&amp;" "&amp;Y21&amp;" is more than Number Tested "&amp;CHAR(10),""),IF(Z118&gt;Z117," * Tested Positive  for Age "&amp;Z20&amp;" "&amp;Z21&amp;" is more than Number Tested "&amp;CHAR(10),""),IF(AA118&gt;AA117," * Tested Positive  for Age "&amp;Z20&amp;" "&amp;AA21&amp;" is more than Number Tested "&amp;CHAR(10),""))</f>
        <v/>
      </c>
      <c r="AL117" s="1348"/>
      <c r="AM117" s="125"/>
      <c r="AN117" s="126"/>
      <c r="AO117" s="13">
        <v>58</v>
      </c>
      <c r="AP117" s="74"/>
      <c r="AQ117" s="75"/>
    </row>
    <row r="118" spans="1:43" ht="25.9" hidden="1" thickBot="1" x14ac:dyDescent="0.8">
      <c r="A118" s="1228"/>
      <c r="B118" s="95" t="s">
        <v>138</v>
      </c>
      <c r="C118" s="560" t="s">
        <v>926</v>
      </c>
      <c r="D118" s="119"/>
      <c r="E118" s="102"/>
      <c r="F118" s="102"/>
      <c r="G118" s="102"/>
      <c r="H118" s="102"/>
      <c r="I118" s="364"/>
      <c r="J118" s="393"/>
      <c r="K118" s="106"/>
      <c r="L118" s="106"/>
      <c r="M118" s="106"/>
      <c r="N118" s="106"/>
      <c r="O118" s="106"/>
      <c r="P118" s="106"/>
      <c r="Q118" s="106"/>
      <c r="R118" s="106"/>
      <c r="S118" s="106"/>
      <c r="T118" s="106"/>
      <c r="U118" s="106"/>
      <c r="V118" s="106"/>
      <c r="W118" s="106"/>
      <c r="X118" s="106"/>
      <c r="Y118" s="106"/>
      <c r="Z118" s="106"/>
      <c r="AA118" s="316"/>
      <c r="AB118" s="376"/>
      <c r="AC118" s="377"/>
      <c r="AD118" s="377"/>
      <c r="AE118" s="377"/>
      <c r="AF118" s="377"/>
      <c r="AG118" s="377"/>
      <c r="AH118" s="377"/>
      <c r="AI118" s="303"/>
      <c r="AJ118" s="56"/>
      <c r="AK118" s="124"/>
      <c r="AL118" s="1348"/>
      <c r="AM118" s="125"/>
      <c r="AN118" s="126"/>
      <c r="AO118" s="13">
        <v>59</v>
      </c>
      <c r="AP118" s="74"/>
      <c r="AQ118" s="75"/>
    </row>
    <row r="119" spans="1:43" ht="25.5" hidden="1" x14ac:dyDescent="0.75">
      <c r="A119" s="1226" t="s">
        <v>1180</v>
      </c>
      <c r="B119" s="91" t="s">
        <v>146</v>
      </c>
      <c r="C119" s="559" t="s">
        <v>1181</v>
      </c>
      <c r="D119" s="134"/>
      <c r="E119" s="99"/>
      <c r="F119" s="99"/>
      <c r="G119" s="99"/>
      <c r="H119" s="99"/>
      <c r="I119" s="363"/>
      <c r="J119" s="236"/>
      <c r="K119" s="94"/>
      <c r="L119" s="94"/>
      <c r="M119" s="94"/>
      <c r="N119" s="94"/>
      <c r="O119" s="94"/>
      <c r="P119" s="94"/>
      <c r="Q119" s="94"/>
      <c r="R119" s="94"/>
      <c r="S119" s="94"/>
      <c r="T119" s="94"/>
      <c r="U119" s="94"/>
      <c r="V119" s="94"/>
      <c r="W119" s="94"/>
      <c r="X119" s="94"/>
      <c r="Y119" s="94"/>
      <c r="Z119" s="94"/>
      <c r="AA119" s="310"/>
      <c r="AB119" s="375"/>
      <c r="AC119" s="345"/>
      <c r="AD119" s="345"/>
      <c r="AE119" s="345"/>
      <c r="AF119" s="345"/>
      <c r="AG119" s="345"/>
      <c r="AH119" s="345"/>
      <c r="AI119" s="302"/>
      <c r="AJ119" s="378"/>
      <c r="AK119" s="124" t="str">
        <f>CONCATENATE(IF(D120&gt;D119," * Tested Positive  for Age "&amp;D20&amp;" "&amp;D21&amp;" is more than Number Tested "&amp;CHAR(10),""),IF(E120&gt;E119," * Tested Positive  for Age "&amp;D20&amp;" "&amp;E21&amp;" is more than Number Tested "&amp;CHAR(10),""),IF(F120&gt;F119," * Tested Positive  for Age "&amp;F20&amp;" "&amp;F21&amp;" is more than Number Tested "&amp;CHAR(10),""),IF(G120&gt;G119," * Tested Positive  for Age "&amp;F20&amp;" "&amp;G21&amp;" is more than Number Tested "&amp;CHAR(10),""),IF(H120&gt;H119," * Tested Positive  for Age "&amp;H20&amp;" "&amp;H21&amp;" is more than Number Tested "&amp;CHAR(10),""),IF(I120&gt;I119," * Tested Positive  for Age "&amp;H20&amp;" "&amp;I21&amp;" is more than Number Tested "&amp;CHAR(10),""),IF(J120&gt;J119," * Tested Positive  for Age "&amp;J20&amp;" "&amp;J21&amp;" is more than Number Tested "&amp;CHAR(10),""),IF(K120&gt;K119," * Tested Positive  for Age "&amp;J20&amp;" "&amp;K21&amp;" is more than Number Tested "&amp;CHAR(10),""),IF(L120&gt;L119," * Tested Positive  for Age "&amp;L20&amp;" "&amp;L21&amp;" is more than Number Tested "&amp;CHAR(10),""),IF(M120&gt;M119," * Tested Positive  for Age "&amp;L20&amp;" "&amp;M21&amp;" is more than Number Tested "&amp;CHAR(10),""),IF(N120&gt;N119," * Tested Positive  for Age "&amp;N20&amp;" "&amp;N21&amp;" is more than Number Tested "&amp;CHAR(10),""),IF(O120&gt;O119," * Tested Positive  for Age "&amp;N20&amp;" "&amp;O21&amp;" is more than Number Tested "&amp;CHAR(10),""),IF(P120&gt;P119," * Tested Positive  for Age "&amp;P20&amp;" "&amp;P21&amp;" is more than Number Tested "&amp;CHAR(10),""),IF(Q120&gt;Q119," * Tested Positive  for Age "&amp;P20&amp;" "&amp;Q21&amp;" is more than Number Tested "&amp;CHAR(10),""),IF(R120&gt;R119," * Tested Positive  for Age "&amp;R20&amp;" "&amp;R21&amp;" is more than Number Tested "&amp;CHAR(10),""),IF(S120&gt;S119," * Tested Positive  for Age "&amp;R20&amp;" "&amp;S21&amp;" is more than Number Tested "&amp;CHAR(10),""),IF(T120&gt;T119," * Tested Positive  for Age "&amp;T20&amp;" "&amp;T21&amp;" is more than Number Tested "&amp;CHAR(10),""),IF(U120&gt;U119," * Tested Positive  for Age "&amp;T20&amp;" "&amp;U21&amp;" is more than Number Tested "&amp;CHAR(10),""),IF(V120&gt;V119," * Tested Positive  for Age "&amp;V20&amp;" "&amp;V21&amp;" is more than Number Tested "&amp;CHAR(10),""),IF(W120&gt;W119," * Tested Positive  for Age "&amp;V20&amp;" "&amp;W21&amp;" is more than Number Tested "&amp;CHAR(10),""),IF(X120&gt;X119," * Tested Positive  for Age "&amp;X20&amp;" "&amp;X21&amp;" is more than Number Tested "&amp;CHAR(10),""),IF(Y120&gt;Y119," * Tested Positive  for Age "&amp;X20&amp;" "&amp;Y21&amp;" is more than Number Tested "&amp;CHAR(10),""),IF(Z120&gt;Z119," * Tested Positive  for Age "&amp;Z20&amp;" "&amp;Z21&amp;" is more than Number Tested "&amp;CHAR(10),""),IF(AA120&gt;AA119," * Tested Positive  for Age "&amp;Z20&amp;" "&amp;AA21&amp;" is more than Number Tested "&amp;CHAR(10),""))</f>
        <v/>
      </c>
      <c r="AL119" s="1348"/>
      <c r="AM119" s="125"/>
      <c r="AN119" s="126"/>
      <c r="AO119" s="13">
        <v>58</v>
      </c>
      <c r="AP119" s="74"/>
      <c r="AQ119" s="75"/>
    </row>
    <row r="120" spans="1:43" ht="25.9" hidden="1" thickBot="1" x14ac:dyDescent="0.8">
      <c r="A120" s="1228"/>
      <c r="B120" s="95" t="s">
        <v>138</v>
      </c>
      <c r="C120" s="869" t="s">
        <v>1182</v>
      </c>
      <c r="D120" s="119"/>
      <c r="E120" s="102"/>
      <c r="F120" s="102"/>
      <c r="G120" s="102"/>
      <c r="H120" s="102"/>
      <c r="I120" s="364"/>
      <c r="J120" s="393"/>
      <c r="K120" s="106"/>
      <c r="L120" s="106"/>
      <c r="M120" s="106"/>
      <c r="N120" s="106"/>
      <c r="O120" s="106"/>
      <c r="P120" s="106"/>
      <c r="Q120" s="106"/>
      <c r="R120" s="106"/>
      <c r="S120" s="106"/>
      <c r="T120" s="106"/>
      <c r="U120" s="106"/>
      <c r="V120" s="106"/>
      <c r="W120" s="106"/>
      <c r="X120" s="106"/>
      <c r="Y120" s="106"/>
      <c r="Z120" s="106"/>
      <c r="AA120" s="316"/>
      <c r="AB120" s="376"/>
      <c r="AC120" s="377"/>
      <c r="AD120" s="377"/>
      <c r="AE120" s="377"/>
      <c r="AF120" s="377"/>
      <c r="AG120" s="377"/>
      <c r="AH120" s="377"/>
      <c r="AI120" s="303"/>
      <c r="AJ120" s="56"/>
      <c r="AK120" s="124"/>
      <c r="AL120" s="1349"/>
      <c r="AM120" s="125"/>
      <c r="AN120" s="126"/>
      <c r="AO120" s="13">
        <v>59</v>
      </c>
      <c r="AP120" s="74"/>
      <c r="AQ120" s="75"/>
    </row>
    <row r="121" spans="1:43" ht="25.9" hidden="1" thickBot="1" x14ac:dyDescent="0.8">
      <c r="A121" s="1143" t="s">
        <v>1053</v>
      </c>
      <c r="B121" s="1144"/>
      <c r="C121" s="1144"/>
      <c r="D121" s="1144"/>
      <c r="E121" s="1144"/>
      <c r="F121" s="1144"/>
      <c r="G121" s="1144"/>
      <c r="H121" s="1144"/>
      <c r="I121" s="1144"/>
      <c r="J121" s="1144"/>
      <c r="K121" s="1144"/>
      <c r="L121" s="1144"/>
      <c r="M121" s="1144"/>
      <c r="N121" s="1144"/>
      <c r="O121" s="1144"/>
      <c r="P121" s="1144"/>
      <c r="Q121" s="1144"/>
      <c r="R121" s="1144"/>
      <c r="S121" s="1144"/>
      <c r="T121" s="1144"/>
      <c r="U121" s="1144"/>
      <c r="V121" s="1144"/>
      <c r="W121" s="1144"/>
      <c r="X121" s="1144"/>
      <c r="Y121" s="1144"/>
      <c r="Z121" s="1144"/>
      <c r="AA121" s="1144"/>
      <c r="AB121" s="1194"/>
      <c r="AC121" s="1194"/>
      <c r="AD121" s="1194"/>
      <c r="AE121" s="1194"/>
      <c r="AF121" s="1194"/>
      <c r="AG121" s="1194"/>
      <c r="AH121" s="1194"/>
      <c r="AI121" s="1194"/>
      <c r="AJ121" s="1144"/>
      <c r="AK121" s="1144"/>
      <c r="AL121" s="1144"/>
      <c r="AM121" s="1144"/>
      <c r="AN121" s="1146"/>
      <c r="AO121" s="13">
        <v>60</v>
      </c>
      <c r="AP121" s="74"/>
      <c r="AQ121" s="75"/>
    </row>
    <row r="122" spans="1:43" ht="26.25" hidden="1" customHeight="1" x14ac:dyDescent="0.75">
      <c r="A122" s="1122" t="s">
        <v>36</v>
      </c>
      <c r="B122" s="1126" t="s">
        <v>321</v>
      </c>
      <c r="C122" s="1155" t="s">
        <v>305</v>
      </c>
      <c r="D122" s="1383"/>
      <c r="E122" s="1384"/>
      <c r="F122" s="1384"/>
      <c r="G122" s="1384"/>
      <c r="H122" s="1384"/>
      <c r="I122" s="1385"/>
      <c r="J122" s="1116" t="s">
        <v>3</v>
      </c>
      <c r="K122" s="1131"/>
      <c r="L122" s="1131" t="s">
        <v>4</v>
      </c>
      <c r="M122" s="1131"/>
      <c r="N122" s="1131" t="s">
        <v>5</v>
      </c>
      <c r="O122" s="1131"/>
      <c r="P122" s="1131" t="s">
        <v>6</v>
      </c>
      <c r="Q122" s="1131"/>
      <c r="R122" s="1131" t="s">
        <v>7</v>
      </c>
      <c r="S122" s="1131"/>
      <c r="T122" s="1131" t="s">
        <v>8</v>
      </c>
      <c r="U122" s="1131"/>
      <c r="V122" s="1131" t="s">
        <v>23</v>
      </c>
      <c r="W122" s="1131"/>
      <c r="X122" s="1131" t="s">
        <v>24</v>
      </c>
      <c r="Y122" s="1131"/>
      <c r="Z122" s="1131" t="s">
        <v>9</v>
      </c>
      <c r="AA122" s="1115"/>
      <c r="AB122" s="1341"/>
      <c r="AC122" s="1117"/>
      <c r="AD122" s="1117"/>
      <c r="AE122" s="1117"/>
      <c r="AF122" s="1117"/>
      <c r="AG122" s="1117"/>
      <c r="AH122" s="1117"/>
      <c r="AI122" s="1118"/>
      <c r="AJ122" s="1302" t="s">
        <v>19</v>
      </c>
      <c r="AK122" s="1300" t="s">
        <v>354</v>
      </c>
      <c r="AL122" s="1292" t="s">
        <v>360</v>
      </c>
      <c r="AM122" s="1150" t="s">
        <v>361</v>
      </c>
      <c r="AN122" s="1229" t="s">
        <v>361</v>
      </c>
      <c r="AO122" s="13">
        <v>61</v>
      </c>
      <c r="AP122" s="74"/>
      <c r="AQ122" s="75"/>
    </row>
    <row r="123" spans="1:43" ht="27" hidden="1" customHeight="1" thickBot="1" x14ac:dyDescent="0.8">
      <c r="A123" s="1123"/>
      <c r="B123" s="1127"/>
      <c r="C123" s="1156"/>
      <c r="D123" s="1386"/>
      <c r="E123" s="1387"/>
      <c r="F123" s="1387"/>
      <c r="G123" s="1387"/>
      <c r="H123" s="1387"/>
      <c r="I123" s="1388"/>
      <c r="J123" s="285" t="s">
        <v>10</v>
      </c>
      <c r="K123" s="68" t="s">
        <v>11</v>
      </c>
      <c r="L123" s="68" t="s">
        <v>10</v>
      </c>
      <c r="M123" s="68" t="s">
        <v>11</v>
      </c>
      <c r="N123" s="68" t="s">
        <v>10</v>
      </c>
      <c r="O123" s="68" t="s">
        <v>11</v>
      </c>
      <c r="P123" s="68" t="s">
        <v>10</v>
      </c>
      <c r="Q123" s="68" t="s">
        <v>11</v>
      </c>
      <c r="R123" s="68" t="s">
        <v>10</v>
      </c>
      <c r="S123" s="68" t="s">
        <v>11</v>
      </c>
      <c r="T123" s="68" t="s">
        <v>10</v>
      </c>
      <c r="U123" s="68" t="s">
        <v>11</v>
      </c>
      <c r="V123" s="68" t="s">
        <v>10</v>
      </c>
      <c r="W123" s="68" t="s">
        <v>11</v>
      </c>
      <c r="X123" s="68" t="s">
        <v>10</v>
      </c>
      <c r="Y123" s="68" t="s">
        <v>11</v>
      </c>
      <c r="Z123" s="68" t="s">
        <v>10</v>
      </c>
      <c r="AA123" s="357" t="s">
        <v>11</v>
      </c>
      <c r="AB123" s="359"/>
      <c r="AC123" s="360"/>
      <c r="AD123" s="360"/>
      <c r="AE123" s="360"/>
      <c r="AF123" s="360"/>
      <c r="AG123" s="360"/>
      <c r="AH123" s="360"/>
      <c r="AI123" s="361"/>
      <c r="AJ123" s="1305"/>
      <c r="AK123" s="1301"/>
      <c r="AL123" s="1236"/>
      <c r="AM123" s="1150"/>
      <c r="AN123" s="1148"/>
      <c r="AO123" s="13">
        <v>62</v>
      </c>
      <c r="AP123" s="74"/>
      <c r="AQ123" s="75"/>
    </row>
    <row r="124" spans="1:43" ht="25.5" hidden="1" customHeight="1" x14ac:dyDescent="0.75">
      <c r="A124" s="1329" t="s">
        <v>554</v>
      </c>
      <c r="B124" s="69" t="s">
        <v>617</v>
      </c>
      <c r="C124" s="868" t="s">
        <v>172</v>
      </c>
      <c r="D124" s="70"/>
      <c r="E124" s="71"/>
      <c r="F124" s="71"/>
      <c r="G124" s="71"/>
      <c r="H124" s="71"/>
      <c r="I124" s="71"/>
      <c r="J124" s="127"/>
      <c r="K124" s="127"/>
      <c r="L124" s="127"/>
      <c r="M124" s="127"/>
      <c r="N124" s="127"/>
      <c r="O124" s="127"/>
      <c r="P124" s="127"/>
      <c r="Q124" s="127"/>
      <c r="R124" s="127"/>
      <c r="S124" s="127"/>
      <c r="T124" s="127"/>
      <c r="U124" s="127"/>
      <c r="V124" s="127"/>
      <c r="W124" s="127"/>
      <c r="X124" s="127"/>
      <c r="Y124" s="127"/>
      <c r="Z124" s="127"/>
      <c r="AA124" s="319"/>
      <c r="AB124" s="375"/>
      <c r="AC124" s="345"/>
      <c r="AD124" s="345"/>
      <c r="AE124" s="345"/>
      <c r="AF124" s="345"/>
      <c r="AG124" s="345"/>
      <c r="AH124" s="345"/>
      <c r="AI124" s="302"/>
      <c r="AJ124" s="52">
        <f>SUM(D124:AA124)</f>
        <v>0</v>
      </c>
      <c r="AK124" s="128" t="str">
        <f>CONCATENATE(IF(D127&gt;D124," * Eligible for PrEP  for Age "&amp;D20&amp;" "&amp;D21&amp;" is more than Assessed for HIV risk"&amp;CHAR(10),""),IF(E127&gt;E124," * Eligible for PrEP  for Age "&amp;D20&amp;" "&amp;E21&amp;" is more than Assessed for HIV risk"&amp;CHAR(10),""),IF(F127&gt;F124," * Eligible for PrEP  for Age "&amp;F20&amp;" "&amp;F21&amp;" is more than Assessed for HIV risk"&amp;CHAR(10),""),IF(G127&gt;G124," * Eligible for PrEP  for Age "&amp;F20&amp;" "&amp;G21&amp;" is more than Assessed for HIV risk"&amp;CHAR(10),""),IF(H127&gt;H124," * Eligible for PrEP  for Age "&amp;H20&amp;" "&amp;H21&amp;" is more than Assessed for HIV risk"&amp;CHAR(10),""),IF(I127&gt;I124," * Eligible for PrEP  for Age "&amp;H20&amp;" "&amp;I21&amp;" is more than Assessed for HIV risk"&amp;CHAR(10),""),IF(J127&gt;J124," * Eligible for PrEP  for Age "&amp;J20&amp;" "&amp;J21&amp;" is more than Assessed for HIV risk"&amp;CHAR(10),""),IF(K127&gt;K124," * Eligible for PrEP  for Age "&amp;J20&amp;" "&amp;K21&amp;" is more than Assessed for HIV risk"&amp;CHAR(10),""),IF(L127&gt;L124," * Eligible for PrEP  for Age "&amp;L20&amp;" "&amp;L21&amp;" is more than Assessed for HIV risk"&amp;CHAR(10),""),IF(M127&gt;M124," * Eligible for PrEP  for Age "&amp;L20&amp;" "&amp;M21&amp;" is more than Assessed for HIV risk"&amp;CHAR(10),""),IF(N127&gt;N124," * Eligible for PrEP  for Age "&amp;N20&amp;" "&amp;N21&amp;" is more than Assessed for HIV risk"&amp;CHAR(10),""),IF(O127&gt;O124," * Eligible for PrEP  for Age "&amp;N20&amp;" "&amp;O21&amp;" is more than Assessed for HIV risk"&amp;CHAR(10),""),IF(P127&gt;P124," * Eligible for PrEP  for Age "&amp;P20&amp;" "&amp;P21&amp;" is more than Assessed for HIV risk"&amp;CHAR(10),""),IF(Q127&gt;Q124," * Eligible for PrEP  for Age "&amp;P20&amp;" "&amp;Q21&amp;" is more than Assessed for HIV risk"&amp;CHAR(10),""),IF(R127&gt;R124," * Eligible for PrEP  for Age "&amp;R20&amp;" "&amp;R21&amp;" is more than Assessed for HIV risk"&amp;CHAR(10),""),IF(S127&gt;S124," * Eligible for PrEP  for Age "&amp;R20&amp;" "&amp;S21&amp;" is more than Assessed for HIV risk"&amp;CHAR(10),""),IF(T127&gt;T124," * Eligible for PrEP  for Age "&amp;T20&amp;" "&amp;T21&amp;" is more than Assessed for HIV risk"&amp;CHAR(10),""),IF(U127&gt;U124," * Eligible for PrEP  for Age "&amp;T20&amp;" "&amp;U21&amp;" is more than Assessed for HIV risk"&amp;CHAR(10),""),IF(V127&gt;V124," * Eligible for PrEP  for Age "&amp;V20&amp;" "&amp;V21&amp;" is more than Assessed for HIV risk"&amp;CHAR(10),""),IF(W127&gt;W124," * Eligible for PrEP  for Age "&amp;V20&amp;" "&amp;W21&amp;" is more than Assessed for HIV risk"&amp;CHAR(10),""),IF(X127&gt;X124," * Eligible for PrEP  for Age "&amp;X20&amp;" "&amp;X21&amp;" is more than Assessed for HIV risk"&amp;CHAR(10),""),IF(Y127&gt;Y124," * Eligible for PrEP  for Age "&amp;X20&amp;" "&amp;Y21&amp;" is more than Assessed for HIV risk"&amp;CHAR(10),""),IF(Z127&gt;Z124," * Eligible for PrEP  for Age "&amp;Z20&amp;" "&amp;Z21&amp;" is more than Assessed for HIV risk"&amp;CHAR(10),""),IF(AA127&gt;AA124," * Eligible for PrEP  for Age "&amp;Z20&amp;" "&amp;AA21&amp;" is more than Assessed for HIV risk"&amp;CHAR(10),""))</f>
        <v/>
      </c>
      <c r="AL124" s="1347" t="str">
        <f>CONCATENATE(AK124,AK125,AK126,AK127,AK128,AK129,AK130,AK131,AK132,AK133,AK134,AK135,AK136,AK137,AK146,AK148,AK149,AK150,AK151,AK152,AK153,AK154,AK155,AK157,AK160,AK161,AK162,AK163,AK164,AK165,AK166,AK167,AK168,AK147,AK158,AK159,AK169,AK170,AK138,AK139,AK140,AK141,AK142,AK143,AK144,AK145,AK171,AK172,AK173,AK174,AK175,AK176)</f>
        <v/>
      </c>
      <c r="AM124" s="73"/>
      <c r="AN124" s="1364" t="str">
        <f>CONCATENATE(AM124,AM127,AM128,AM135,AM146,AM155,AM156,AM157,AM160,AM161,AM162,AM163,AM164,AM165,AM166,AM167,AM168)</f>
        <v/>
      </c>
      <c r="AO124" s="13">
        <v>63</v>
      </c>
      <c r="AP124" s="74"/>
      <c r="AQ124" s="75"/>
    </row>
    <row r="125" spans="1:43" ht="25.5" hidden="1" x14ac:dyDescent="0.75">
      <c r="A125" s="1179"/>
      <c r="B125" s="76" t="s">
        <v>532</v>
      </c>
      <c r="C125" s="559" t="s">
        <v>533</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20"/>
      <c r="AB125" s="375"/>
      <c r="AC125" s="345"/>
      <c r="AD125" s="345"/>
      <c r="AE125" s="345"/>
      <c r="AF125" s="345"/>
      <c r="AG125" s="345"/>
      <c r="AH125" s="345"/>
      <c r="AI125" s="302"/>
      <c r="AJ125" s="173">
        <f>SUM(J125:AA125)</f>
        <v>0</v>
      </c>
      <c r="AK125" s="30" t="str">
        <f>CONCATENATE(IF(D125&gt;D124," * Tested for Prep Initiation For age "&amp;$D$20&amp;" "&amp;$D$21&amp;" is more than Assessed for HIV risk"&amp;CHAR(10),""),IF(E125&gt;E124," * Tested for Prep Initiation For age "&amp;$D$20&amp;" "&amp;$E$21&amp;" is more than Assessed for HIV risk"&amp;CHAR(10),""),IF(F125&gt;F124," * Tested for Prep Initiation For age "&amp;$F$20&amp;" "&amp;$F$21&amp;" is more than Assessed for HIV risk"&amp;CHAR(10),""),IF(G125&gt;G124," * Tested for Prep Initiation For age "&amp;$F$20&amp;" "&amp;$G$21&amp;" is more than Assessed for HIV risk"&amp;CHAR(10),""),IF(H125&gt;H124," * Tested for Prep Initiation For age "&amp;$H$20&amp;" "&amp;$H$21&amp;" is more than Assessed for HIV risk"&amp;CHAR(10),""),IF(I125&gt;I124," * Tested for Prep Initiation For age "&amp;$H$20&amp;" "&amp;$I$21&amp;" is more than Assessed for HIV risk"&amp;CHAR(10),""),IF(J125&gt;J124," * Tested for Prep Initiation For age "&amp;$J$20&amp;" "&amp;$J$21&amp;" is more than Assessed for HIV risk"&amp;CHAR(10),""),IF(K125&gt;K124," * Tested for Prep Initiation For age "&amp;$J$20&amp;" "&amp;$K$21&amp;" is more than Assessed for HIV risk"&amp;CHAR(10),""),IF(L125&gt;L124," * Tested for Prep Initiation For age "&amp;$L$20&amp;" "&amp;$L$21&amp;" is more than Assessed for HIV risk"&amp;CHAR(10),""),IF(M125&gt;M124," * Tested for Prep Initiation For age "&amp;$L$20&amp;" "&amp;$M$21&amp;" is more than Assessed for HIV risk"&amp;CHAR(10),""),IF(N125&gt;N124," * Tested for Prep Initiation For age "&amp;$N$20&amp;" "&amp;$N$21&amp;" is more than Assessed for HIV risk"&amp;CHAR(10),""),IF(O125&gt;O124," * Tested for Prep Initiation For age "&amp;$N$20&amp;" "&amp;$O$21&amp;" is more than Assessed for HIV risk"&amp;CHAR(10),""),IF(P125&gt;P124," * Tested for Prep Initiation For age "&amp;$P$20&amp;" "&amp;$P$21&amp;" is more than Assessed for HIV risk"&amp;CHAR(10),""),IF(Q125&gt;Q124," * Tested for Prep Initiation For age "&amp;$P$20&amp;" "&amp;$Q$21&amp;" is more than Assessed for HIV risk"&amp;CHAR(10),""),IF(R125&gt;R124," * Tested for Prep Initiation For age "&amp;$R$20&amp;" "&amp;$R$21&amp;" is more than Assessed for HIV risk"&amp;CHAR(10),""),IF(S125&gt;S124," * Tested for Prep Initiation For age "&amp;$R$20&amp;" "&amp;$S$21&amp;" is more than Assessed for HIV risk"&amp;CHAR(10),""),IF(T125&gt;T124," * Tested for Prep Initiation For age "&amp;$T$20&amp;" "&amp;$T$21&amp;" is more than Assessed for HIV risk"&amp;CHAR(10),""),IF(U125&gt;U124," * Tested for Prep Initiation For age "&amp;$T$20&amp;" "&amp;$U$21&amp;" is more than Assessed for HIV risk"&amp;CHAR(10),""),IF(V125&gt;V124," * Tested for Prep Initiation For age "&amp;$V$20&amp;" "&amp;$V$21&amp;" is more than Assessed for HIV risk"&amp;CHAR(10),""),IF(W125&gt;W124," * Tested for Prep Initiation For age "&amp;$V$20&amp;" "&amp;$W$21&amp;" is more than Assessed for HIV risk"&amp;CHAR(10),""),IF(X125&gt;X124," * Tested for Prep Initiation For age "&amp;$X$20&amp;" "&amp;$X$21&amp;" is more than Assessed for HIV risk"&amp;CHAR(10),""),IF(Y125&gt;Y124," * Tested for Prep Initiation For age "&amp;$X$20&amp;" "&amp;$Y$21&amp;" is more than Assessed for HIV risk"&amp;CHAR(10),""),IF(Z125&gt;Z124," * Tested for Prep Initiation For age "&amp;$Z$20&amp;" "&amp;$Z$21&amp;" is more than Assessed for HIV risk"&amp;CHAR(10),""),IF(AA125&gt;AA124," * Tested for Prep Initiation For age "&amp;$Z$20&amp;" "&amp;$AA$21&amp;" is more than Assessed for HIV risk"&amp;CHAR(10),""))</f>
        <v/>
      </c>
      <c r="AL125" s="1348"/>
      <c r="AM125" s="31"/>
      <c r="AN125" s="1365"/>
      <c r="AO125" s="13">
        <v>64</v>
      </c>
      <c r="AP125" s="74"/>
      <c r="AQ125" s="75"/>
    </row>
    <row r="126" spans="1:43" ht="25.5" hidden="1" x14ac:dyDescent="0.75">
      <c r="A126" s="1179"/>
      <c r="B126" s="76" t="s">
        <v>618</v>
      </c>
      <c r="C126" s="559" t="s">
        <v>534</v>
      </c>
      <c r="D126" s="77"/>
      <c r="E126" s="78"/>
      <c r="F126" s="78"/>
      <c r="G126" s="78"/>
      <c r="H126" s="78"/>
      <c r="I126" s="78"/>
      <c r="J126" s="129"/>
      <c r="K126" s="129"/>
      <c r="L126" s="129"/>
      <c r="M126" s="129"/>
      <c r="N126" s="129"/>
      <c r="O126" s="129"/>
      <c r="P126" s="129"/>
      <c r="Q126" s="129"/>
      <c r="R126" s="129"/>
      <c r="S126" s="129"/>
      <c r="T126" s="129"/>
      <c r="U126" s="129"/>
      <c r="V126" s="129"/>
      <c r="W126" s="129"/>
      <c r="X126" s="129"/>
      <c r="Y126" s="129"/>
      <c r="Z126" s="129"/>
      <c r="AA126" s="320"/>
      <c r="AB126" s="375"/>
      <c r="AC126" s="345"/>
      <c r="AD126" s="345"/>
      <c r="AE126" s="345"/>
      <c r="AF126" s="345"/>
      <c r="AG126" s="345"/>
      <c r="AH126" s="345"/>
      <c r="AI126" s="302"/>
      <c r="AJ126" s="173">
        <f>SUM(J126:AA126)</f>
        <v>0</v>
      </c>
      <c r="AK126" s="130" t="str">
        <f>CONCATENATE(IF(D126&gt;D125," * screened for Prep initiation testing positive For age "&amp;$D$20&amp;" "&amp;$D$21&amp;" is more than HIV tested for PrEP initiation"&amp;CHAR(10),""),IF(E126&gt;E125," * screened for Prep initiation testing positive For age "&amp;$D$20&amp;" "&amp;$E$21&amp;" is more than HIV tested for PrEP initiation"&amp;CHAR(10),""),IF(F126&gt;F125," * screened for Prep initiation testing positive For age "&amp;$F$20&amp;" "&amp;$F$21&amp;" is more than HIV tested for PrEP initiation"&amp;CHAR(10),""),IF(G126&gt;G125," * screened for Prep initiation testing positive For age "&amp;$F$20&amp;" "&amp;$G$21&amp;" is more than HIV tested for PrEP initiation"&amp;CHAR(10),""),IF(H126&gt;H125," * screened for Prep initiation testing positive For age "&amp;$H$20&amp;" "&amp;$H$21&amp;" is more than HIV tested for PrEP initiation"&amp;CHAR(10),""),IF(I126&gt;I125," * screened for Prep initiation testing positive For age "&amp;$H$20&amp;" "&amp;$I$21&amp;" is more than HIV tested for PrEP initiation"&amp;CHAR(10),""),IF(J126&gt;J125," * screened for Prep initiation testing positive For age "&amp;$J$20&amp;" "&amp;$J$21&amp;" is more than HIV tested for PrEP initiation"&amp;CHAR(10),""),IF(K126&gt;K125," * screened for Prep initiation testing positive For age "&amp;$J$20&amp;" "&amp;$K$21&amp;" is more than HIV tested for PrEP initiation"&amp;CHAR(10),""),IF(L126&gt;L125," * screened for Prep initiation testing positive For age "&amp;$L$20&amp;" "&amp;$L$21&amp;" is more than HIV tested for PrEP initiation"&amp;CHAR(10),""),IF(M126&gt;M125," * screened for Prep initiation testing positive For age "&amp;$L$20&amp;" "&amp;$M$21&amp;" is more than HIV tested for PrEP initiation"&amp;CHAR(10),""),IF(N126&gt;N125," * screened for Prep initiation testing positive For age "&amp;$N$20&amp;" "&amp;$N$21&amp;" is more than HIV tested for PrEP initiation"&amp;CHAR(10),""),IF(O126&gt;O125," * screened for Prep initiation testing positive For age "&amp;$N$20&amp;" "&amp;$O$21&amp;" is more than HIV tested for PrEP initiation"&amp;CHAR(10),""),IF(P126&gt;P125," * screened for Prep initiation testing positive For age "&amp;$P$20&amp;" "&amp;$P$21&amp;" is more than HIV tested for PrEP initiation"&amp;CHAR(10),""),IF(Q126&gt;Q125," * screened for Prep initiation testing positive For age "&amp;$P$20&amp;" "&amp;$Q$21&amp;" is more than HIV tested for PrEP initiation"&amp;CHAR(10),""),IF(R126&gt;R125," * screened for Prep initiation testing positive For age "&amp;$R$20&amp;" "&amp;$R$21&amp;" is more than HIV tested for PrEP initiation"&amp;CHAR(10),""),IF(S126&gt;S125," * screened for Prep initiation testing positive For age "&amp;$R$20&amp;" "&amp;$S$21&amp;" is more than HIV tested for PrEP initiation"&amp;CHAR(10),""),IF(T126&gt;T125," * screened for Prep initiation testing positive For age "&amp;$T$20&amp;" "&amp;$T$21&amp;" is more than HIV tested for PrEP initiation"&amp;CHAR(10),""),IF(U126&gt;U125," * screened for Prep initiation testing positive For age "&amp;$T$20&amp;" "&amp;$U$21&amp;" is more than HIV tested for PrEP initiation"&amp;CHAR(10),""),IF(V126&gt;V125," * screened for Prep initiation testing positive For age "&amp;$V$20&amp;" "&amp;$V$21&amp;" is more than HIV tested for PrEP initiation"&amp;CHAR(10),""),IF(W126&gt;W125," * screened for Prep initiation testing positive For age "&amp;$V$20&amp;" "&amp;$W$21&amp;" is more than HIV tested for PrEP initiation"&amp;CHAR(10),""),IF(X126&gt;X125," * screened for Prep initiation testing positive For age "&amp;$X$20&amp;" "&amp;$X$21&amp;" is more than HIV tested for PrEP initiation"&amp;CHAR(10),""),IF(Y126&gt;Y125," * screened for Prep initiation testing positive For age "&amp;$X$20&amp;" "&amp;$Y$21&amp;" is more than HIV tested for PrEP initiation"&amp;CHAR(10),""),IF(Z126&gt;Z125," * screened for Prep initiation testing positive For age "&amp;$Z$20&amp;" "&amp;$Z$21&amp;" is more than HIV tested for PrEP initiation"&amp;CHAR(10),""),IF(AA126&gt;AA125," * screened for Prep initiation testing positive For age "&amp;$Z$20&amp;" "&amp;$AA$21&amp;" is more than HIV tested for PrEP initiation"&amp;CHAR(10),""))</f>
        <v/>
      </c>
      <c r="AL126" s="1348"/>
      <c r="AM126" s="31"/>
      <c r="AN126" s="1365"/>
      <c r="AO126" s="13">
        <v>65</v>
      </c>
      <c r="AP126" s="74"/>
      <c r="AQ126" s="75"/>
    </row>
    <row r="127" spans="1:43" ht="25.9" hidden="1" thickBot="1" x14ac:dyDescent="0.8">
      <c r="A127" s="1180"/>
      <c r="B127" s="87" t="s">
        <v>619</v>
      </c>
      <c r="C127" s="869" t="s">
        <v>173</v>
      </c>
      <c r="D127" s="103"/>
      <c r="E127" s="102"/>
      <c r="F127" s="102"/>
      <c r="G127" s="102"/>
      <c r="H127" s="102"/>
      <c r="I127" s="102"/>
      <c r="J127" s="89"/>
      <c r="K127" s="89"/>
      <c r="L127" s="89"/>
      <c r="M127" s="89"/>
      <c r="N127" s="89"/>
      <c r="O127" s="89"/>
      <c r="P127" s="89"/>
      <c r="Q127" s="89"/>
      <c r="R127" s="89"/>
      <c r="S127" s="89"/>
      <c r="T127" s="89"/>
      <c r="U127" s="89"/>
      <c r="V127" s="89"/>
      <c r="W127" s="89"/>
      <c r="X127" s="89"/>
      <c r="Y127" s="89"/>
      <c r="Z127" s="89"/>
      <c r="AA127" s="309"/>
      <c r="AB127" s="375"/>
      <c r="AC127" s="345"/>
      <c r="AD127" s="345"/>
      <c r="AE127" s="345"/>
      <c r="AF127" s="345"/>
      <c r="AG127" s="345"/>
      <c r="AH127" s="345"/>
      <c r="AI127" s="302"/>
      <c r="AJ127" s="192">
        <f t="shared" ref="AJ127:AJ176" si="46">SUM(D127:AA127)</f>
        <v>0</v>
      </c>
      <c r="AK127" s="130" t="str">
        <f>CONCATENATE(IF(D127&gt;(D125-D126)," * Eligible For Prep For age "&amp;$D$20&amp;" "&amp;$D$21&amp;" is more than Clients tested HIV Negative for Prep Initiation"&amp;CHAR(10),""),IF(E127&gt;(E125-E126)," * Eligible For Prep For age "&amp;$D$20&amp;" "&amp;$E$21&amp;" is more than Clients tested HIV Negative for Prep Initiation"&amp;CHAR(10),""),IF(F127&gt;(F125-F126)," * Eligible For Prep For age "&amp;$F$20&amp;" "&amp;$F$21&amp;" is more than Clients tested HIV Negative for Prep Initiation"&amp;CHAR(10),""),IF(G127&gt;(G125-G126)," * Eligible For Prep For age "&amp;$F$20&amp;" "&amp;$G$21&amp;" is more than Clients tested HIV Negative for Prep Initiation"&amp;CHAR(10),""),IF(H127&gt;(H125-H126)," * Eligible For Prep For age "&amp;$H$20&amp;" "&amp;$H$21&amp;" is more than Clients tested HIV Negative for Prep Initiation"&amp;CHAR(10),""),IF(I127&gt;(I125-I126)," * Eligible For Prep For age "&amp;$H$20&amp;" "&amp;$I$21&amp;" is more than Clients tested HIV Negative for Prep Initiation"&amp;CHAR(10),""),IF(J127&gt;(J125-J126)," * Eligible For Prep For age "&amp;$J$20&amp;" "&amp;$J$21&amp;" is more than Clients tested HIV Negative for Prep Initiation"&amp;CHAR(10),""),IF(K127&gt;(K125-K126)," * Eligible For Prep For age "&amp;$J$20&amp;" "&amp;$K$21&amp;" is more than Clients tested HIV Negative for Prep Initiation"&amp;CHAR(10),""),IF(L127&gt;(L125-L126)," * Eligible For Prep For age "&amp;$L$20&amp;" "&amp;$L$21&amp;" is more than Clients tested HIV Negative for Prep Initiation"&amp;CHAR(10),""),IF(M127&gt;(M125-M126)," * Eligible For Prep For age "&amp;$L$20&amp;" "&amp;$M$21&amp;" is more than Clients tested HIV Negative for Prep Initiation"&amp;CHAR(10),""),IF(N127&gt;(N125-N126)," * Eligible For Prep For age "&amp;$N$20&amp;" "&amp;$N$21&amp;" is more than Clients tested HIV Negative for Prep Initiation"&amp;CHAR(10),""),IF(O127&gt;(O125-O126)," * Eligible For Prep For age "&amp;$N$20&amp;" "&amp;$O$21&amp;" is more than Clients tested HIV Negative for Prep Initiation"&amp;CHAR(10),""),IF(P127&gt;(P125-P126)," * Eligible For Prep For age "&amp;$P$20&amp;" "&amp;$P$21&amp;" is more than Clients tested HIV Negative for Prep Initiation"&amp;CHAR(10),""),IF(Q127&gt;(Q125-Q126)," * Eligible For Prep For age "&amp;$P$20&amp;" "&amp;$Q$21&amp;" is more than Clients tested HIV Negative for Prep Initiation"&amp;CHAR(10),""),IF(R127&gt;(R125-R126)," * Eligible For Prep For age "&amp;$R$20&amp;" "&amp;$R$21&amp;" is more than Clients tested HIV Negative for Prep Initiation"&amp;CHAR(10),""),IF(S127&gt;(S125-S126)," * Eligible For Prep For age "&amp;$R$20&amp;" "&amp;$S$21&amp;" is more than Clients tested HIV Negative for Prep Initiation"&amp;CHAR(10),""),IF(T127&gt;(T125-T126)," * Eligible For Prep For age "&amp;$T$20&amp;" "&amp;$T$21&amp;" is more than Clients tested HIV Negative for Prep Initiation"&amp;CHAR(10),""),IF(U127&gt;(U125-U126)," * Eligible For Prep For age "&amp;$T$20&amp;" "&amp;$U$21&amp;" is more than Clients tested HIV Negative for Prep Initiation"&amp;CHAR(10),""),IF(V127&gt;(V125-V126)," * Eligible For Prep For age "&amp;$V$20&amp;" "&amp;$V$21&amp;" is more than Clients tested HIV Negative for Prep Initiation"&amp;CHAR(10),""),IF(W127&gt;(W125-W126)," * Eligible For Prep For age "&amp;$V$20&amp;" "&amp;$W$21&amp;" is more than Clients tested HIV Negative for Prep Initiation"&amp;CHAR(10),""),IF(X127&gt;(X125-X126)," * Eligible For Prep For age "&amp;$X$20&amp;" "&amp;$X$21&amp;" is more than Clients tested HIV Negative for Prep Initiation"&amp;CHAR(10),""),IF(Y127&gt;(Y125-Y126)," * Eligible For Prep For age "&amp;$X$20&amp;" "&amp;$Y$21&amp;" is more than Clients tested HIV Negative for Prep Initiation"&amp;CHAR(10),""),IF(Z127&gt;(Z125-Z126)," * Eligible For Prep For age "&amp;$Z$20&amp;" "&amp;$Z$21&amp;" is more than Clients tested HIV Negative for Prep Initiation"&amp;CHAR(10),""),IF(AA127&gt;(AA125-AA126)," * Eligible For Prep For age "&amp;$Z$20&amp;" "&amp;$AA$21&amp;" is more than Clients tested HIV Negative for Prep Initiation"&amp;CHAR(10),""))</f>
        <v/>
      </c>
      <c r="AL127" s="1348"/>
      <c r="AM127" s="31"/>
      <c r="AN127" s="1365"/>
      <c r="AO127" s="13">
        <v>66</v>
      </c>
      <c r="AP127" s="74"/>
      <c r="AQ127" s="75"/>
    </row>
    <row r="128" spans="1:43" ht="25.9" hidden="1" thickBot="1" x14ac:dyDescent="0.8">
      <c r="A128" s="951" t="s">
        <v>555</v>
      </c>
      <c r="B128" s="537" t="s">
        <v>603</v>
      </c>
      <c r="C128" s="554" t="s">
        <v>174</v>
      </c>
      <c r="D128" s="538"/>
      <c r="E128" s="467"/>
      <c r="F128" s="467"/>
      <c r="G128" s="467"/>
      <c r="H128" s="467"/>
      <c r="I128" s="467"/>
      <c r="J128" s="541">
        <f t="shared" ref="J128:AA128" si="47">SUM(J129:J137)</f>
        <v>0</v>
      </c>
      <c r="K128" s="541">
        <f t="shared" si="47"/>
        <v>0</v>
      </c>
      <c r="L128" s="541">
        <f t="shared" si="47"/>
        <v>0</v>
      </c>
      <c r="M128" s="541">
        <f t="shared" si="47"/>
        <v>0</v>
      </c>
      <c r="N128" s="541">
        <f t="shared" si="47"/>
        <v>0</v>
      </c>
      <c r="O128" s="541">
        <f t="shared" si="47"/>
        <v>0</v>
      </c>
      <c r="P128" s="541">
        <f t="shared" si="47"/>
        <v>0</v>
      </c>
      <c r="Q128" s="541">
        <f t="shared" si="47"/>
        <v>0</v>
      </c>
      <c r="R128" s="541">
        <f t="shared" si="47"/>
        <v>0</v>
      </c>
      <c r="S128" s="541">
        <f t="shared" si="47"/>
        <v>0</v>
      </c>
      <c r="T128" s="541">
        <f t="shared" si="47"/>
        <v>0</v>
      </c>
      <c r="U128" s="541">
        <f t="shared" si="47"/>
        <v>0</v>
      </c>
      <c r="V128" s="541">
        <f t="shared" si="47"/>
        <v>0</v>
      </c>
      <c r="W128" s="541">
        <f t="shared" si="47"/>
        <v>0</v>
      </c>
      <c r="X128" s="541">
        <f t="shared" si="47"/>
        <v>0</v>
      </c>
      <c r="Y128" s="541">
        <f t="shared" si="47"/>
        <v>0</v>
      </c>
      <c r="Z128" s="541">
        <f t="shared" si="47"/>
        <v>0</v>
      </c>
      <c r="AA128" s="541">
        <f t="shared" si="47"/>
        <v>0</v>
      </c>
      <c r="AB128" s="375"/>
      <c r="AC128" s="345"/>
      <c r="AD128" s="345"/>
      <c r="AE128" s="345"/>
      <c r="AF128" s="345"/>
      <c r="AG128" s="345"/>
      <c r="AH128" s="345"/>
      <c r="AI128" s="302"/>
      <c r="AJ128" s="541">
        <f t="shared" ref="AJ128" si="48">SUM(AJ129:AJ137)</f>
        <v>0</v>
      </c>
      <c r="AK128" s="116" t="str">
        <f>CONCATENATE(IF(D128&gt;D127," * Initiated on Prep For age "&amp;$D$20&amp;" "&amp;$D$21&amp;" is more than Eligible for Prep initiation"&amp;CHAR(10),""),IF(E128&gt;E127," * Initiated on Prep For age "&amp;$D$20&amp;" "&amp;$E$21&amp;" is more than Eligible for Prep initiation"&amp;CHAR(10),""),IF(F128&gt;F127," * Initiated on Prep For age "&amp;$F$20&amp;" "&amp;$F$21&amp;" is more than Eligible for Prep initiation"&amp;CHAR(10),""),IF(G128&gt;G127," * Initiated on Prep For age "&amp;$F$20&amp;" "&amp;$G$21&amp;" is more than Eligible for Prep initiation"&amp;CHAR(10),""),IF(H128&gt;H127," * Initiated on Prep For age "&amp;$H$20&amp;" "&amp;$H$21&amp;" is more than Eligible for Prep initiation"&amp;CHAR(10),""),IF(I128&gt;I127," * Initiated on Prep For age "&amp;$H$20&amp;" "&amp;$I$21&amp;" is more than Eligible for Prep initiation"&amp;CHAR(10),""),IF(J128&gt;J127," * Initiated on Prep For age "&amp;$J$20&amp;" "&amp;$J$21&amp;" is more than Eligible for Prep initiation"&amp;CHAR(10),""),IF(K128&gt;K127," * Initiated on Prep For age "&amp;$J$20&amp;" "&amp;$K$21&amp;" is more than Eligible for Prep initiation"&amp;CHAR(10),""),IF(L128&gt;L127," * Initiated on Prep For age "&amp;$L$20&amp;" "&amp;$L$21&amp;" is more than Eligible for Prep initiation"&amp;CHAR(10),""),IF(M128&gt;M127," * Initiated on Prep For age "&amp;$L$20&amp;" "&amp;$M$21&amp;" is more than Eligible for Prep initiation"&amp;CHAR(10),""),IF(N128&gt;N127," * Initiated on Prep For age "&amp;$N$20&amp;" "&amp;$N$21&amp;" is more than Eligible for Prep initiation"&amp;CHAR(10),""),IF(O128&gt;O127," * Initiated on Prep For age "&amp;$N$20&amp;" "&amp;$O$21&amp;" is more than Eligible for Prep initiation"&amp;CHAR(10),""),IF(P128&gt;P127," * Initiated on Prep For age "&amp;$P$20&amp;" "&amp;$P$21&amp;" is more than Eligible for Prep initiation"&amp;CHAR(10),""),IF(Q128&gt;Q127," * Initiated on Prep For age "&amp;$P$20&amp;" "&amp;$Q$21&amp;" is more than Eligible for Prep initiation"&amp;CHAR(10),""),IF(R128&gt;R127," * Initiated on Prep For age "&amp;$R$20&amp;" "&amp;$R$21&amp;" is more than Eligible for Prep initiation"&amp;CHAR(10),""),IF(S128&gt;S127," * Initiated on Prep For age "&amp;$R$20&amp;" "&amp;$S$21&amp;" is more than Eligible for Prep initiation"&amp;CHAR(10),""),IF(T128&gt;T127," * Initiated on Prep For age "&amp;$T$20&amp;" "&amp;$T$21&amp;" is more than Eligible for Prep initiation"&amp;CHAR(10),""),IF(U128&gt;U127," * Initiated on Prep For age "&amp;$T$20&amp;" "&amp;$U$21&amp;" is more than Eligible for Prep initiation"&amp;CHAR(10),""),IF(V128&gt;V127," * Initiated on Prep For age "&amp;$V$20&amp;" "&amp;$V$21&amp;" is more than Eligible for Prep initiation"&amp;CHAR(10),""),IF(W128&gt;W127," * Initiated on Prep For age "&amp;$V$20&amp;" "&amp;$W$21&amp;" is more than Eligible for Prep initiation"&amp;CHAR(10),""),IF(X128&gt;X127," * Initiated on Prep For age "&amp;$X$20&amp;" "&amp;$X$21&amp;" is more than Eligible for Prep initiation"&amp;CHAR(10),""),IF(Y128&gt;Y127," * Initiated on Prep For age "&amp;$X$20&amp;" "&amp;$Y$21&amp;" is more than Eligible for Prep initiation"&amp;CHAR(10),""),IF(Z128&gt;Z127," * Initiated on Prep For age "&amp;$Z$20&amp;" "&amp;$Z$21&amp;" is more than Eligible for Prep initiation"&amp;CHAR(10),""),IF(AA128&gt;AA127," * Initiated on Prep For age "&amp;$Z$20&amp;" "&amp;$AA$21&amp;" is more than Eligible for Prep initiation"&amp;CHAR(10),""))</f>
        <v/>
      </c>
      <c r="AL128" s="1348"/>
      <c r="AM128" s="31"/>
      <c r="AN128" s="1365"/>
      <c r="AO128" s="13">
        <v>67</v>
      </c>
      <c r="AP128" s="74"/>
      <c r="AQ128" s="75"/>
    </row>
    <row r="129" spans="1:43" ht="25.5" hidden="1" customHeight="1" x14ac:dyDescent="0.75">
      <c r="A129" s="1338" t="s">
        <v>547</v>
      </c>
      <c r="B129" s="91" t="s">
        <v>1162</v>
      </c>
      <c r="C129" s="558" t="s">
        <v>1163</v>
      </c>
      <c r="D129" s="98"/>
      <c r="E129" s="99"/>
      <c r="F129" s="99"/>
      <c r="G129" s="99"/>
      <c r="H129" s="99"/>
      <c r="I129" s="99"/>
      <c r="J129" s="94"/>
      <c r="K129" s="94"/>
      <c r="L129" s="94"/>
      <c r="M129" s="94"/>
      <c r="N129" s="94"/>
      <c r="O129" s="94"/>
      <c r="P129" s="94"/>
      <c r="Q129" s="94"/>
      <c r="R129" s="94"/>
      <c r="S129" s="94"/>
      <c r="T129" s="94"/>
      <c r="U129" s="94"/>
      <c r="V129" s="94"/>
      <c r="W129" s="94"/>
      <c r="X129" s="94"/>
      <c r="Y129" s="94"/>
      <c r="Z129" s="94"/>
      <c r="AA129" s="505"/>
      <c r="AB129" s="375"/>
      <c r="AC129" s="345"/>
      <c r="AD129" s="345"/>
      <c r="AE129" s="345"/>
      <c r="AF129" s="345"/>
      <c r="AG129" s="345"/>
      <c r="AH129" s="345"/>
      <c r="AI129" s="302"/>
      <c r="AJ129" s="173">
        <f t="shared" ref="AJ129:AJ131" si="49">SUM(J129:AA129)</f>
        <v>0</v>
      </c>
      <c r="AK129" s="116"/>
      <c r="AL129" s="1348"/>
      <c r="AM129" s="31"/>
      <c r="AN129" s="1365"/>
      <c r="AO129" s="13">
        <v>68</v>
      </c>
      <c r="AP129" s="74"/>
      <c r="AQ129" s="75"/>
    </row>
    <row r="130" spans="1:43" ht="25.5" hidden="1" x14ac:dyDescent="0.75">
      <c r="A130" s="1339"/>
      <c r="B130" s="76" t="s">
        <v>364</v>
      </c>
      <c r="C130" s="559" t="s">
        <v>1164</v>
      </c>
      <c r="D130" s="77"/>
      <c r="E130" s="78"/>
      <c r="F130" s="78"/>
      <c r="G130" s="78"/>
      <c r="H130" s="78"/>
      <c r="I130" s="78"/>
      <c r="J130" s="79"/>
      <c r="K130" s="79"/>
      <c r="L130" s="79"/>
      <c r="M130" s="79"/>
      <c r="N130" s="79"/>
      <c r="O130" s="79"/>
      <c r="P130" s="79"/>
      <c r="Q130" s="79"/>
      <c r="R130" s="79"/>
      <c r="S130" s="79"/>
      <c r="T130" s="79"/>
      <c r="U130" s="79"/>
      <c r="V130" s="79"/>
      <c r="W130" s="79"/>
      <c r="X130" s="79"/>
      <c r="Y130" s="79"/>
      <c r="Z130" s="79"/>
      <c r="AA130" s="506"/>
      <c r="AB130" s="375"/>
      <c r="AC130" s="345"/>
      <c r="AD130" s="345"/>
      <c r="AE130" s="345"/>
      <c r="AF130" s="345"/>
      <c r="AG130" s="345"/>
      <c r="AH130" s="345"/>
      <c r="AI130" s="302"/>
      <c r="AJ130" s="173">
        <f t="shared" si="49"/>
        <v>0</v>
      </c>
      <c r="AK130" s="116"/>
      <c r="AL130" s="1348"/>
      <c r="AM130" s="31"/>
      <c r="AN130" s="1365"/>
      <c r="AO130" s="13">
        <v>69</v>
      </c>
      <c r="AP130" s="74"/>
      <c r="AQ130" s="75"/>
    </row>
    <row r="131" spans="1:43" ht="25.9" hidden="1" thickBot="1" x14ac:dyDescent="0.8">
      <c r="A131" s="1339"/>
      <c r="B131" s="76" t="s">
        <v>365</v>
      </c>
      <c r="C131" s="559" t="s">
        <v>1165</v>
      </c>
      <c r="D131" s="77"/>
      <c r="E131" s="78"/>
      <c r="F131" s="78"/>
      <c r="G131" s="78"/>
      <c r="H131" s="78"/>
      <c r="I131" s="78"/>
      <c r="J131" s="79"/>
      <c r="K131" s="78"/>
      <c r="L131" s="79"/>
      <c r="M131" s="78"/>
      <c r="N131" s="79"/>
      <c r="O131" s="78"/>
      <c r="P131" s="79"/>
      <c r="Q131" s="78"/>
      <c r="R131" s="79"/>
      <c r="S131" s="78"/>
      <c r="T131" s="79"/>
      <c r="U131" s="78"/>
      <c r="V131" s="79"/>
      <c r="W131" s="78"/>
      <c r="X131" s="79"/>
      <c r="Y131" s="78"/>
      <c r="Z131" s="79"/>
      <c r="AA131" s="78"/>
      <c r="AB131" s="375"/>
      <c r="AC131" s="345"/>
      <c r="AD131" s="345"/>
      <c r="AE131" s="345"/>
      <c r="AF131" s="345"/>
      <c r="AG131" s="345"/>
      <c r="AH131" s="345"/>
      <c r="AI131" s="302"/>
      <c r="AJ131" s="380">
        <f t="shared" si="49"/>
        <v>0</v>
      </c>
      <c r="AK131" s="116"/>
      <c r="AL131" s="1348"/>
      <c r="AM131" s="31"/>
      <c r="AN131" s="1365"/>
      <c r="AO131" s="13">
        <v>70</v>
      </c>
      <c r="AP131" s="74"/>
      <c r="AQ131" s="75"/>
    </row>
    <row r="132" spans="1:43" ht="25.9" hidden="1" thickBot="1" x14ac:dyDescent="0.8">
      <c r="A132" s="1339"/>
      <c r="B132" s="76" t="s">
        <v>366</v>
      </c>
      <c r="C132" s="559" t="s">
        <v>1166</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375"/>
      <c r="AC132" s="345"/>
      <c r="AD132" s="345"/>
      <c r="AE132" s="345"/>
      <c r="AF132" s="345"/>
      <c r="AG132" s="345"/>
      <c r="AH132" s="345"/>
      <c r="AI132" s="302"/>
      <c r="AJ132" s="789"/>
      <c r="AK132" s="116"/>
      <c r="AL132" s="1348"/>
      <c r="AM132" s="31"/>
      <c r="AN132" s="1365"/>
      <c r="AO132" s="13">
        <v>71</v>
      </c>
      <c r="AP132" s="74"/>
      <c r="AQ132" s="75"/>
    </row>
    <row r="133" spans="1:43" ht="25.5" hidden="1" x14ac:dyDescent="0.75">
      <c r="A133" s="1339"/>
      <c r="B133" s="76" t="s">
        <v>367</v>
      </c>
      <c r="C133" s="559" t="s">
        <v>1167</v>
      </c>
      <c r="D133" s="77"/>
      <c r="E133" s="78"/>
      <c r="F133" s="78"/>
      <c r="G133" s="78"/>
      <c r="H133" s="78"/>
      <c r="I133" s="78"/>
      <c r="J133" s="78"/>
      <c r="K133" s="79"/>
      <c r="L133" s="78"/>
      <c r="M133" s="79"/>
      <c r="N133" s="78"/>
      <c r="O133" s="79"/>
      <c r="P133" s="78"/>
      <c r="Q133" s="79"/>
      <c r="R133" s="78"/>
      <c r="S133" s="79"/>
      <c r="T133" s="78"/>
      <c r="U133" s="79"/>
      <c r="V133" s="78"/>
      <c r="W133" s="79"/>
      <c r="X133" s="78"/>
      <c r="Y133" s="79"/>
      <c r="Z133" s="78"/>
      <c r="AA133" s="506"/>
      <c r="AB133" s="375"/>
      <c r="AC133" s="345"/>
      <c r="AD133" s="345"/>
      <c r="AE133" s="345"/>
      <c r="AF133" s="345"/>
      <c r="AG133" s="345"/>
      <c r="AH133" s="345"/>
      <c r="AI133" s="302"/>
      <c r="AJ133" s="52">
        <f>SUM(J133:AA133)</f>
        <v>0</v>
      </c>
      <c r="AK133" s="116"/>
      <c r="AL133" s="1348"/>
      <c r="AM133" s="31"/>
      <c r="AN133" s="1365"/>
      <c r="AO133" s="13">
        <v>72</v>
      </c>
      <c r="AP133" s="74"/>
      <c r="AQ133" s="75"/>
    </row>
    <row r="134" spans="1:43" ht="25.9" hidden="1" thickBot="1" x14ac:dyDescent="0.8">
      <c r="A134" s="1339"/>
      <c r="B134" s="87" t="s">
        <v>1172</v>
      </c>
      <c r="C134" s="559" t="s">
        <v>1168</v>
      </c>
      <c r="D134" s="77"/>
      <c r="E134" s="78"/>
      <c r="F134" s="78"/>
      <c r="G134" s="78"/>
      <c r="H134" s="78"/>
      <c r="I134" s="78"/>
      <c r="J134" s="78"/>
      <c r="K134" s="79"/>
      <c r="L134" s="78"/>
      <c r="M134" s="79"/>
      <c r="N134" s="78"/>
      <c r="O134" s="79"/>
      <c r="P134" s="78"/>
      <c r="Q134" s="78"/>
      <c r="R134" s="78"/>
      <c r="S134" s="78"/>
      <c r="T134" s="78"/>
      <c r="U134" s="78"/>
      <c r="V134" s="78"/>
      <c r="W134" s="78"/>
      <c r="X134" s="78"/>
      <c r="Y134" s="78"/>
      <c r="Z134" s="78"/>
      <c r="AA134" s="78"/>
      <c r="AB134" s="375"/>
      <c r="AC134" s="345"/>
      <c r="AD134" s="345"/>
      <c r="AE134" s="345"/>
      <c r="AF134" s="345"/>
      <c r="AG134" s="345"/>
      <c r="AH134" s="345"/>
      <c r="AI134" s="302"/>
      <c r="AJ134" s="192">
        <f>SUM(J134:AA134)</f>
        <v>0</v>
      </c>
      <c r="AK134" s="116"/>
      <c r="AL134" s="1348"/>
      <c r="AM134" s="31"/>
      <c r="AN134" s="1365"/>
      <c r="AO134" s="13">
        <v>73</v>
      </c>
      <c r="AP134" s="74"/>
      <c r="AQ134" s="75"/>
    </row>
    <row r="135" spans="1:43" ht="25.5" hidden="1" customHeight="1" x14ac:dyDescent="0.75">
      <c r="A135" s="1339"/>
      <c r="B135" s="91" t="s">
        <v>1173</v>
      </c>
      <c r="C135" s="559" t="s">
        <v>1169</v>
      </c>
      <c r="D135" s="77"/>
      <c r="E135" s="78"/>
      <c r="F135" s="78"/>
      <c r="G135" s="78"/>
      <c r="H135" s="78"/>
      <c r="I135" s="78"/>
      <c r="J135" s="79"/>
      <c r="K135" s="78"/>
      <c r="L135" s="79"/>
      <c r="M135" s="78"/>
      <c r="N135" s="79"/>
      <c r="O135" s="78"/>
      <c r="P135" s="79"/>
      <c r="Q135" s="78"/>
      <c r="R135" s="79"/>
      <c r="S135" s="78"/>
      <c r="T135" s="79"/>
      <c r="U135" s="78"/>
      <c r="V135" s="79"/>
      <c r="W135" s="78"/>
      <c r="X135" s="79"/>
      <c r="Y135" s="78"/>
      <c r="Z135" s="79"/>
      <c r="AA135" s="78"/>
      <c r="AB135" s="375"/>
      <c r="AC135" s="345"/>
      <c r="AD135" s="345"/>
      <c r="AE135" s="345"/>
      <c r="AF135" s="345"/>
      <c r="AG135" s="345"/>
      <c r="AH135" s="345"/>
      <c r="AI135" s="302"/>
      <c r="AJ135" s="188">
        <f>SUM(J135:AA135)</f>
        <v>0</v>
      </c>
      <c r="AK135" s="130"/>
      <c r="AL135" s="1348"/>
      <c r="AM135" s="31"/>
      <c r="AN135" s="1365"/>
      <c r="AO135" s="13">
        <v>74</v>
      </c>
      <c r="AP135" s="74"/>
      <c r="AQ135" s="75"/>
    </row>
    <row r="136" spans="1:43" ht="25.9" hidden="1" thickBot="1" x14ac:dyDescent="0.8">
      <c r="A136" s="1339"/>
      <c r="B136" s="76" t="s">
        <v>1174</v>
      </c>
      <c r="C136" s="559" t="s">
        <v>1170</v>
      </c>
      <c r="D136" s="77"/>
      <c r="E136" s="78"/>
      <c r="F136" s="78"/>
      <c r="G136" s="78"/>
      <c r="H136" s="78"/>
      <c r="I136" s="78"/>
      <c r="J136" s="78"/>
      <c r="K136" s="79"/>
      <c r="L136" s="78"/>
      <c r="M136" s="79"/>
      <c r="N136" s="78"/>
      <c r="O136" s="79"/>
      <c r="P136" s="78"/>
      <c r="Q136" s="79"/>
      <c r="R136" s="78"/>
      <c r="S136" s="79"/>
      <c r="T136" s="78"/>
      <c r="U136" s="79"/>
      <c r="V136" s="78"/>
      <c r="W136" s="79"/>
      <c r="X136" s="78"/>
      <c r="Y136" s="79"/>
      <c r="Z136" s="78"/>
      <c r="AA136" s="506"/>
      <c r="AB136" s="375"/>
      <c r="AC136" s="345"/>
      <c r="AD136" s="345"/>
      <c r="AE136" s="345"/>
      <c r="AF136" s="345"/>
      <c r="AG136" s="345"/>
      <c r="AH136" s="345"/>
      <c r="AI136" s="302"/>
      <c r="AJ136" s="173">
        <f>SUM(J136:AA136)</f>
        <v>0</v>
      </c>
      <c r="AK136" s="116"/>
      <c r="AL136" s="1348"/>
      <c r="AM136" s="31"/>
      <c r="AN136" s="1365"/>
      <c r="AO136" s="13">
        <v>75</v>
      </c>
      <c r="AP136" s="74"/>
      <c r="AQ136" s="75"/>
    </row>
    <row r="137" spans="1:43" ht="25.9" hidden="1" thickBot="1" x14ac:dyDescent="0.8">
      <c r="A137" s="1340"/>
      <c r="B137" s="118" t="s">
        <v>1260</v>
      </c>
      <c r="C137" s="865" t="s">
        <v>1171</v>
      </c>
      <c r="D137" s="133"/>
      <c r="E137" s="120"/>
      <c r="F137" s="120"/>
      <c r="G137" s="120"/>
      <c r="H137" s="120"/>
      <c r="I137" s="120"/>
      <c r="J137" s="120"/>
      <c r="K137" s="541">
        <f>SUM(K138:K139)</f>
        <v>0</v>
      </c>
      <c r="L137" s="120"/>
      <c r="M137" s="541">
        <f>SUM(M138:M139)</f>
        <v>0</v>
      </c>
      <c r="N137" s="120"/>
      <c r="O137" s="541">
        <f>SUM(O138:O139)</f>
        <v>0</v>
      </c>
      <c r="P137" s="120"/>
      <c r="Q137" s="541">
        <f>SUM(Q138:Q139)</f>
        <v>0</v>
      </c>
      <c r="R137" s="120"/>
      <c r="S137" s="541">
        <f>SUM(S138:S139)</f>
        <v>0</v>
      </c>
      <c r="T137" s="120"/>
      <c r="U137" s="541">
        <f>SUM(U138:U139)</f>
        <v>0</v>
      </c>
      <c r="V137" s="120"/>
      <c r="W137" s="541">
        <f>SUM(W138:W139)</f>
        <v>0</v>
      </c>
      <c r="X137" s="120"/>
      <c r="Y137" s="541">
        <f>SUM(Y138:Y139)</f>
        <v>0</v>
      </c>
      <c r="Z137" s="120"/>
      <c r="AA137" s="541">
        <f>SUM(AA138:AA139)</f>
        <v>0</v>
      </c>
      <c r="AB137" s="375"/>
      <c r="AC137" s="345"/>
      <c r="AD137" s="345"/>
      <c r="AE137" s="345"/>
      <c r="AF137" s="345"/>
      <c r="AG137" s="345"/>
      <c r="AH137" s="345"/>
      <c r="AI137" s="302"/>
      <c r="AJ137" s="173">
        <f t="shared" ref="AJ137:AJ145" si="50">SUM(J137:AA137)</f>
        <v>0</v>
      </c>
      <c r="AK137" s="116"/>
      <c r="AL137" s="1348"/>
      <c r="AM137" s="31"/>
      <c r="AN137" s="1365"/>
      <c r="AO137" s="13">
        <v>76</v>
      </c>
      <c r="AP137" s="74"/>
      <c r="AQ137" s="75"/>
    </row>
    <row r="138" spans="1:43" ht="30.75" hidden="1" customHeight="1" x14ac:dyDescent="0.75">
      <c r="A138" s="1342" t="s">
        <v>1272</v>
      </c>
      <c r="B138" s="982" t="s">
        <v>1156</v>
      </c>
      <c r="C138" s="983" t="s">
        <v>1258</v>
      </c>
      <c r="D138" s="877"/>
      <c r="E138" s="878"/>
      <c r="F138" s="878"/>
      <c r="G138" s="878"/>
      <c r="H138" s="878"/>
      <c r="I138" s="878"/>
      <c r="J138" s="878"/>
      <c r="K138" s="879"/>
      <c r="L138" s="878"/>
      <c r="M138" s="879"/>
      <c r="N138" s="878"/>
      <c r="O138" s="879"/>
      <c r="P138" s="878"/>
      <c r="Q138" s="879"/>
      <c r="R138" s="878"/>
      <c r="S138" s="879"/>
      <c r="T138" s="878"/>
      <c r="U138" s="879"/>
      <c r="V138" s="878"/>
      <c r="W138" s="879"/>
      <c r="X138" s="878"/>
      <c r="Y138" s="879"/>
      <c r="Z138" s="878"/>
      <c r="AA138" s="880"/>
      <c r="AB138" s="345"/>
      <c r="AC138" s="345"/>
      <c r="AD138" s="345"/>
      <c r="AE138" s="345"/>
      <c r="AF138" s="345"/>
      <c r="AG138" s="345"/>
      <c r="AH138" s="345"/>
      <c r="AI138" s="302"/>
      <c r="AJ138" s="173">
        <f t="shared" si="50"/>
        <v>0</v>
      </c>
      <c r="AK138" s="866"/>
      <c r="AL138" s="1348"/>
      <c r="AM138" s="31"/>
      <c r="AN138" s="1365"/>
      <c r="AO138" s="13"/>
      <c r="AP138" s="74"/>
      <c r="AQ138" s="75"/>
    </row>
    <row r="139" spans="1:43" ht="25.9" hidden="1" thickBot="1" x14ac:dyDescent="0.8">
      <c r="A139" s="1343"/>
      <c r="B139" s="984" t="s">
        <v>1157</v>
      </c>
      <c r="C139" s="985" t="s">
        <v>1259</v>
      </c>
      <c r="D139" s="881"/>
      <c r="E139" s="882"/>
      <c r="F139" s="882"/>
      <c r="G139" s="882"/>
      <c r="H139" s="882"/>
      <c r="I139" s="882"/>
      <c r="J139" s="882"/>
      <c r="K139" s="883"/>
      <c r="L139" s="882"/>
      <c r="M139" s="883"/>
      <c r="N139" s="882"/>
      <c r="O139" s="883"/>
      <c r="P139" s="882"/>
      <c r="Q139" s="883"/>
      <c r="R139" s="882"/>
      <c r="S139" s="883"/>
      <c r="T139" s="882"/>
      <c r="U139" s="883"/>
      <c r="V139" s="882"/>
      <c r="W139" s="883"/>
      <c r="X139" s="882"/>
      <c r="Y139" s="883"/>
      <c r="Z139" s="882"/>
      <c r="AA139" s="884"/>
      <c r="AB139" s="345"/>
      <c r="AC139" s="345"/>
      <c r="AD139" s="345"/>
      <c r="AE139" s="345"/>
      <c r="AF139" s="345"/>
      <c r="AG139" s="345"/>
      <c r="AH139" s="345"/>
      <c r="AI139" s="302"/>
      <c r="AJ139" s="173">
        <f t="shared" si="50"/>
        <v>0</v>
      </c>
      <c r="AK139" s="866"/>
      <c r="AL139" s="1348"/>
      <c r="AM139" s="31"/>
      <c r="AN139" s="1365"/>
      <c r="AO139" s="13"/>
      <c r="AP139" s="74"/>
      <c r="AQ139" s="75"/>
    </row>
    <row r="140" spans="1:43" ht="25.5" hidden="1" x14ac:dyDescent="0.75">
      <c r="A140" s="1344" t="s">
        <v>1267</v>
      </c>
      <c r="B140" s="982" t="s">
        <v>1261</v>
      </c>
      <c r="C140" s="983" t="s">
        <v>1263</v>
      </c>
      <c r="D140" s="877"/>
      <c r="E140" s="878"/>
      <c r="F140" s="878"/>
      <c r="G140" s="878"/>
      <c r="H140" s="878"/>
      <c r="I140" s="878"/>
      <c r="J140" s="879"/>
      <c r="K140" s="879"/>
      <c r="L140" s="879"/>
      <c r="M140" s="879"/>
      <c r="N140" s="879"/>
      <c r="O140" s="879"/>
      <c r="P140" s="879"/>
      <c r="Q140" s="879"/>
      <c r="R140" s="879"/>
      <c r="S140" s="879"/>
      <c r="T140" s="879"/>
      <c r="U140" s="879"/>
      <c r="V140" s="879"/>
      <c r="W140" s="879"/>
      <c r="X140" s="879"/>
      <c r="Y140" s="879"/>
      <c r="Z140" s="879"/>
      <c r="AA140" s="879"/>
      <c r="AB140" s="345"/>
      <c r="AC140" s="345"/>
      <c r="AD140" s="345"/>
      <c r="AE140" s="345"/>
      <c r="AF140" s="345"/>
      <c r="AG140" s="345"/>
      <c r="AH140" s="345"/>
      <c r="AI140" s="302"/>
      <c r="AJ140" s="173">
        <f t="shared" si="50"/>
        <v>0</v>
      </c>
      <c r="AK140" s="866" t="str">
        <f>CONCATENATE(IF(D128&lt;&gt;(D140+D141)," * "&amp;A140&amp;" "&amp;$D$20&amp;" "&amp;$D$21&amp;" should be equal to "&amp;B128&amp;""&amp;CHAR(10),""),IF(E128&lt;&gt;(E140+E141)," * "&amp;A140&amp;" "&amp;$D$20&amp;" "&amp;$E$21&amp;" should be equal to "&amp;B128&amp;""&amp;CHAR(10),""),IF(F128&lt;&gt;(F140+F141)," * "&amp;A140&amp;" "&amp;$F$20&amp;" "&amp;$F$21&amp;" should be equal to "&amp;B128&amp;""&amp;CHAR(10),""),IF(G128&lt;&gt;(G140+G141)," * "&amp;A140&amp;" "&amp;$F$20&amp;" "&amp;$G$21&amp;" should be equal to "&amp;B128&amp;""&amp;CHAR(10),""),IF(H128&lt;&gt;(H140+H141)," * "&amp;A140&amp;" "&amp;$H$20&amp;" "&amp;$H$21&amp;" should be equal to "&amp;B128&amp;""&amp;CHAR(10),""),IF(I128&lt;&gt;(I140+I141)," * "&amp;A140&amp;" "&amp;$H$20&amp;" "&amp;$I$21&amp;" should be equal to "&amp;B128&amp;""&amp;CHAR(10),""),IF(J128&lt;&gt;(J140+J141)," * "&amp;A140&amp;" "&amp;$J$20&amp;" "&amp;$J$21&amp;" should be equal to "&amp;B128&amp;""&amp;CHAR(10),""),IF(K128&lt;&gt;(K140+K141)," * "&amp;A140&amp;" "&amp;$J$20&amp;" "&amp;$K$21&amp;" should be equal to "&amp;B128&amp;""&amp;CHAR(10),""),IF(L128&lt;&gt;(L140+L141)," * "&amp;A140&amp;" "&amp;$L$20&amp;" "&amp;$L$21&amp;" should be equal to "&amp;B128&amp;""&amp;CHAR(10),""),IF(M128&lt;&gt;(M140+M141)," * "&amp;A140&amp;" "&amp;$L$20&amp;" "&amp;$M$21&amp;" should be equal to "&amp;B128&amp;""&amp;CHAR(10),""),IF(N128&lt;&gt;(N140+N141)," * "&amp;A140&amp;" "&amp;$N$20&amp;" "&amp;$N$21&amp;" should be equal to "&amp;B128&amp;""&amp;CHAR(10),""),IF(O128&lt;&gt;(O140+O141)," * "&amp;A140&amp;" "&amp;$N$20&amp;" "&amp;$O$21&amp;" should be equal to "&amp;B128&amp;""&amp;CHAR(10),""),IF(P128&lt;&gt;(P140+P141)," * "&amp;A140&amp;" "&amp;$P$20&amp;" "&amp;$P$21&amp;" should be equal to "&amp;B128&amp;""&amp;CHAR(10),""),IF(Q128&lt;&gt;(Q140+Q141)," * "&amp;A140&amp;" "&amp;$P$20&amp;" "&amp;$Q$21&amp;" should be equal to "&amp;B128&amp;""&amp;CHAR(10),""),IF(R128&lt;&gt;(R140+R141)," * "&amp;A140&amp;" "&amp;$R$20&amp;" "&amp;$R$21&amp;" should be equal to "&amp;B128&amp;""&amp;CHAR(10),""),IF(S128&lt;&gt;(S140+S141)," * "&amp;A140&amp;" "&amp;$R$20&amp;" "&amp;$S$21&amp;" should be equal to "&amp;B128&amp;""&amp;CHAR(10),""),IF(T128&lt;&gt;(T140+T141)," * "&amp;A140&amp;" "&amp;$T$20&amp;" "&amp;$T$21&amp;" should be equal to "&amp;B128&amp;""&amp;CHAR(10),""),IF(U128&lt;&gt;(U140+U141)," * "&amp;A140&amp;" "&amp;$T$20&amp;" "&amp;$U$21&amp;" should be equal to "&amp;B128&amp;""&amp;CHAR(10),""),IF(V128&lt;&gt;(V140+V141)," * "&amp;A140&amp;" "&amp;$V$20&amp;" "&amp;$V$21&amp;" should be equal to "&amp;B128&amp;""&amp;CHAR(10),""),IF(W128&lt;&gt;(W140+W141)," * "&amp;A140&amp;" "&amp;$V$20&amp;" "&amp;$W$21&amp;" should be equal to "&amp;B128&amp;""&amp;CHAR(10),""),IF(X128&lt;&gt;(X140+X141)," * "&amp;A140&amp;" "&amp;$X$20&amp;" "&amp;$X$21&amp;" should be equal to "&amp;B128&amp;""&amp;CHAR(10),""),IF(Y128&lt;&gt;(Y140+Y141)," * "&amp;A140&amp;" "&amp;$X$20&amp;" "&amp;$Y$21&amp;" should be equal to "&amp;B128&amp;""&amp;CHAR(10),""),IF(Z128&lt;&gt;(Z140+Z141)," * "&amp;A140&amp;" "&amp;$Z$20&amp;" "&amp;$Z$21&amp;" should be equal to "&amp;B128&amp;""&amp;CHAR(10),""),IF(AA128&lt;&gt;(AA140+AA141)," * "&amp;A140&amp;" "&amp;$Z$20&amp;" "&amp;$AA$21&amp;" should be equal to "&amp;B128&amp;""&amp;CHAR(10),""))</f>
        <v/>
      </c>
      <c r="AL140" s="1348"/>
      <c r="AM140" s="31"/>
      <c r="AN140" s="1365"/>
      <c r="AO140" s="13"/>
      <c r="AP140" s="74"/>
      <c r="AQ140" s="75"/>
    </row>
    <row r="141" spans="1:43" ht="25.9" hidden="1" thickBot="1" x14ac:dyDescent="0.8">
      <c r="A141" s="1345"/>
      <c r="B141" s="984" t="s">
        <v>1262</v>
      </c>
      <c r="C141" s="985" t="s">
        <v>1264</v>
      </c>
      <c r="D141" s="881"/>
      <c r="E141" s="882"/>
      <c r="F141" s="882"/>
      <c r="G141" s="882"/>
      <c r="H141" s="882"/>
      <c r="I141" s="882"/>
      <c r="J141" s="883"/>
      <c r="K141" s="883"/>
      <c r="L141" s="883"/>
      <c r="M141" s="883"/>
      <c r="N141" s="883"/>
      <c r="O141" s="883"/>
      <c r="P141" s="883"/>
      <c r="Q141" s="883"/>
      <c r="R141" s="883"/>
      <c r="S141" s="883"/>
      <c r="T141" s="883"/>
      <c r="U141" s="883"/>
      <c r="V141" s="883"/>
      <c r="W141" s="883"/>
      <c r="X141" s="883"/>
      <c r="Y141" s="883"/>
      <c r="Z141" s="883"/>
      <c r="AA141" s="883"/>
      <c r="AB141" s="345"/>
      <c r="AC141" s="345"/>
      <c r="AD141" s="345"/>
      <c r="AE141" s="345"/>
      <c r="AF141" s="345"/>
      <c r="AG141" s="345"/>
      <c r="AH141" s="345"/>
      <c r="AI141" s="302"/>
      <c r="AJ141" s="173">
        <f t="shared" si="50"/>
        <v>0</v>
      </c>
      <c r="AK141" s="866"/>
      <c r="AL141" s="1348"/>
      <c r="AM141" s="31"/>
      <c r="AN141" s="1365"/>
      <c r="AO141" s="13"/>
      <c r="AP141" s="74"/>
      <c r="AQ141" s="75"/>
    </row>
    <row r="142" spans="1:43" ht="25.5" hidden="1" x14ac:dyDescent="0.75">
      <c r="A142" s="1344" t="s">
        <v>1266</v>
      </c>
      <c r="B142" s="982" t="s">
        <v>1265</v>
      </c>
      <c r="C142" s="983" t="s">
        <v>1269</v>
      </c>
      <c r="D142" s="877"/>
      <c r="E142" s="878"/>
      <c r="F142" s="878"/>
      <c r="G142" s="878"/>
      <c r="H142" s="878"/>
      <c r="I142" s="878"/>
      <c r="J142" s="879"/>
      <c r="K142" s="879"/>
      <c r="L142" s="879"/>
      <c r="M142" s="879"/>
      <c r="N142" s="879"/>
      <c r="O142" s="879"/>
      <c r="P142" s="879"/>
      <c r="Q142" s="879"/>
      <c r="R142" s="879"/>
      <c r="S142" s="879"/>
      <c r="T142" s="879"/>
      <c r="U142" s="879"/>
      <c r="V142" s="879"/>
      <c r="W142" s="879"/>
      <c r="X142" s="879"/>
      <c r="Y142" s="879"/>
      <c r="Z142" s="879"/>
      <c r="AA142" s="879"/>
      <c r="AB142" s="345"/>
      <c r="AC142" s="345"/>
      <c r="AD142" s="345"/>
      <c r="AE142" s="345"/>
      <c r="AF142" s="345"/>
      <c r="AG142" s="345"/>
      <c r="AH142" s="345"/>
      <c r="AI142" s="302"/>
      <c r="AJ142" s="173">
        <f t="shared" si="50"/>
        <v>0</v>
      </c>
      <c r="AK142" s="866" t="str">
        <f>CONCATENATE(IF(D128&lt;&gt;(D142+D143+D144)," * Total "&amp;A142&amp;" "&amp;$D$20&amp;" "&amp;$D$21&amp;" should be equal to "&amp;B128&amp;""&amp;CHAR(10),""),IF(E128&lt;&gt;(E142+E143+E144)," * Total "&amp;A142&amp;" "&amp;$D$20&amp;" "&amp;$E$21&amp;" should be equal to "&amp;B128&amp;""&amp;CHAR(10),""),IF(F128&lt;&gt;(F142+F143+F144)," * Total "&amp;A142&amp;" "&amp;$F$20&amp;" "&amp;$F$21&amp;" should be equal to "&amp;B128&amp;""&amp;CHAR(10),""),IF(G128&lt;&gt;(G142+G143+G144)," * Total "&amp;A142&amp;" "&amp;$F$20&amp;" "&amp;$G$21&amp;" should be equal to "&amp;B128&amp;""&amp;CHAR(10),""),IF(H128&lt;&gt;(H142+H143+H144)," * Total "&amp;A142&amp;" "&amp;$H$20&amp;" "&amp;$H$21&amp;" should be equal to "&amp;B128&amp;""&amp;CHAR(10),""),IF(I128&lt;&gt;(I142+I143+I144)," * Total "&amp;A142&amp;" "&amp;$H$20&amp;" "&amp;$I$21&amp;" should be equal to "&amp;B128&amp;""&amp;CHAR(10),""),IF(J128&lt;&gt;(J142+J143+J144)," * Total "&amp;A142&amp;" "&amp;$J$20&amp;" "&amp;$J$21&amp;" should be equal to "&amp;B128&amp;""&amp;CHAR(10),""),IF(K128&lt;&gt;(K142+K143+K144)," * Total "&amp;A142&amp;" "&amp;$J$20&amp;" "&amp;$K$21&amp;" should be equal to "&amp;B128&amp;""&amp;CHAR(10),""),IF(L128&lt;&gt;(L142+L143+L144)," * Total "&amp;A142&amp;" "&amp;$L$20&amp;" "&amp;$L$21&amp;" should be equal to "&amp;B128&amp;""&amp;CHAR(10),""),IF(M128&lt;&gt;(M142+M143+M144)," * Total "&amp;A142&amp;" "&amp;$L$20&amp;" "&amp;$M$21&amp;" should be equal to "&amp;B128&amp;""&amp;CHAR(10),""),IF(N128&lt;&gt;(N142+N143+N144)," * Total "&amp;A142&amp;" "&amp;$N$20&amp;" "&amp;$N$21&amp;" should be equal to "&amp;B128&amp;""&amp;CHAR(10),""),IF(O128&lt;&gt;(O142+O143+O144)," * Total "&amp;A142&amp;" "&amp;$N$20&amp;" "&amp;$O$21&amp;" should be equal to "&amp;B128&amp;""&amp;CHAR(10),""),IF(P128&lt;&gt;(P142+P143+P144)," * Total "&amp;A142&amp;" "&amp;$P$20&amp;" "&amp;$P$21&amp;" should be equal to "&amp;B128&amp;""&amp;CHAR(10),""),IF(Q128&lt;&gt;(Q142+Q143+Q144)," * Total "&amp;A142&amp;" "&amp;$P$20&amp;" "&amp;$Q$21&amp;" should be equal to "&amp;B128&amp;""&amp;CHAR(10),""),IF(R128&lt;&gt;(R142+R143+R144)," * Total "&amp;A142&amp;" "&amp;$R$20&amp;" "&amp;$R$21&amp;" should be equal to "&amp;B128&amp;""&amp;CHAR(10),""),IF(S128&lt;&gt;(S142+S143+S144)," * Total "&amp;A142&amp;" "&amp;$R$20&amp;" "&amp;$S$21&amp;" should be equal to "&amp;B128&amp;""&amp;CHAR(10),""),IF(T128&lt;&gt;(T142+T143+T144)," * Total "&amp;A142&amp;" "&amp;$T$20&amp;" "&amp;$T$21&amp;" should be equal to "&amp;B128&amp;""&amp;CHAR(10),""),IF(U128&lt;&gt;(U142+U143+U144)," * Total "&amp;A142&amp;" "&amp;$T$20&amp;" "&amp;$U$21&amp;" should be equal to "&amp;B128&amp;""&amp;CHAR(10),""),IF(V128&lt;&gt;(V142+V143+V144)," * Total "&amp;A142&amp;" "&amp;$V$20&amp;" "&amp;$V$21&amp;" should be equal to "&amp;B128&amp;""&amp;CHAR(10),""),IF(W128&lt;&gt;(W142+W143+W144)," * Total "&amp;A142&amp;" "&amp;$V$20&amp;" "&amp;$W$21&amp;" should be equal to "&amp;B128&amp;""&amp;CHAR(10),""),IF(X128&lt;&gt;(X142+X143+X144)," * Total "&amp;A142&amp;" "&amp;$X$20&amp;" "&amp;$X$21&amp;" should be equal to "&amp;B128&amp;""&amp;CHAR(10),""),IF(Y128&lt;&gt;(Y142+Y143+Y144)," * Total "&amp;A142&amp;" "&amp;$X$20&amp;" "&amp;$Y$21&amp;" should be equal to "&amp;B128&amp;""&amp;CHAR(10),""),IF(Z128&lt;&gt;(Z142+Z143+Z144)," * Total "&amp;A142&amp;" "&amp;$Z$20&amp;" "&amp;$Z$21&amp;" should be equal to "&amp;B128&amp;""&amp;CHAR(10),""),IF(AA128&lt;&gt;(AA142+AA143+AA144)," * Total "&amp;A142&amp;" "&amp;$Z$20&amp;" "&amp;$AA$21&amp;" should be equal to "&amp;B128&amp;""&amp;CHAR(10),""))</f>
        <v/>
      </c>
      <c r="AL142" s="1348"/>
      <c r="AM142" s="31"/>
      <c r="AN142" s="1365"/>
      <c r="AO142" s="13"/>
      <c r="AP142" s="74"/>
      <c r="AQ142" s="75"/>
    </row>
    <row r="143" spans="1:43" ht="25.5" hidden="1" x14ac:dyDescent="0.75">
      <c r="A143" s="1346"/>
      <c r="B143" s="986" t="s">
        <v>1268</v>
      </c>
      <c r="C143" s="942" t="s">
        <v>1270</v>
      </c>
      <c r="D143" s="890"/>
      <c r="E143" s="891"/>
      <c r="F143" s="891"/>
      <c r="G143" s="891"/>
      <c r="H143" s="891"/>
      <c r="I143" s="891"/>
      <c r="J143" s="892"/>
      <c r="K143" s="892"/>
      <c r="L143" s="892"/>
      <c r="M143" s="892"/>
      <c r="N143" s="892"/>
      <c r="O143" s="892"/>
      <c r="P143" s="892"/>
      <c r="Q143" s="892"/>
      <c r="R143" s="892"/>
      <c r="S143" s="892"/>
      <c r="T143" s="892"/>
      <c r="U143" s="892"/>
      <c r="V143" s="892"/>
      <c r="W143" s="892"/>
      <c r="X143" s="892"/>
      <c r="Y143" s="892"/>
      <c r="Z143" s="892"/>
      <c r="AA143" s="892"/>
      <c r="AB143" s="345"/>
      <c r="AC143" s="345"/>
      <c r="AD143" s="345"/>
      <c r="AE143" s="345"/>
      <c r="AF143" s="345"/>
      <c r="AG143" s="345"/>
      <c r="AH143" s="345"/>
      <c r="AI143" s="302"/>
      <c r="AJ143" s="173">
        <f t="shared" si="50"/>
        <v>0</v>
      </c>
      <c r="AK143" s="866"/>
      <c r="AL143" s="1348"/>
      <c r="AM143" s="31"/>
      <c r="AN143" s="1365"/>
      <c r="AO143" s="13"/>
      <c r="AP143" s="74"/>
      <c r="AQ143" s="75"/>
    </row>
    <row r="144" spans="1:43" ht="25.9" hidden="1" thickBot="1" x14ac:dyDescent="0.8">
      <c r="A144" s="1345"/>
      <c r="B144" s="984" t="s">
        <v>21</v>
      </c>
      <c r="C144" s="985" t="s">
        <v>1271</v>
      </c>
      <c r="D144" s="881"/>
      <c r="E144" s="882"/>
      <c r="F144" s="882"/>
      <c r="G144" s="882"/>
      <c r="H144" s="882"/>
      <c r="I144" s="882"/>
      <c r="J144" s="883"/>
      <c r="K144" s="883"/>
      <c r="L144" s="883"/>
      <c r="M144" s="883"/>
      <c r="N144" s="883"/>
      <c r="O144" s="883"/>
      <c r="P144" s="883"/>
      <c r="Q144" s="883"/>
      <c r="R144" s="883"/>
      <c r="S144" s="883"/>
      <c r="T144" s="883"/>
      <c r="U144" s="883"/>
      <c r="V144" s="883"/>
      <c r="W144" s="883"/>
      <c r="X144" s="883"/>
      <c r="Y144" s="883"/>
      <c r="Z144" s="883"/>
      <c r="AA144" s="883"/>
      <c r="AB144" s="345"/>
      <c r="AC144" s="345"/>
      <c r="AD144" s="345"/>
      <c r="AE144" s="345"/>
      <c r="AF144" s="345"/>
      <c r="AG144" s="345"/>
      <c r="AH144" s="345"/>
      <c r="AI144" s="302"/>
      <c r="AJ144" s="173">
        <f t="shared" si="50"/>
        <v>0</v>
      </c>
      <c r="AK144" s="866"/>
      <c r="AL144" s="1348"/>
      <c r="AM144" s="31"/>
      <c r="AN144" s="1365"/>
      <c r="AO144" s="13"/>
      <c r="AP144" s="74"/>
      <c r="AQ144" s="75"/>
    </row>
    <row r="145" spans="1:43" ht="30.75" hidden="1" customHeight="1" thickBot="1" x14ac:dyDescent="0.8">
      <c r="A145" s="987" t="s">
        <v>1279</v>
      </c>
      <c r="B145" s="982" t="s">
        <v>1280</v>
      </c>
      <c r="C145" s="983" t="s">
        <v>1281</v>
      </c>
      <c r="D145" s="877"/>
      <c r="E145" s="878"/>
      <c r="F145" s="878"/>
      <c r="G145" s="878"/>
      <c r="H145" s="878"/>
      <c r="I145" s="878"/>
      <c r="J145" s="879"/>
      <c r="K145" s="879"/>
      <c r="L145" s="879"/>
      <c r="M145" s="879"/>
      <c r="N145" s="879"/>
      <c r="O145" s="879"/>
      <c r="P145" s="879"/>
      <c r="Q145" s="879"/>
      <c r="R145" s="879"/>
      <c r="S145" s="879"/>
      <c r="T145" s="879"/>
      <c r="U145" s="879"/>
      <c r="V145" s="879"/>
      <c r="W145" s="879"/>
      <c r="X145" s="879"/>
      <c r="Y145" s="879"/>
      <c r="Z145" s="879"/>
      <c r="AA145" s="879"/>
      <c r="AB145" s="345"/>
      <c r="AC145" s="345"/>
      <c r="AD145" s="345"/>
      <c r="AE145" s="345"/>
      <c r="AF145" s="345"/>
      <c r="AG145" s="345"/>
      <c r="AH145" s="345"/>
      <c r="AI145" s="302"/>
      <c r="AJ145" s="173">
        <f t="shared" si="50"/>
        <v>0</v>
      </c>
      <c r="AK145" s="873" t="str">
        <f>CONCATENATE(IF(D145&gt;D128," * Newly Initiated on Event-Driven Prep For age "&amp;$D$20&amp;" "&amp;$D$21&amp;" Should not be more than Initiated(New) on Prep"&amp;CHAR(10),""),IF(E145&gt;E128," * Newly Initiated on Event-Driven Prep For age "&amp;$D$20&amp;" "&amp;$E$21&amp;" Should not be more than Initiated(New) on Prep"&amp;CHAR(10),""),IF(F145&gt;F128," * Newly Initiated on Event-Driven Prep For age "&amp;$F$20&amp;" "&amp;$F$21&amp;" Should not be more than Initiated(New) on Prep"&amp;CHAR(10),""),IF(G145&gt;G128," * Newly Initiated on Event-Driven Prep For age "&amp;$F$20&amp;" "&amp;$G$21&amp;" Should not be more than Initiated(New) on Prep"&amp;CHAR(10),""),IF(H145&gt;H128," * Newly Initiated on Event-Driven Prep For age "&amp;$H$20&amp;" "&amp;$H$21&amp;" Should not be more than Initiated(New) on Prep"&amp;CHAR(10),""),IF(I145&gt;I128," * Newly Initiated on Event-Driven Prep For age "&amp;$H$20&amp;" "&amp;$I$21&amp;" Should not be more than Initiated(New) on Prep"&amp;CHAR(10),""),IF(J145&gt;J128," * Newly Initiated on Event-Driven Prep For age "&amp;$J$20&amp;" "&amp;$J$21&amp;" Should not be more than Initiated(New) on Prep"&amp;CHAR(10),""),IF(K145&gt;K128," * Newly Initiated on Event-Driven Prep For age "&amp;$J$20&amp;" "&amp;$K$21&amp;" Should not be more than Initiated(New) on Prep"&amp;CHAR(10),""),IF(L145&gt;L128," * Newly Initiated on Event-Driven Prep For age "&amp;$L$20&amp;" "&amp;$L$21&amp;" Should not be more than Initiated(New) on Prep"&amp;CHAR(10),""),IF(M145&gt;M128," * Newly Initiated on Event-Driven Prep For age "&amp;$L$20&amp;" "&amp;$M$21&amp;" Should not be more than Initiated(New) on Prep"&amp;CHAR(10),""),IF(N145&gt;N128," * Newly Initiated on Event-Driven Prep For age "&amp;$N$20&amp;" "&amp;$N$21&amp;" Should not be more than Initiated(New) on Prep"&amp;CHAR(10),""),IF(O145&gt;O128," * Newly Initiated on Event-Driven Prep For age "&amp;$N$20&amp;" "&amp;$O$21&amp;" Should not be more than Initiated(New) on Prep"&amp;CHAR(10),""),IF(P145&gt;P128," * Newly Initiated on Event-Driven Prep For age "&amp;$P$20&amp;" "&amp;$P$21&amp;" Should not be more than Initiated(New) on Prep"&amp;CHAR(10),""),IF(Q145&gt;Q128," * Newly Initiated on Event-Driven Prep For age "&amp;$P$20&amp;" "&amp;$Q$21&amp;" Should not be more than Initiated(New) on Prep"&amp;CHAR(10),""),IF(R145&gt;R128," * Newly Initiated on Event-Driven Prep For age "&amp;$R$20&amp;" "&amp;$R$21&amp;" Should not be more than Initiated(New) on Prep"&amp;CHAR(10),""),IF(S145&gt;S128," * Newly Initiated on Event-Driven Prep For age "&amp;$R$20&amp;" "&amp;$S$21&amp;" Should not be more than Initiated(New) on Prep"&amp;CHAR(10),""),IF(T145&gt;T128," * Newly Initiated on Event-Driven Prep For age "&amp;$T$20&amp;" "&amp;$T$21&amp;" Should not be more than Initiated(New) on Prep"&amp;CHAR(10),""),IF(U145&gt;U128," * Newly Initiated on Event-Driven Prep For age "&amp;$T$20&amp;" "&amp;$U$21&amp;" Should not be more than Initiated(New) on Prep"&amp;CHAR(10),""),IF(V145&gt;V128," * Newly Initiated on Event-Driven Prep For age "&amp;$V$20&amp;" "&amp;$V$21&amp;" Should not be more than Initiated(New) on Prep"&amp;CHAR(10),""),IF(W145&gt;W128," * Newly Initiated on Event-Driven Prep For age "&amp;$V$20&amp;" "&amp;$W$21&amp;" Should not be more than Initiated(New) on Prep"&amp;CHAR(10),""),IF(X145&gt;X128," * Newly Initiated on Event-Driven Prep For age "&amp;$X$20&amp;" "&amp;$X$21&amp;" Should not be more than Initiated(New) on Prep"&amp;CHAR(10),""),IF(Y145&gt;Y128," * Newly Initiated on Event-Driven Prep For age "&amp;$X$20&amp;" "&amp;$Y$21&amp;" Should not be more than Initiated(New) on Prep"&amp;CHAR(10),""),IF(Z145&gt;Z128," * Newly Initiated on Event-Driven Prep For age "&amp;$Z$20&amp;" "&amp;$Z$21&amp;" Should not be more than Initiated(New) on Prep"&amp;CHAR(10),""),IF(AA145&gt;AA128," * Newly Initiated on Event-Driven Prep For age "&amp;$Z$20&amp;" "&amp;$AA$21&amp;" Should not be more than Initiated(New) on Prep"&amp;CHAR(10),""))</f>
        <v/>
      </c>
      <c r="AL145" s="1348"/>
      <c r="AM145" s="31"/>
      <c r="AN145" s="1365"/>
      <c r="AO145" s="13"/>
      <c r="AP145" s="74"/>
      <c r="AQ145" s="75"/>
    </row>
    <row r="146" spans="1:43" ht="25.9" hidden="1" customHeight="1" thickBot="1" x14ac:dyDescent="0.8">
      <c r="A146" s="952"/>
      <c r="B146" s="514" t="s">
        <v>620</v>
      </c>
      <c r="C146" s="569" t="s">
        <v>175</v>
      </c>
      <c r="D146" s="539"/>
      <c r="E146" s="509"/>
      <c r="F146" s="509"/>
      <c r="G146" s="509"/>
      <c r="H146" s="509"/>
      <c r="I146" s="509"/>
      <c r="J146" s="402"/>
      <c r="K146" s="402"/>
      <c r="L146" s="402"/>
      <c r="M146" s="402"/>
      <c r="N146" s="402"/>
      <c r="O146" s="402"/>
      <c r="P146" s="402"/>
      <c r="Q146" s="402"/>
      <c r="R146" s="402"/>
      <c r="S146" s="402"/>
      <c r="T146" s="402"/>
      <c r="U146" s="402"/>
      <c r="V146" s="402"/>
      <c r="W146" s="402"/>
      <c r="X146" s="402"/>
      <c r="Y146" s="402"/>
      <c r="Z146" s="402"/>
      <c r="AA146" s="540"/>
      <c r="AB146" s="375"/>
      <c r="AC146" s="345"/>
      <c r="AD146" s="345"/>
      <c r="AE146" s="345"/>
      <c r="AF146" s="345"/>
      <c r="AG146" s="345"/>
      <c r="AH146" s="345"/>
      <c r="AI146" s="302"/>
      <c r="AJ146" s="173">
        <f t="shared" ref="AJ146:AJ147" si="51">SUM(J146:AA146)</f>
        <v>0</v>
      </c>
      <c r="AK146" s="30"/>
      <c r="AL146" s="1348"/>
      <c r="AM146" s="31"/>
      <c r="AN146" s="1365"/>
      <c r="AO146" s="13">
        <v>77</v>
      </c>
      <c r="AP146" s="74"/>
      <c r="AQ146" s="75"/>
    </row>
    <row r="147" spans="1:43" ht="102.4" hidden="1" thickBot="1" x14ac:dyDescent="0.8">
      <c r="A147" s="952" t="s">
        <v>963</v>
      </c>
      <c r="B147" s="300" t="s">
        <v>1336</v>
      </c>
      <c r="C147" s="561" t="s">
        <v>964</v>
      </c>
      <c r="D147" s="298"/>
      <c r="E147" s="299"/>
      <c r="F147" s="299"/>
      <c r="G147" s="299"/>
      <c r="H147" s="299"/>
      <c r="I147" s="299"/>
      <c r="J147" s="240"/>
      <c r="K147" s="240"/>
      <c r="L147" s="240"/>
      <c r="M147" s="240"/>
      <c r="N147" s="240"/>
      <c r="O147" s="240"/>
      <c r="P147" s="240"/>
      <c r="Q147" s="240"/>
      <c r="R147" s="240"/>
      <c r="S147" s="240"/>
      <c r="T147" s="240"/>
      <c r="U147" s="240"/>
      <c r="V147" s="240"/>
      <c r="W147" s="240"/>
      <c r="X147" s="240"/>
      <c r="Y147" s="240"/>
      <c r="Z147" s="240"/>
      <c r="AA147" s="240"/>
      <c r="AB147" s="375"/>
      <c r="AC147" s="345"/>
      <c r="AD147" s="345"/>
      <c r="AE147" s="345"/>
      <c r="AF147" s="345"/>
      <c r="AG147" s="345"/>
      <c r="AH147" s="345"/>
      <c r="AI147" s="302"/>
      <c r="AJ147" s="173">
        <f t="shared" si="51"/>
        <v>0</v>
      </c>
      <c r="AK147" s="30"/>
      <c r="AL147" s="1348"/>
      <c r="AM147" s="31"/>
      <c r="AN147" s="1365"/>
      <c r="AO147" s="13"/>
      <c r="AP147" s="74"/>
      <c r="AQ147" s="75"/>
    </row>
    <row r="148" spans="1:43" ht="53.25" hidden="1" customHeight="1" thickBot="1" x14ac:dyDescent="0.8">
      <c r="A148" s="953" t="s">
        <v>792</v>
      </c>
      <c r="B148" s="131" t="s">
        <v>949</v>
      </c>
      <c r="C148" s="558" t="s">
        <v>535</v>
      </c>
      <c r="D148" s="98"/>
      <c r="E148" s="99"/>
      <c r="F148" s="99"/>
      <c r="G148" s="99"/>
      <c r="H148" s="99"/>
      <c r="I148" s="99"/>
      <c r="J148" s="132">
        <f>SUM(J149:J154)</f>
        <v>0</v>
      </c>
      <c r="K148" s="132">
        <f t="shared" ref="K148:AA148" si="52">SUM(K149:K154)</f>
        <v>0</v>
      </c>
      <c r="L148" s="132">
        <f t="shared" si="52"/>
        <v>0</v>
      </c>
      <c r="M148" s="132">
        <f t="shared" si="52"/>
        <v>0</v>
      </c>
      <c r="N148" s="132">
        <f t="shared" si="52"/>
        <v>0</v>
      </c>
      <c r="O148" s="132">
        <f t="shared" si="52"/>
        <v>0</v>
      </c>
      <c r="P148" s="132">
        <f t="shared" si="52"/>
        <v>0</v>
      </c>
      <c r="Q148" s="132">
        <f t="shared" si="52"/>
        <v>0</v>
      </c>
      <c r="R148" s="132">
        <f t="shared" si="52"/>
        <v>0</v>
      </c>
      <c r="S148" s="132">
        <f t="shared" si="52"/>
        <v>0</v>
      </c>
      <c r="T148" s="132">
        <f t="shared" si="52"/>
        <v>0</v>
      </c>
      <c r="U148" s="132">
        <f t="shared" si="52"/>
        <v>0</v>
      </c>
      <c r="V148" s="132">
        <f t="shared" si="52"/>
        <v>0</v>
      </c>
      <c r="W148" s="132">
        <f t="shared" si="52"/>
        <v>0</v>
      </c>
      <c r="X148" s="132">
        <f t="shared" si="52"/>
        <v>0</v>
      </c>
      <c r="Y148" s="132">
        <f t="shared" si="52"/>
        <v>0</v>
      </c>
      <c r="Z148" s="132">
        <f t="shared" si="52"/>
        <v>0</v>
      </c>
      <c r="AA148" s="321">
        <f t="shared" si="52"/>
        <v>0</v>
      </c>
      <c r="AB148" s="375"/>
      <c r="AC148" s="345"/>
      <c r="AD148" s="345"/>
      <c r="AE148" s="345"/>
      <c r="AF148" s="345"/>
      <c r="AG148" s="345"/>
      <c r="AH148" s="345"/>
      <c r="AI148" s="302"/>
      <c r="AJ148" s="379">
        <f>SUM(J148:AA148)</f>
        <v>0</v>
      </c>
      <c r="AK148" s="30"/>
      <c r="AL148" s="1348"/>
      <c r="AM148" s="31"/>
      <c r="AN148" s="1365"/>
      <c r="AO148" s="13">
        <v>78</v>
      </c>
      <c r="AP148" s="74"/>
      <c r="AQ148" s="75"/>
    </row>
    <row r="149" spans="1:43" ht="26.25" hidden="1" customHeight="1" x14ac:dyDescent="0.75">
      <c r="A149" s="1178" t="s">
        <v>546</v>
      </c>
      <c r="B149" s="76" t="s">
        <v>369</v>
      </c>
      <c r="C149" s="559" t="s">
        <v>556</v>
      </c>
      <c r="D149" s="77"/>
      <c r="E149" s="78"/>
      <c r="F149" s="78"/>
      <c r="G149" s="78"/>
      <c r="H149" s="78"/>
      <c r="I149" s="78"/>
      <c r="J149" s="79"/>
      <c r="K149" s="79"/>
      <c r="L149" s="79"/>
      <c r="M149" s="79"/>
      <c r="N149" s="79"/>
      <c r="O149" s="79"/>
      <c r="P149" s="79"/>
      <c r="Q149" s="79"/>
      <c r="R149" s="79"/>
      <c r="S149" s="79"/>
      <c r="T149" s="79"/>
      <c r="U149" s="79"/>
      <c r="V149" s="79"/>
      <c r="W149" s="79"/>
      <c r="X149" s="79"/>
      <c r="Y149" s="79"/>
      <c r="Z149" s="79"/>
      <c r="AA149" s="307"/>
      <c r="AB149" s="375"/>
      <c r="AC149" s="345"/>
      <c r="AD149" s="345"/>
      <c r="AE149" s="345"/>
      <c r="AF149" s="345"/>
      <c r="AG149" s="345"/>
      <c r="AH149" s="345"/>
      <c r="AI149" s="302"/>
      <c r="AJ149" s="173">
        <f>SUM(J149:AA149)</f>
        <v>0</v>
      </c>
      <c r="AK149" s="116"/>
      <c r="AL149" s="1348"/>
      <c r="AM149" s="31"/>
      <c r="AN149" s="1365"/>
      <c r="AO149" s="13">
        <v>79</v>
      </c>
      <c r="AP149" s="74"/>
      <c r="AQ149" s="75"/>
    </row>
    <row r="150" spans="1:43" ht="26.25" hidden="1" customHeight="1" x14ac:dyDescent="0.75">
      <c r="A150" s="1179"/>
      <c r="B150" s="76" t="s">
        <v>364</v>
      </c>
      <c r="C150" s="559" t="s">
        <v>557</v>
      </c>
      <c r="D150" s="77"/>
      <c r="E150" s="78"/>
      <c r="F150" s="78"/>
      <c r="G150" s="78"/>
      <c r="H150" s="78"/>
      <c r="I150" s="78"/>
      <c r="J150" s="79"/>
      <c r="K150" s="79"/>
      <c r="L150" s="79"/>
      <c r="M150" s="79"/>
      <c r="N150" s="79"/>
      <c r="O150" s="79"/>
      <c r="P150" s="79"/>
      <c r="Q150" s="79"/>
      <c r="R150" s="79"/>
      <c r="S150" s="79"/>
      <c r="T150" s="79"/>
      <c r="U150" s="79"/>
      <c r="V150" s="79"/>
      <c r="W150" s="79"/>
      <c r="X150" s="79"/>
      <c r="Y150" s="79"/>
      <c r="Z150" s="79"/>
      <c r="AA150" s="307"/>
      <c r="AB150" s="375"/>
      <c r="AC150" s="345"/>
      <c r="AD150" s="345"/>
      <c r="AE150" s="345"/>
      <c r="AF150" s="345"/>
      <c r="AG150" s="345"/>
      <c r="AH150" s="345"/>
      <c r="AI150" s="302"/>
      <c r="AJ150" s="173">
        <f>SUM(J150:AA150)</f>
        <v>0</v>
      </c>
      <c r="AK150" s="116"/>
      <c r="AL150" s="1348"/>
      <c r="AM150" s="31"/>
      <c r="AN150" s="1365"/>
      <c r="AO150" s="13">
        <v>80</v>
      </c>
      <c r="AP150" s="74"/>
      <c r="AQ150" s="75"/>
    </row>
    <row r="151" spans="1:43" ht="26.25" hidden="1" customHeight="1" x14ac:dyDescent="0.75">
      <c r="A151" s="1179"/>
      <c r="B151" s="76" t="s">
        <v>365</v>
      </c>
      <c r="C151" s="559" t="s">
        <v>558</v>
      </c>
      <c r="D151" s="77"/>
      <c r="E151" s="78"/>
      <c r="F151" s="78"/>
      <c r="G151" s="78"/>
      <c r="H151" s="78"/>
      <c r="I151" s="78"/>
      <c r="J151" s="79"/>
      <c r="K151" s="79"/>
      <c r="L151" s="79"/>
      <c r="M151" s="79"/>
      <c r="N151" s="79"/>
      <c r="O151" s="79"/>
      <c r="P151" s="79"/>
      <c r="Q151" s="79"/>
      <c r="R151" s="79"/>
      <c r="S151" s="79"/>
      <c r="T151" s="79"/>
      <c r="U151" s="79"/>
      <c r="V151" s="79"/>
      <c r="W151" s="79"/>
      <c r="X151" s="79"/>
      <c r="Y151" s="79"/>
      <c r="Z151" s="79"/>
      <c r="AA151" s="307"/>
      <c r="AB151" s="375"/>
      <c r="AC151" s="345"/>
      <c r="AD151" s="345"/>
      <c r="AE151" s="345"/>
      <c r="AF151" s="345"/>
      <c r="AG151" s="345"/>
      <c r="AH151" s="345"/>
      <c r="AI151" s="302"/>
      <c r="AJ151" s="173">
        <f t="shared" ref="AJ151:AJ154" si="53">SUM(J151:AA151)</f>
        <v>0</v>
      </c>
      <c r="AK151" s="116"/>
      <c r="AL151" s="1348"/>
      <c r="AM151" s="31"/>
      <c r="AN151" s="1365"/>
      <c r="AO151" s="13">
        <v>81</v>
      </c>
      <c r="AP151" s="74"/>
      <c r="AQ151" s="75"/>
    </row>
    <row r="152" spans="1:43" ht="26.25" hidden="1" customHeight="1" x14ac:dyDescent="0.75">
      <c r="A152" s="1179"/>
      <c r="B152" s="76" t="s">
        <v>366</v>
      </c>
      <c r="C152" s="559" t="s">
        <v>559</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07"/>
      <c r="AB152" s="375"/>
      <c r="AC152" s="345"/>
      <c r="AD152" s="345"/>
      <c r="AE152" s="345"/>
      <c r="AF152" s="345"/>
      <c r="AG152" s="345"/>
      <c r="AH152" s="345"/>
      <c r="AI152" s="302"/>
      <c r="AJ152" s="173">
        <f t="shared" si="53"/>
        <v>0</v>
      </c>
      <c r="AK152" s="116"/>
      <c r="AL152" s="1348"/>
      <c r="AM152" s="31"/>
      <c r="AN152" s="1365"/>
      <c r="AO152" s="13">
        <v>82</v>
      </c>
      <c r="AP152" s="74"/>
      <c r="AQ152" s="75"/>
    </row>
    <row r="153" spans="1:43" ht="26.25" hidden="1" customHeight="1" x14ac:dyDescent="0.75">
      <c r="A153" s="1179"/>
      <c r="B153" s="76" t="s">
        <v>367</v>
      </c>
      <c r="C153" s="559" t="s">
        <v>560</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07"/>
      <c r="AB153" s="375"/>
      <c r="AC153" s="345"/>
      <c r="AD153" s="345"/>
      <c r="AE153" s="345"/>
      <c r="AF153" s="345"/>
      <c r="AG153" s="345"/>
      <c r="AH153" s="345"/>
      <c r="AI153" s="302"/>
      <c r="AJ153" s="173">
        <f t="shared" si="53"/>
        <v>0</v>
      </c>
      <c r="AK153" s="116"/>
      <c r="AL153" s="1348"/>
      <c r="AM153" s="31"/>
      <c r="AN153" s="1365"/>
      <c r="AO153" s="13">
        <v>83</v>
      </c>
      <c r="AP153" s="74"/>
      <c r="AQ153" s="75"/>
    </row>
    <row r="154" spans="1:43" ht="27" hidden="1" customHeight="1" thickBot="1" x14ac:dyDescent="0.8">
      <c r="A154" s="1180"/>
      <c r="B154" s="87" t="s">
        <v>368</v>
      </c>
      <c r="C154" s="560" t="s">
        <v>561</v>
      </c>
      <c r="D154" s="133"/>
      <c r="E154" s="120"/>
      <c r="F154" s="120"/>
      <c r="G154" s="120"/>
      <c r="H154" s="120"/>
      <c r="I154" s="120"/>
      <c r="J154" s="121"/>
      <c r="K154" s="121"/>
      <c r="L154" s="121"/>
      <c r="M154" s="121"/>
      <c r="N154" s="121"/>
      <c r="O154" s="121"/>
      <c r="P154" s="121"/>
      <c r="Q154" s="121"/>
      <c r="R154" s="121"/>
      <c r="S154" s="121"/>
      <c r="T154" s="121"/>
      <c r="U154" s="121"/>
      <c r="V154" s="121"/>
      <c r="W154" s="121"/>
      <c r="X154" s="121"/>
      <c r="Y154" s="121"/>
      <c r="Z154" s="121"/>
      <c r="AA154" s="318"/>
      <c r="AB154" s="375"/>
      <c r="AC154" s="345"/>
      <c r="AD154" s="345"/>
      <c r="AE154" s="345"/>
      <c r="AF154" s="345"/>
      <c r="AG154" s="345"/>
      <c r="AH154" s="345"/>
      <c r="AI154" s="302"/>
      <c r="AJ154" s="380">
        <f t="shared" si="53"/>
        <v>0</v>
      </c>
      <c r="AK154" s="116"/>
      <c r="AL154" s="1348"/>
      <c r="AM154" s="31"/>
      <c r="AN154" s="1365"/>
      <c r="AO154" s="13">
        <v>84</v>
      </c>
      <c r="AP154" s="74"/>
      <c r="AQ154" s="75"/>
    </row>
    <row r="155" spans="1:43" ht="25.5" hidden="1" x14ac:dyDescent="0.75">
      <c r="A155" s="1132" t="s">
        <v>1131</v>
      </c>
      <c r="B155" s="91" t="s">
        <v>1132</v>
      </c>
      <c r="C155" s="570" t="s">
        <v>176</v>
      </c>
      <c r="D155" s="134"/>
      <c r="E155" s="99"/>
      <c r="F155" s="99"/>
      <c r="G155" s="99"/>
      <c r="H155" s="99"/>
      <c r="I155" s="99"/>
      <c r="J155" s="94"/>
      <c r="K155" s="94"/>
      <c r="L155" s="94"/>
      <c r="M155" s="94"/>
      <c r="N155" s="94"/>
      <c r="O155" s="94"/>
      <c r="P155" s="94"/>
      <c r="Q155" s="94"/>
      <c r="R155" s="94"/>
      <c r="S155" s="94"/>
      <c r="T155" s="94"/>
      <c r="U155" s="94"/>
      <c r="V155" s="94"/>
      <c r="W155" s="94"/>
      <c r="X155" s="94"/>
      <c r="Y155" s="94"/>
      <c r="Z155" s="94"/>
      <c r="AA155" s="505"/>
      <c r="AB155" s="345"/>
      <c r="AC155" s="345"/>
      <c r="AD155" s="345"/>
      <c r="AE155" s="345"/>
      <c r="AF155" s="345"/>
      <c r="AG155" s="345"/>
      <c r="AH155" s="345"/>
      <c r="AI155" s="345"/>
      <c r="AJ155" s="395">
        <f t="shared" si="46"/>
        <v>0</v>
      </c>
      <c r="AK155" s="1304" t="str">
        <f>CONCATENATE(IF(D156&gt;D155," * F02-07 for Age "&amp;D20&amp;" "&amp;D21&amp;" is more than F02-06"&amp;CHAR(10),""),IF(E156&gt;E155," * F02-07 for Age "&amp;D20&amp;" "&amp;E21&amp;" is more than F02-06"&amp;CHAR(10),""),IF(F156&gt;F155," * F02-07 for Age "&amp;F20&amp;" "&amp;F21&amp;" is more than F02-06"&amp;CHAR(10),""),IF(G156&gt;G155," * F02-07 for Age "&amp;F20&amp;" "&amp;G21&amp;" is more than F02-06"&amp;CHAR(10),""),IF(H156&gt;H155," * F02-07 for Age "&amp;H20&amp;" "&amp;H21&amp;" is more than F02-06"&amp;CHAR(10),""),IF(I156&gt;I155," * F02-07 for Age "&amp;H20&amp;" "&amp;I21&amp;" is more than F02-06"&amp;CHAR(10),""),IF(J156&gt;J155," * F02-07 for Age "&amp;J20&amp;" "&amp;J21&amp;" is more than F02-06"&amp;CHAR(10),""),IF(K156&gt;K155," * F02-07 for Age "&amp;J20&amp;" "&amp;K21&amp;" is more than F02-06"&amp;CHAR(10),""),IF(L156&gt;L155," * F02-07 for Age "&amp;L20&amp;" "&amp;L21&amp;" is more than F02-06"&amp;CHAR(10),""),IF(M156&gt;M155," * F02-07 for Age "&amp;L20&amp;" "&amp;M21&amp;" is more than F02-06"&amp;CHAR(10),""),IF(N156&gt;N155," * F02-07 for Age "&amp;N20&amp;" "&amp;N21&amp;" is more than F02-06"&amp;CHAR(10),""),IF(O156&gt;O155," * F02-07 for Age "&amp;N20&amp;" "&amp;O21&amp;" is more than F02-06"&amp;CHAR(10),""),IF(P156&gt;P155," * F02-07 for Age "&amp;P20&amp;" "&amp;P21&amp;" is more than F02-06"&amp;CHAR(10),""),IF(Q156&gt;Q155," * F02-07 for Age "&amp;P20&amp;" "&amp;Q21&amp;" is more than F02-06"&amp;CHAR(10),""),IF(R156&gt;R155," * F02-07 for Age "&amp;R20&amp;" "&amp;R21&amp;" is more than F02-06"&amp;CHAR(10),""),IF(S156&gt;S155," * F02-07 for Age "&amp;R20&amp;" "&amp;S21&amp;" is more than F02-06"&amp;CHAR(10),""),IF(T156&gt;T155," * F02-07 for Age "&amp;T20&amp;" "&amp;T21&amp;" is more than F02-06"&amp;CHAR(10),""),IF(U156&gt;U155," * F02-07 for Age "&amp;T20&amp;" "&amp;U21&amp;" is more than F02-06"&amp;CHAR(10),""),IF(V156&gt;V155," * F02-07 for Age "&amp;V20&amp;" "&amp;V21&amp;" is more than F02-06"&amp;CHAR(10),""),IF(W156&gt;W155," * F02-07 for Age "&amp;V20&amp;" "&amp;W21&amp;" is more than F02-06"&amp;CHAR(10),""),IF(X156&gt;X155," * F02-07 for Age "&amp;X20&amp;" "&amp;X21&amp;" is more than F02-06"&amp;CHAR(10),""),IF(Y156&gt;Y155," * F02-07 for Age "&amp;X20&amp;" "&amp;Y21&amp;" is more than F02-06"&amp;CHAR(10),""),IF(Z156&gt;Z155," * F02-07 for Age "&amp;Z20&amp;" "&amp;Z21&amp;" is more than F02-06"&amp;CHAR(10),""),IF(AA156&gt;AA155," * F02-07 for Age "&amp;Z20&amp;" "&amp;AA21&amp;" is more than F02-06"&amp;CHAR(10),""),IF(AJ156&gt;AJ155," * Total F02-07 is more than Total F02-06"&amp;CHAR(10),""))</f>
        <v/>
      </c>
      <c r="AL155" s="1348"/>
      <c r="AM155" s="31"/>
      <c r="AN155" s="1365"/>
      <c r="AO155" s="13">
        <v>85</v>
      </c>
      <c r="AP155" s="74"/>
      <c r="AQ155" s="75"/>
    </row>
    <row r="156" spans="1:43" ht="25.9" hidden="1" thickBot="1" x14ac:dyDescent="0.8">
      <c r="A156" s="1133"/>
      <c r="B156" s="76" t="s">
        <v>1133</v>
      </c>
      <c r="C156" s="571" t="s">
        <v>177</v>
      </c>
      <c r="D156" s="135"/>
      <c r="E156" s="78"/>
      <c r="F156" s="78"/>
      <c r="G156" s="78"/>
      <c r="H156" s="78"/>
      <c r="I156" s="78"/>
      <c r="J156" s="79"/>
      <c r="K156" s="79"/>
      <c r="L156" s="79"/>
      <c r="M156" s="79"/>
      <c r="N156" s="79"/>
      <c r="O156" s="79"/>
      <c r="P156" s="79"/>
      <c r="Q156" s="79"/>
      <c r="R156" s="79"/>
      <c r="S156" s="79"/>
      <c r="T156" s="79"/>
      <c r="U156" s="79"/>
      <c r="V156" s="79"/>
      <c r="W156" s="79"/>
      <c r="X156" s="79"/>
      <c r="Y156" s="79"/>
      <c r="Z156" s="79"/>
      <c r="AA156" s="506"/>
      <c r="AB156" s="345"/>
      <c r="AC156" s="345"/>
      <c r="AD156" s="345"/>
      <c r="AE156" s="345"/>
      <c r="AF156" s="345"/>
      <c r="AG156" s="345"/>
      <c r="AH156" s="345"/>
      <c r="AI156" s="345"/>
      <c r="AJ156" s="597">
        <f t="shared" si="46"/>
        <v>0</v>
      </c>
      <c r="AK156" s="1304"/>
      <c r="AL156" s="1348"/>
      <c r="AM156" s="31"/>
      <c r="AN156" s="1365"/>
      <c r="AO156" s="13">
        <v>86</v>
      </c>
      <c r="AP156" s="74"/>
      <c r="AQ156" s="75"/>
    </row>
    <row r="157" spans="1:43" ht="27" hidden="1" customHeight="1" thickBot="1" x14ac:dyDescent="0.8">
      <c r="A157" s="1217"/>
      <c r="B157" s="118" t="s">
        <v>621</v>
      </c>
      <c r="C157" s="572" t="s">
        <v>327</v>
      </c>
      <c r="D157" s="492"/>
      <c r="E157" s="120"/>
      <c r="F157" s="120"/>
      <c r="G157" s="120"/>
      <c r="H157" s="120"/>
      <c r="I157" s="120"/>
      <c r="J157" s="121"/>
      <c r="K157" s="121"/>
      <c r="L157" s="121"/>
      <c r="M157" s="121"/>
      <c r="N157" s="121"/>
      <c r="O157" s="121"/>
      <c r="P157" s="121"/>
      <c r="Q157" s="121"/>
      <c r="R157" s="121"/>
      <c r="S157" s="121"/>
      <c r="T157" s="121"/>
      <c r="U157" s="121"/>
      <c r="V157" s="121"/>
      <c r="W157" s="121"/>
      <c r="X157" s="121"/>
      <c r="Y157" s="121"/>
      <c r="Z157" s="121"/>
      <c r="AA157" s="507"/>
      <c r="AB157" s="345"/>
      <c r="AC157" s="345"/>
      <c r="AD157" s="345"/>
      <c r="AE157" s="345"/>
      <c r="AF157" s="345"/>
      <c r="AG157" s="345"/>
      <c r="AH157" s="345"/>
      <c r="AI157" s="345"/>
      <c r="AJ157" s="597">
        <f t="shared" si="46"/>
        <v>0</v>
      </c>
      <c r="AK157" s="116"/>
      <c r="AL157" s="1348"/>
      <c r="AM157" s="31"/>
      <c r="AN157" s="1365"/>
      <c r="AO157" s="13">
        <v>87</v>
      </c>
      <c r="AP157" s="74"/>
      <c r="AQ157" s="75"/>
    </row>
    <row r="158" spans="1:43" ht="25.5" hidden="1" x14ac:dyDescent="0.75">
      <c r="A158" s="1320" t="s">
        <v>1158</v>
      </c>
      <c r="B158" s="511" t="s">
        <v>1156</v>
      </c>
      <c r="C158" s="573" t="s">
        <v>1159</v>
      </c>
      <c r="D158" s="134"/>
      <c r="E158" s="99"/>
      <c r="F158" s="99"/>
      <c r="G158" s="99"/>
      <c r="H158" s="99"/>
      <c r="I158" s="99"/>
      <c r="J158" s="99"/>
      <c r="K158" s="512"/>
      <c r="L158" s="99"/>
      <c r="M158" s="512"/>
      <c r="N158" s="99"/>
      <c r="O158" s="512"/>
      <c r="P158" s="99"/>
      <c r="Q158" s="512"/>
      <c r="R158" s="99"/>
      <c r="S158" s="512"/>
      <c r="T158" s="99"/>
      <c r="U158" s="512"/>
      <c r="V158" s="99"/>
      <c r="W158" s="512"/>
      <c r="X158" s="99"/>
      <c r="Y158" s="512"/>
      <c r="Z158" s="99"/>
      <c r="AA158" s="513"/>
      <c r="AB158" s="345"/>
      <c r="AC158" s="345"/>
      <c r="AD158" s="345"/>
      <c r="AE158" s="345"/>
      <c r="AF158" s="345"/>
      <c r="AG158" s="345"/>
      <c r="AH158" s="345"/>
      <c r="AI158" s="345"/>
      <c r="AJ158" s="597">
        <f t="shared" si="46"/>
        <v>0</v>
      </c>
      <c r="AK158" s="485"/>
      <c r="AL158" s="1348"/>
      <c r="AM158" s="31"/>
      <c r="AN158" s="1365"/>
      <c r="AO158" s="13"/>
      <c r="AP158" s="74"/>
      <c r="AQ158" s="75"/>
    </row>
    <row r="159" spans="1:43" ht="25.9" hidden="1" thickBot="1" x14ac:dyDescent="0.8">
      <c r="A159" s="1228"/>
      <c r="B159" s="514" t="s">
        <v>1157</v>
      </c>
      <c r="C159" s="574" t="s">
        <v>1160</v>
      </c>
      <c r="D159" s="508"/>
      <c r="E159" s="509"/>
      <c r="F159" s="509"/>
      <c r="G159" s="509"/>
      <c r="H159" s="509"/>
      <c r="I159" s="509"/>
      <c r="J159" s="102"/>
      <c r="K159" s="402"/>
      <c r="L159" s="102"/>
      <c r="M159" s="402"/>
      <c r="N159" s="102"/>
      <c r="O159" s="402"/>
      <c r="P159" s="102"/>
      <c r="Q159" s="402"/>
      <c r="R159" s="102"/>
      <c r="S159" s="402"/>
      <c r="T159" s="102"/>
      <c r="U159" s="402"/>
      <c r="V159" s="102"/>
      <c r="W159" s="402"/>
      <c r="X159" s="102"/>
      <c r="Y159" s="402"/>
      <c r="Z159" s="102"/>
      <c r="AA159" s="510"/>
      <c r="AB159" s="345"/>
      <c r="AC159" s="345"/>
      <c r="AD159" s="345"/>
      <c r="AE159" s="345"/>
      <c r="AF159" s="345"/>
      <c r="AG159" s="345"/>
      <c r="AH159" s="345"/>
      <c r="AI159" s="345"/>
      <c r="AJ159" s="597">
        <f t="shared" si="46"/>
        <v>0</v>
      </c>
      <c r="AK159" s="485"/>
      <c r="AL159" s="1348"/>
      <c r="AM159" s="31"/>
      <c r="AN159" s="1365"/>
      <c r="AO159" s="13"/>
      <c r="AP159" s="74"/>
      <c r="AQ159" s="75"/>
    </row>
    <row r="160" spans="1:43" ht="27" hidden="1" customHeight="1" thickBot="1" x14ac:dyDescent="0.8">
      <c r="A160" s="1132" t="s">
        <v>21</v>
      </c>
      <c r="B160" s="91" t="s">
        <v>622</v>
      </c>
      <c r="C160" s="558" t="s">
        <v>328</v>
      </c>
      <c r="D160" s="98"/>
      <c r="E160" s="99"/>
      <c r="F160" s="99"/>
      <c r="G160" s="99"/>
      <c r="H160" s="99"/>
      <c r="I160" s="99"/>
      <c r="J160" s="94"/>
      <c r="K160" s="94"/>
      <c r="L160" s="94"/>
      <c r="M160" s="94"/>
      <c r="N160" s="94"/>
      <c r="O160" s="94"/>
      <c r="P160" s="94"/>
      <c r="Q160" s="94"/>
      <c r="R160" s="94"/>
      <c r="S160" s="94"/>
      <c r="T160" s="94"/>
      <c r="U160" s="94"/>
      <c r="V160" s="94"/>
      <c r="W160" s="94"/>
      <c r="X160" s="94"/>
      <c r="Y160" s="94"/>
      <c r="Z160" s="94"/>
      <c r="AA160" s="310"/>
      <c r="AB160" s="375"/>
      <c r="AC160" s="345"/>
      <c r="AD160" s="345"/>
      <c r="AE160" s="345"/>
      <c r="AF160" s="345"/>
      <c r="AG160" s="345"/>
      <c r="AH160" s="345"/>
      <c r="AI160" s="345"/>
      <c r="AJ160" s="597">
        <f t="shared" si="46"/>
        <v>0</v>
      </c>
      <c r="AK160" s="116"/>
      <c r="AL160" s="1348"/>
      <c r="AM160" s="31"/>
      <c r="AN160" s="1365"/>
      <c r="AO160" s="13">
        <v>88</v>
      </c>
      <c r="AP160" s="74"/>
      <c r="AQ160" s="75"/>
    </row>
    <row r="161" spans="1:43" ht="27" hidden="1" customHeight="1" thickBot="1" x14ac:dyDescent="0.8">
      <c r="A161" s="1133"/>
      <c r="B161" s="76" t="s">
        <v>950</v>
      </c>
      <c r="C161" s="559" t="s">
        <v>329</v>
      </c>
      <c r="D161" s="77"/>
      <c r="E161" s="78"/>
      <c r="F161" s="78"/>
      <c r="G161" s="78"/>
      <c r="H161" s="78"/>
      <c r="I161" s="78"/>
      <c r="J161" s="79"/>
      <c r="K161" s="79"/>
      <c r="L161" s="79"/>
      <c r="M161" s="79"/>
      <c r="N161" s="79"/>
      <c r="O161" s="79"/>
      <c r="P161" s="79"/>
      <c r="Q161" s="79"/>
      <c r="R161" s="79"/>
      <c r="S161" s="79"/>
      <c r="T161" s="79"/>
      <c r="U161" s="79"/>
      <c r="V161" s="79"/>
      <c r="W161" s="79"/>
      <c r="X161" s="79"/>
      <c r="Y161" s="79"/>
      <c r="Z161" s="79"/>
      <c r="AA161" s="307"/>
      <c r="AB161" s="375"/>
      <c r="AC161" s="345"/>
      <c r="AD161" s="345"/>
      <c r="AE161" s="345"/>
      <c r="AF161" s="345"/>
      <c r="AG161" s="345"/>
      <c r="AH161" s="345"/>
      <c r="AI161" s="345"/>
      <c r="AJ161" s="597">
        <f t="shared" si="46"/>
        <v>0</v>
      </c>
      <c r="AK161" s="116"/>
      <c r="AL161" s="1348"/>
      <c r="AM161" s="31"/>
      <c r="AN161" s="1365"/>
      <c r="AO161" s="13">
        <v>89</v>
      </c>
      <c r="AP161" s="74"/>
      <c r="AQ161" s="75"/>
    </row>
    <row r="162" spans="1:43" ht="27" hidden="1" customHeight="1" thickBot="1" x14ac:dyDescent="0.8">
      <c r="A162" s="1133"/>
      <c r="B162" s="76" t="s">
        <v>623</v>
      </c>
      <c r="C162" s="559" t="s">
        <v>178</v>
      </c>
      <c r="D162" s="77"/>
      <c r="E162" s="78"/>
      <c r="F162" s="78"/>
      <c r="G162" s="78"/>
      <c r="H162" s="78"/>
      <c r="I162" s="78"/>
      <c r="J162" s="79"/>
      <c r="K162" s="79"/>
      <c r="L162" s="79"/>
      <c r="M162" s="79"/>
      <c r="N162" s="79"/>
      <c r="O162" s="79"/>
      <c r="P162" s="79"/>
      <c r="Q162" s="79"/>
      <c r="R162" s="79"/>
      <c r="S162" s="79"/>
      <c r="T162" s="79"/>
      <c r="U162" s="79"/>
      <c r="V162" s="79"/>
      <c r="W162" s="79"/>
      <c r="X162" s="79"/>
      <c r="Y162" s="79"/>
      <c r="Z162" s="79"/>
      <c r="AA162" s="307"/>
      <c r="AB162" s="375"/>
      <c r="AC162" s="345"/>
      <c r="AD162" s="345"/>
      <c r="AE162" s="345"/>
      <c r="AF162" s="345"/>
      <c r="AG162" s="345"/>
      <c r="AH162" s="345"/>
      <c r="AI162" s="345"/>
      <c r="AJ162" s="597">
        <f t="shared" si="46"/>
        <v>0</v>
      </c>
      <c r="AK162" s="116"/>
      <c r="AL162" s="1348"/>
      <c r="AM162" s="31"/>
      <c r="AN162" s="1365"/>
      <c r="AO162" s="13">
        <v>90</v>
      </c>
      <c r="AP162" s="74"/>
      <c r="AQ162" s="75"/>
    </row>
    <row r="163" spans="1:43" ht="27" hidden="1" customHeight="1" thickBot="1" x14ac:dyDescent="0.8">
      <c r="A163" s="1133"/>
      <c r="B163" s="76" t="s">
        <v>624</v>
      </c>
      <c r="C163" s="559" t="s">
        <v>179</v>
      </c>
      <c r="D163" s="77"/>
      <c r="E163" s="78"/>
      <c r="F163" s="78"/>
      <c r="G163" s="78"/>
      <c r="H163" s="78"/>
      <c r="I163" s="78"/>
      <c r="J163" s="79"/>
      <c r="K163" s="79"/>
      <c r="L163" s="79"/>
      <c r="M163" s="79"/>
      <c r="N163" s="79"/>
      <c r="O163" s="79"/>
      <c r="P163" s="79"/>
      <c r="Q163" s="79"/>
      <c r="R163" s="79"/>
      <c r="S163" s="79"/>
      <c r="T163" s="79"/>
      <c r="U163" s="79"/>
      <c r="V163" s="79"/>
      <c r="W163" s="79"/>
      <c r="X163" s="79"/>
      <c r="Y163" s="79"/>
      <c r="Z163" s="79"/>
      <c r="AA163" s="307"/>
      <c r="AB163" s="375"/>
      <c r="AC163" s="345"/>
      <c r="AD163" s="345"/>
      <c r="AE163" s="345"/>
      <c r="AF163" s="345"/>
      <c r="AG163" s="345"/>
      <c r="AH163" s="345"/>
      <c r="AI163" s="345"/>
      <c r="AJ163" s="597">
        <f t="shared" si="46"/>
        <v>0</v>
      </c>
      <c r="AK163" s="116"/>
      <c r="AL163" s="1348"/>
      <c r="AM163" s="31"/>
      <c r="AN163" s="1365"/>
      <c r="AO163" s="13">
        <v>91</v>
      </c>
      <c r="AP163" s="74"/>
      <c r="AQ163" s="75"/>
    </row>
    <row r="164" spans="1:43" ht="27" hidden="1" customHeight="1" thickBot="1" x14ac:dyDescent="0.8">
      <c r="A164" s="1133"/>
      <c r="B164" s="76" t="s">
        <v>625</v>
      </c>
      <c r="C164" s="559" t="s">
        <v>180</v>
      </c>
      <c r="D164" s="77"/>
      <c r="E164" s="78"/>
      <c r="F164" s="78"/>
      <c r="G164" s="78"/>
      <c r="H164" s="78"/>
      <c r="I164" s="78"/>
      <c r="J164" s="79"/>
      <c r="K164" s="79"/>
      <c r="L164" s="79"/>
      <c r="M164" s="79"/>
      <c r="N164" s="79"/>
      <c r="O164" s="79"/>
      <c r="P164" s="79"/>
      <c r="Q164" s="79"/>
      <c r="R164" s="79"/>
      <c r="S164" s="79"/>
      <c r="T164" s="79"/>
      <c r="U164" s="79"/>
      <c r="V164" s="79"/>
      <c r="W164" s="79"/>
      <c r="X164" s="79"/>
      <c r="Y164" s="79"/>
      <c r="Z164" s="79"/>
      <c r="AA164" s="307"/>
      <c r="AB164" s="375"/>
      <c r="AC164" s="345"/>
      <c r="AD164" s="345"/>
      <c r="AE164" s="345"/>
      <c r="AF164" s="345"/>
      <c r="AG164" s="345"/>
      <c r="AH164" s="345"/>
      <c r="AI164" s="345"/>
      <c r="AJ164" s="597">
        <f t="shared" si="46"/>
        <v>0</v>
      </c>
      <c r="AK164" s="116"/>
      <c r="AL164" s="1348"/>
      <c r="AM164" s="31"/>
      <c r="AN164" s="1365"/>
      <c r="AO164" s="13">
        <v>92</v>
      </c>
      <c r="AP164" s="74"/>
      <c r="AQ164" s="75"/>
    </row>
    <row r="165" spans="1:43" ht="27" hidden="1" customHeight="1" thickBot="1" x14ac:dyDescent="0.8">
      <c r="A165" s="1133"/>
      <c r="B165" s="76" t="s">
        <v>626</v>
      </c>
      <c r="C165" s="559" t="s">
        <v>181</v>
      </c>
      <c r="D165" s="77"/>
      <c r="E165" s="78"/>
      <c r="F165" s="78"/>
      <c r="G165" s="78"/>
      <c r="H165" s="78"/>
      <c r="I165" s="78"/>
      <c r="J165" s="79"/>
      <c r="K165" s="79"/>
      <c r="L165" s="79"/>
      <c r="M165" s="79"/>
      <c r="N165" s="79"/>
      <c r="O165" s="79"/>
      <c r="P165" s="79"/>
      <c r="Q165" s="79"/>
      <c r="R165" s="79"/>
      <c r="S165" s="79"/>
      <c r="T165" s="79"/>
      <c r="U165" s="79"/>
      <c r="V165" s="79"/>
      <c r="W165" s="79"/>
      <c r="X165" s="79"/>
      <c r="Y165" s="79"/>
      <c r="Z165" s="79"/>
      <c r="AA165" s="307"/>
      <c r="AB165" s="375"/>
      <c r="AC165" s="345"/>
      <c r="AD165" s="345"/>
      <c r="AE165" s="345"/>
      <c r="AF165" s="345"/>
      <c r="AG165" s="345"/>
      <c r="AH165" s="345"/>
      <c r="AI165" s="345"/>
      <c r="AJ165" s="597">
        <f t="shared" si="46"/>
        <v>0</v>
      </c>
      <c r="AK165" s="116"/>
      <c r="AL165" s="1348"/>
      <c r="AM165" s="31"/>
      <c r="AN165" s="1365"/>
      <c r="AO165" s="13">
        <v>93</v>
      </c>
      <c r="AP165" s="74"/>
      <c r="AQ165" s="75"/>
    </row>
    <row r="166" spans="1:43" ht="27" hidden="1" customHeight="1" thickBot="1" x14ac:dyDescent="0.8">
      <c r="A166" s="1134"/>
      <c r="B166" s="87" t="s">
        <v>627</v>
      </c>
      <c r="C166" s="560" t="s">
        <v>182</v>
      </c>
      <c r="D166" s="103"/>
      <c r="E166" s="102"/>
      <c r="F166" s="102"/>
      <c r="G166" s="102"/>
      <c r="H166" s="102"/>
      <c r="I166" s="102"/>
      <c r="J166" s="89"/>
      <c r="K166" s="89"/>
      <c r="L166" s="89"/>
      <c r="M166" s="89"/>
      <c r="N166" s="89"/>
      <c r="O166" s="89"/>
      <c r="P166" s="89"/>
      <c r="Q166" s="89"/>
      <c r="R166" s="89"/>
      <c r="S166" s="89"/>
      <c r="T166" s="89"/>
      <c r="U166" s="89"/>
      <c r="V166" s="89"/>
      <c r="W166" s="89"/>
      <c r="X166" s="89"/>
      <c r="Y166" s="89"/>
      <c r="Z166" s="89"/>
      <c r="AA166" s="309"/>
      <c r="AB166" s="375"/>
      <c r="AC166" s="345"/>
      <c r="AD166" s="345"/>
      <c r="AE166" s="345"/>
      <c r="AF166" s="345"/>
      <c r="AG166" s="345"/>
      <c r="AH166" s="345"/>
      <c r="AI166" s="345"/>
      <c r="AJ166" s="597">
        <f t="shared" si="46"/>
        <v>0</v>
      </c>
      <c r="AK166" s="116"/>
      <c r="AL166" s="1348"/>
      <c r="AM166" s="31"/>
      <c r="AN166" s="1365"/>
      <c r="AO166" s="13">
        <v>94</v>
      </c>
      <c r="AP166" s="74"/>
      <c r="AQ166" s="75"/>
    </row>
    <row r="167" spans="1:43" ht="27" hidden="1" customHeight="1" thickBot="1" x14ac:dyDescent="0.8">
      <c r="A167" s="1132" t="s">
        <v>102</v>
      </c>
      <c r="B167" s="136" t="s">
        <v>628</v>
      </c>
      <c r="C167" s="558" t="s">
        <v>330</v>
      </c>
      <c r="D167" s="98"/>
      <c r="E167" s="99"/>
      <c r="F167" s="99"/>
      <c r="G167" s="99"/>
      <c r="H167" s="99"/>
      <c r="I167" s="99"/>
      <c r="J167" s="99"/>
      <c r="K167" s="99"/>
      <c r="L167" s="99"/>
      <c r="M167" s="99"/>
      <c r="N167" s="99"/>
      <c r="O167" s="99"/>
      <c r="P167" s="99"/>
      <c r="Q167" s="99"/>
      <c r="R167" s="99"/>
      <c r="S167" s="99"/>
      <c r="T167" s="99"/>
      <c r="U167" s="99"/>
      <c r="V167" s="99"/>
      <c r="W167" s="99"/>
      <c r="X167" s="99"/>
      <c r="Y167" s="99"/>
      <c r="Z167" s="99"/>
      <c r="AA167" s="312"/>
      <c r="AB167" s="375"/>
      <c r="AC167" s="345"/>
      <c r="AD167" s="345"/>
      <c r="AE167" s="345"/>
      <c r="AF167" s="345"/>
      <c r="AG167" s="345"/>
      <c r="AH167" s="345"/>
      <c r="AI167" s="345"/>
      <c r="AJ167" s="597">
        <f t="shared" si="46"/>
        <v>0</v>
      </c>
      <c r="AK167" s="116"/>
      <c r="AL167" s="1348"/>
      <c r="AM167" s="31"/>
      <c r="AN167" s="1365"/>
      <c r="AO167" s="13">
        <v>95</v>
      </c>
      <c r="AP167" s="74"/>
      <c r="AQ167" s="75"/>
    </row>
    <row r="168" spans="1:43" ht="27" hidden="1" customHeight="1" thickBot="1" x14ac:dyDescent="0.8">
      <c r="A168" s="1217"/>
      <c r="B168" s="137" t="s">
        <v>629</v>
      </c>
      <c r="C168" s="587" t="s">
        <v>331</v>
      </c>
      <c r="D168" s="133"/>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323"/>
      <c r="AB168" s="376"/>
      <c r="AC168" s="377"/>
      <c r="AD168" s="377"/>
      <c r="AE168" s="377"/>
      <c r="AF168" s="377"/>
      <c r="AG168" s="377"/>
      <c r="AH168" s="377"/>
      <c r="AI168" s="377"/>
      <c r="AJ168" s="597">
        <f t="shared" si="46"/>
        <v>0</v>
      </c>
      <c r="AK168" s="122"/>
      <c r="AL168" s="1348"/>
      <c r="AM168" s="123"/>
      <c r="AN168" s="1366"/>
      <c r="AO168" s="13">
        <v>96</v>
      </c>
      <c r="AP168" s="74"/>
      <c r="AQ168" s="75"/>
    </row>
    <row r="169" spans="1:43" ht="25.5" hidden="1" x14ac:dyDescent="0.75">
      <c r="A169" s="1320" t="s">
        <v>1200</v>
      </c>
      <c r="B169" s="806" t="s">
        <v>367</v>
      </c>
      <c r="C169" s="995" t="s">
        <v>1201</v>
      </c>
      <c r="D169" s="636"/>
      <c r="E169" s="636"/>
      <c r="F169" s="636"/>
      <c r="G169" s="636"/>
      <c r="H169" s="636"/>
      <c r="I169" s="636"/>
      <c r="J169" s="636"/>
      <c r="K169" s="637"/>
      <c r="L169" s="636"/>
      <c r="M169" s="637"/>
      <c r="N169" s="636"/>
      <c r="O169" s="637"/>
      <c r="P169" s="636"/>
      <c r="Q169" s="637"/>
      <c r="R169" s="636"/>
      <c r="S169" s="637"/>
      <c r="T169" s="636"/>
      <c r="U169" s="637"/>
      <c r="V169" s="636"/>
      <c r="W169" s="637"/>
      <c r="X169" s="636"/>
      <c r="Y169" s="637"/>
      <c r="Z169" s="636"/>
      <c r="AA169" s="638"/>
      <c r="AB169" s="345"/>
      <c r="AC169" s="345"/>
      <c r="AD169" s="345"/>
      <c r="AE169" s="345"/>
      <c r="AF169" s="345"/>
      <c r="AG169" s="345"/>
      <c r="AH169" s="345"/>
      <c r="AI169" s="345"/>
      <c r="AJ169" s="597">
        <f t="shared" si="46"/>
        <v>0</v>
      </c>
      <c r="AK169" s="792"/>
      <c r="AL169" s="1348"/>
      <c r="AM169" s="125"/>
      <c r="AN169" s="126"/>
      <c r="AO169" s="13"/>
      <c r="AP169" s="74"/>
      <c r="AQ169" s="75"/>
    </row>
    <row r="170" spans="1:43" ht="25.9" hidden="1" thickBot="1" x14ac:dyDescent="0.8">
      <c r="A170" s="1228"/>
      <c r="B170" s="514" t="s">
        <v>365</v>
      </c>
      <c r="C170" s="996" t="s">
        <v>1202</v>
      </c>
      <c r="D170" s="639"/>
      <c r="E170" s="639"/>
      <c r="F170" s="639"/>
      <c r="G170" s="639"/>
      <c r="H170" s="639"/>
      <c r="I170" s="639"/>
      <c r="J170" s="640"/>
      <c r="K170" s="639"/>
      <c r="L170" s="640"/>
      <c r="M170" s="639"/>
      <c r="N170" s="640"/>
      <c r="O170" s="639"/>
      <c r="P170" s="640"/>
      <c r="Q170" s="639"/>
      <c r="R170" s="640"/>
      <c r="S170" s="639"/>
      <c r="T170" s="640"/>
      <c r="U170" s="639"/>
      <c r="V170" s="640"/>
      <c r="W170" s="639"/>
      <c r="X170" s="640"/>
      <c r="Y170" s="639"/>
      <c r="Z170" s="640"/>
      <c r="AA170" s="641"/>
      <c r="AB170" s="345"/>
      <c r="AC170" s="345"/>
      <c r="AD170" s="345"/>
      <c r="AE170" s="345"/>
      <c r="AF170" s="345"/>
      <c r="AG170" s="345"/>
      <c r="AH170" s="345"/>
      <c r="AI170" s="345"/>
      <c r="AJ170" s="597">
        <f t="shared" si="46"/>
        <v>0</v>
      </c>
      <c r="AK170" s="792"/>
      <c r="AL170" s="1348"/>
      <c r="AM170" s="125"/>
      <c r="AN170" s="126"/>
      <c r="AO170" s="13"/>
      <c r="AP170" s="74"/>
      <c r="AQ170" s="75"/>
    </row>
    <row r="171" spans="1:43" ht="25.5" hidden="1" x14ac:dyDescent="0.75">
      <c r="A171" s="1344" t="s">
        <v>1273</v>
      </c>
      <c r="B171" s="982" t="s">
        <v>1261</v>
      </c>
      <c r="C171" s="983" t="s">
        <v>1274</v>
      </c>
      <c r="D171" s="877"/>
      <c r="E171" s="878"/>
      <c r="F171" s="878"/>
      <c r="G171" s="878"/>
      <c r="H171" s="878"/>
      <c r="I171" s="878"/>
      <c r="J171" s="879"/>
      <c r="K171" s="879"/>
      <c r="L171" s="879"/>
      <c r="M171" s="879"/>
      <c r="N171" s="879"/>
      <c r="O171" s="879"/>
      <c r="P171" s="879"/>
      <c r="Q171" s="879"/>
      <c r="R171" s="879"/>
      <c r="S171" s="879"/>
      <c r="T171" s="879"/>
      <c r="U171" s="879"/>
      <c r="V171" s="879"/>
      <c r="W171" s="879"/>
      <c r="X171" s="879"/>
      <c r="Y171" s="879"/>
      <c r="Z171" s="879"/>
      <c r="AA171" s="879"/>
      <c r="AB171" s="345"/>
      <c r="AC171" s="345"/>
      <c r="AD171" s="345"/>
      <c r="AE171" s="345"/>
      <c r="AF171" s="345"/>
      <c r="AG171" s="345"/>
      <c r="AH171" s="345"/>
      <c r="AI171" s="302"/>
      <c r="AJ171" s="597">
        <f t="shared" si="46"/>
        <v>0</v>
      </c>
      <c r="AK171" s="897" t="str">
        <f>CONCATENATE(IF(D147&lt;&gt;(D171+D172)," * "&amp;A171&amp;" "&amp;$D$20&amp;" "&amp;$D$21&amp;" should be equal to Total "&amp;A147&amp;""&amp;CHAR(10),""),IF(E147&lt;&gt;(E171+E172)," * "&amp;A171&amp;" "&amp;$D$20&amp;" "&amp;$E$21&amp;" should be equal to Total  "&amp;A147&amp;""&amp;CHAR(10),""),IF(F147&lt;&gt;(F171+F172)," * "&amp;A171&amp;" "&amp;$F$20&amp;" "&amp;$F$21&amp;" should be equal to Total  "&amp;A147&amp;""&amp;CHAR(10),""),IF(G147&lt;&gt;(G171+G172)," * "&amp;A171&amp;" "&amp;$F$20&amp;" "&amp;$G$21&amp;" should be equal to Total  "&amp;A147&amp;""&amp;CHAR(10),""),IF(H147&lt;&gt;(H171+H172)," * "&amp;A171&amp;" "&amp;$H$20&amp;" "&amp;$H$21&amp;" should be equal to Total  "&amp;A147&amp;""&amp;CHAR(10),""),IF(I147&lt;&gt;(I171+I172)," * "&amp;A171&amp;" "&amp;$H$20&amp;" "&amp;$I$21&amp;" should be equal to Total  "&amp;A147&amp;""&amp;CHAR(10),""),IF(J147&lt;&gt;(J171+J172)," * "&amp;A171&amp;" "&amp;$J$20&amp;" "&amp;$J$21&amp;" should be equal to Total  "&amp;A147&amp;""&amp;CHAR(10),""),IF(K147&lt;&gt;(K171+K172)," * "&amp;A171&amp;" "&amp;$J$20&amp;" "&amp;$K$21&amp;" should be equal to Total  "&amp;A147&amp;""&amp;CHAR(10),""),IF(L147&lt;&gt;(L171+L172)," * "&amp;A171&amp;" "&amp;$L$20&amp;" "&amp;$L$21&amp;" should be equal to Total  "&amp;A147&amp;""&amp;CHAR(10),""),IF(M147&lt;&gt;(M171+M172)," * "&amp;A171&amp;" "&amp;$L$20&amp;" "&amp;$M$21&amp;" should be equal to Total  "&amp;A147&amp;""&amp;CHAR(10),""),IF(N147&lt;&gt;(N171+N172)," * "&amp;A171&amp;" "&amp;$N$20&amp;" "&amp;$N$21&amp;" should be equal to Total  "&amp;A147&amp;""&amp;CHAR(10),""),IF(O147&lt;&gt;(O171+O172)," * "&amp;A171&amp;" "&amp;$N$20&amp;" "&amp;$O$21&amp;" should be equal to Total  "&amp;A147&amp;""&amp;CHAR(10),""),IF(P147&lt;&gt;(P171+P172)," * "&amp;A171&amp;" "&amp;$P$20&amp;" "&amp;$P$21&amp;" should be equal to Total  "&amp;A147&amp;""&amp;CHAR(10),""),IF(Q147&lt;&gt;(Q171+Q172)," * "&amp;A171&amp;" "&amp;$P$20&amp;" "&amp;$Q$21&amp;" should be equal to Total  "&amp;A147&amp;""&amp;CHAR(10),""),IF(R147&lt;&gt;(R171+R172)," * "&amp;A171&amp;" "&amp;$R$20&amp;" "&amp;$R$21&amp;" should be equal to Total  "&amp;A147&amp;""&amp;CHAR(10),""),IF(S147&lt;&gt;(S171+S172)," * "&amp;A171&amp;" "&amp;$R$20&amp;" "&amp;$S$21&amp;" should be equal to Total  "&amp;A147&amp;""&amp;CHAR(10),""),IF(T147&lt;&gt;(T171+T172)," * "&amp;A171&amp;" "&amp;$T$20&amp;" "&amp;$T$21&amp;" should be equal to Total  "&amp;A147&amp;""&amp;CHAR(10),""),IF(U147&lt;&gt;(U171+U172)," * "&amp;A171&amp;" "&amp;$T$20&amp;" "&amp;$U$21&amp;" should be equal to Total  "&amp;A147&amp;""&amp;CHAR(10),""),IF(V147&lt;&gt;(V171+V172)," * "&amp;A171&amp;" "&amp;$V$20&amp;" "&amp;$V$21&amp;" should be equal to Total  "&amp;A147&amp;""&amp;CHAR(10),""),IF(W147&lt;&gt;(W171+W172)," * "&amp;A171&amp;" "&amp;$V$20&amp;" "&amp;$W$21&amp;" should be equal to Total  "&amp;A147&amp;""&amp;CHAR(10),""),IF(X147&lt;&gt;(X171+X172)," * "&amp;A171&amp;" "&amp;$X$20&amp;" "&amp;$X$21&amp;" should be equal to Total  "&amp;A147&amp;""&amp;CHAR(10),""),IF(Y147&lt;&gt;(Y171+Y172)," * "&amp;A171&amp;" "&amp;$X$20&amp;" "&amp;$Y$21&amp;" should be equal to Total  "&amp;A147&amp;""&amp;CHAR(10),""),IF(Z147&lt;&gt;(Z171+Z172)," * "&amp;A171&amp;" "&amp;$Z$20&amp;" "&amp;$Z$21&amp;" should be equal to Total  "&amp;A147&amp;""&amp;CHAR(10),""),IF(AA147&lt;&gt;(AA171+AA172)," * "&amp;A171&amp;" "&amp;$Z$20&amp;" "&amp;$AA$21&amp;" should be equal to Total  "&amp;A147&amp;""&amp;CHAR(10),""))</f>
        <v/>
      </c>
      <c r="AL171" s="1348"/>
      <c r="AM171" s="31"/>
      <c r="AN171" s="126"/>
      <c r="AO171" s="13"/>
      <c r="AP171" s="74"/>
      <c r="AQ171" s="75"/>
    </row>
    <row r="172" spans="1:43" ht="25.9" hidden="1" thickBot="1" x14ac:dyDescent="0.8">
      <c r="A172" s="1345"/>
      <c r="B172" s="984" t="s">
        <v>1262</v>
      </c>
      <c r="C172" s="985" t="s">
        <v>1275</v>
      </c>
      <c r="D172" s="881"/>
      <c r="E172" s="882"/>
      <c r="F172" s="882"/>
      <c r="G172" s="882"/>
      <c r="H172" s="882"/>
      <c r="I172" s="882"/>
      <c r="J172" s="883"/>
      <c r="K172" s="883"/>
      <c r="L172" s="883"/>
      <c r="M172" s="883"/>
      <c r="N172" s="883"/>
      <c r="O172" s="883"/>
      <c r="P172" s="883"/>
      <c r="Q172" s="883"/>
      <c r="R172" s="883"/>
      <c r="S172" s="883"/>
      <c r="T172" s="883"/>
      <c r="U172" s="883"/>
      <c r="V172" s="883"/>
      <c r="W172" s="883"/>
      <c r="X172" s="883"/>
      <c r="Y172" s="883"/>
      <c r="Z172" s="883"/>
      <c r="AA172" s="883"/>
      <c r="AB172" s="345"/>
      <c r="AC172" s="345"/>
      <c r="AD172" s="345"/>
      <c r="AE172" s="345"/>
      <c r="AF172" s="345"/>
      <c r="AG172" s="345"/>
      <c r="AH172" s="345"/>
      <c r="AI172" s="302"/>
      <c r="AJ172" s="597">
        <f t="shared" si="46"/>
        <v>0</v>
      </c>
      <c r="AK172" s="866"/>
      <c r="AL172" s="1348"/>
      <c r="AM172" s="31"/>
      <c r="AN172" s="126"/>
      <c r="AO172" s="13"/>
      <c r="AP172" s="74"/>
      <c r="AQ172" s="75"/>
    </row>
    <row r="173" spans="1:43" ht="25.5" hidden="1" x14ac:dyDescent="0.75">
      <c r="A173" s="1344" t="s">
        <v>1311</v>
      </c>
      <c r="B173" s="982" t="s">
        <v>1265</v>
      </c>
      <c r="C173" s="983" t="s">
        <v>1276</v>
      </c>
      <c r="D173" s="877"/>
      <c r="E173" s="878"/>
      <c r="F173" s="878"/>
      <c r="G173" s="878"/>
      <c r="H173" s="878"/>
      <c r="I173" s="878"/>
      <c r="J173" s="879"/>
      <c r="K173" s="879"/>
      <c r="L173" s="879"/>
      <c r="M173" s="879"/>
      <c r="N173" s="879"/>
      <c r="O173" s="879"/>
      <c r="P173" s="879"/>
      <c r="Q173" s="879"/>
      <c r="R173" s="879"/>
      <c r="S173" s="879"/>
      <c r="T173" s="879"/>
      <c r="U173" s="879"/>
      <c r="V173" s="879"/>
      <c r="W173" s="879"/>
      <c r="X173" s="879"/>
      <c r="Y173" s="879"/>
      <c r="Z173" s="879"/>
      <c r="AA173" s="879"/>
      <c r="AB173" s="345"/>
      <c r="AC173" s="345"/>
      <c r="AD173" s="345"/>
      <c r="AE173" s="345"/>
      <c r="AF173" s="345"/>
      <c r="AG173" s="345"/>
      <c r="AH173" s="345"/>
      <c r="AI173" s="302"/>
      <c r="AJ173" s="597">
        <f t="shared" si="46"/>
        <v>0</v>
      </c>
      <c r="AK173" s="897" t="str">
        <f>CONCATENATE(IF(D147&lt;&gt;(D173+D174+D175)," * Total "&amp;A173&amp;" "&amp;$D$20&amp;" "&amp;$D$21&amp;" should be equal to Total "&amp;A147&amp;""&amp;CHAR(10),""),IF(E147&lt;&gt;(E173+E174+E175)," * Total "&amp;A173&amp;" "&amp;$D$20&amp;" "&amp;$E$21&amp;" should be equal to Total  "&amp;A147&amp;""&amp;CHAR(10),""),IF(F147&lt;&gt;(F173+F174+F175)," * Total "&amp;A173&amp;" "&amp;$F$20&amp;" "&amp;$F$21&amp;" should be equal to Total  "&amp;A147&amp;""&amp;CHAR(10),""),IF(G147&lt;&gt;(G173+G174+G175)," * Total "&amp;A173&amp;" "&amp;$F$20&amp;" "&amp;$G$21&amp;" should be equal to Total  "&amp;A147&amp;""&amp;CHAR(10),""),IF(H147&lt;&gt;(H173+H174+H175)," * Total "&amp;A173&amp;" "&amp;$H$20&amp;" "&amp;$H$21&amp;" should be equal to Total  "&amp;A147&amp;""&amp;CHAR(10),""),IF(I147&lt;&gt;(I173+I174+I175)," * Total "&amp;A173&amp;" "&amp;$H$20&amp;" "&amp;$I$21&amp;" should be equal to Total  "&amp;A147&amp;""&amp;CHAR(10),""),IF(J147&lt;&gt;(J173+J174+J175)," * Total "&amp;A173&amp;" "&amp;$J$20&amp;" "&amp;$J$21&amp;" should be equal to Total  "&amp;A147&amp;""&amp;CHAR(10),""),IF(K147&lt;&gt;(K173+K174+K175)," * Total "&amp;A173&amp;" "&amp;$J$20&amp;" "&amp;$K$21&amp;" should be equal to Total  "&amp;A147&amp;""&amp;CHAR(10),""),IF(L147&lt;&gt;(L173+L174+L175)," * Total "&amp;A173&amp;" "&amp;$L$20&amp;" "&amp;$L$21&amp;" should be equal to Total  "&amp;A147&amp;""&amp;CHAR(10),""),IF(M147&lt;&gt;(M173+M174+M175)," * Total "&amp;A173&amp;" "&amp;$L$20&amp;" "&amp;$M$21&amp;" should be equal to Total  "&amp;A147&amp;""&amp;CHAR(10),""),IF(N147&lt;&gt;(N173+N174+N175)," * Total "&amp;A173&amp;" "&amp;$N$20&amp;" "&amp;$N$21&amp;" should be equal to Total  "&amp;A147&amp;""&amp;CHAR(10),""),IF(O147&lt;&gt;(O173+O174+O175)," * Total "&amp;A173&amp;" "&amp;$N$20&amp;" "&amp;$O$21&amp;" should be equal to Total  "&amp;A147&amp;""&amp;CHAR(10),""),IF(P147&lt;&gt;(P173+P174+P175)," * Total "&amp;A173&amp;" "&amp;$P$20&amp;" "&amp;$P$21&amp;" should be equal to Total  "&amp;A147&amp;""&amp;CHAR(10),""),IF(Q147&lt;&gt;(Q173+Q174+Q175)," * Total "&amp;A173&amp;" "&amp;$P$20&amp;" "&amp;$Q$21&amp;" should be equal to Total  "&amp;A147&amp;""&amp;CHAR(10),""),IF(R147&lt;&gt;(R173+R174+R175)," * Total "&amp;A173&amp;" "&amp;$R$20&amp;" "&amp;$R$21&amp;" should be equal to Total  "&amp;A147&amp;""&amp;CHAR(10),""),IF(S147&lt;&gt;(S173+S174+S175)," * Total "&amp;A173&amp;" "&amp;$R$20&amp;" "&amp;$S$21&amp;" should be equal to Total  "&amp;A147&amp;""&amp;CHAR(10),""),IF(T147&lt;&gt;(T173+T174+T175)," * Total "&amp;A173&amp;" "&amp;$T$20&amp;" "&amp;$T$21&amp;" should be equal to Total  "&amp;A147&amp;""&amp;CHAR(10),""),IF(U147&lt;&gt;(U173+U174+U175)," * Total "&amp;A173&amp;" "&amp;$T$20&amp;" "&amp;$U$21&amp;" should be equal to Total  "&amp;A147&amp;""&amp;CHAR(10),""),IF(V147&lt;&gt;(V173+V174+V175)," * Total "&amp;A173&amp;" "&amp;$V$20&amp;" "&amp;$V$21&amp;" should be equal to Total  "&amp;A147&amp;""&amp;CHAR(10),""),IF(W147&lt;&gt;(W173+W174+W175)," * Total "&amp;A173&amp;" "&amp;$V$20&amp;" "&amp;$W$21&amp;" should be equal to Total  "&amp;A147&amp;""&amp;CHAR(10),""),IF(X147&lt;&gt;(X173+X174+X175)," * Total "&amp;A173&amp;" "&amp;$X$20&amp;" "&amp;$X$21&amp;" should be equal to Total  "&amp;A147&amp;""&amp;CHAR(10),""),IF(Y147&lt;&gt;(Y173+Y174+Y175)," * Total "&amp;A173&amp;" "&amp;$X$20&amp;" "&amp;$Y$21&amp;" should be equal to Total  "&amp;A147&amp;""&amp;CHAR(10),""),IF(Z147&lt;&gt;(Z173+Z174+Z175)," * Total "&amp;A173&amp;" "&amp;$Z$20&amp;" "&amp;$Z$21&amp;" should be equal to Total  "&amp;A147&amp;""&amp;CHAR(10),""),IF(AA147&lt;&gt;(AA173+AA174+AA175)," * Total "&amp;A173&amp;" "&amp;$Z$20&amp;" "&amp;$AA$21&amp;" should be equal to Total  "&amp;A147&amp;""&amp;CHAR(10),""))</f>
        <v/>
      </c>
      <c r="AL173" s="1348"/>
      <c r="AM173" s="31"/>
      <c r="AN173" s="126"/>
      <c r="AO173" s="13"/>
      <c r="AP173" s="74"/>
      <c r="AQ173" s="75"/>
    </row>
    <row r="174" spans="1:43" ht="25.5" hidden="1" x14ac:dyDescent="0.75">
      <c r="A174" s="1346"/>
      <c r="B174" s="986" t="s">
        <v>1268</v>
      </c>
      <c r="C174" s="942" t="s">
        <v>1277</v>
      </c>
      <c r="D174" s="890"/>
      <c r="E174" s="891"/>
      <c r="F174" s="891"/>
      <c r="G174" s="891"/>
      <c r="H174" s="891"/>
      <c r="I174" s="891"/>
      <c r="J174" s="892"/>
      <c r="K174" s="892"/>
      <c r="L174" s="892"/>
      <c r="M174" s="892"/>
      <c r="N174" s="892"/>
      <c r="O174" s="892"/>
      <c r="P174" s="892"/>
      <c r="Q174" s="892"/>
      <c r="R174" s="892"/>
      <c r="S174" s="892"/>
      <c r="T174" s="892"/>
      <c r="U174" s="892"/>
      <c r="V174" s="892"/>
      <c r="W174" s="892"/>
      <c r="X174" s="892"/>
      <c r="Y174" s="892"/>
      <c r="Z174" s="892"/>
      <c r="AA174" s="892"/>
      <c r="AB174" s="345"/>
      <c r="AC174" s="345"/>
      <c r="AD174" s="345"/>
      <c r="AE174" s="345"/>
      <c r="AF174" s="345"/>
      <c r="AG174" s="345"/>
      <c r="AH174" s="345"/>
      <c r="AI174" s="302"/>
      <c r="AJ174" s="597">
        <f t="shared" si="46"/>
        <v>0</v>
      </c>
      <c r="AK174" s="866"/>
      <c r="AL174" s="1348"/>
      <c r="AM174" s="31"/>
      <c r="AN174" s="126"/>
      <c r="AO174" s="13"/>
      <c r="AP174" s="74"/>
      <c r="AQ174" s="75"/>
    </row>
    <row r="175" spans="1:43" ht="25.9" hidden="1" thickBot="1" x14ac:dyDescent="0.8">
      <c r="A175" s="1345"/>
      <c r="B175" s="984" t="s">
        <v>21</v>
      </c>
      <c r="C175" s="985" t="s">
        <v>1278</v>
      </c>
      <c r="D175" s="881"/>
      <c r="E175" s="882"/>
      <c r="F175" s="882"/>
      <c r="G175" s="882"/>
      <c r="H175" s="882"/>
      <c r="I175" s="882"/>
      <c r="J175" s="883"/>
      <c r="K175" s="883"/>
      <c r="L175" s="883"/>
      <c r="M175" s="883"/>
      <c r="N175" s="883"/>
      <c r="O175" s="883"/>
      <c r="P175" s="883"/>
      <c r="Q175" s="883"/>
      <c r="R175" s="883"/>
      <c r="S175" s="883"/>
      <c r="T175" s="883"/>
      <c r="U175" s="883"/>
      <c r="V175" s="883"/>
      <c r="W175" s="883"/>
      <c r="X175" s="883"/>
      <c r="Y175" s="883"/>
      <c r="Z175" s="883"/>
      <c r="AA175" s="883"/>
      <c r="AB175" s="345"/>
      <c r="AC175" s="345"/>
      <c r="AD175" s="345"/>
      <c r="AE175" s="345"/>
      <c r="AF175" s="345"/>
      <c r="AG175" s="345"/>
      <c r="AH175" s="345"/>
      <c r="AI175" s="302"/>
      <c r="AJ175" s="597">
        <f t="shared" si="46"/>
        <v>0</v>
      </c>
      <c r="AK175" s="866"/>
      <c r="AL175" s="1348"/>
      <c r="AM175" s="31"/>
      <c r="AN175" s="126"/>
      <c r="AO175" s="13"/>
      <c r="AP175" s="74"/>
      <c r="AQ175" s="75"/>
    </row>
    <row r="176" spans="1:43" ht="30.75" hidden="1" customHeight="1" thickBot="1" x14ac:dyDescent="0.8">
      <c r="A176" s="987" t="s">
        <v>1282</v>
      </c>
      <c r="B176" s="982" t="s">
        <v>1283</v>
      </c>
      <c r="C176" s="983" t="s">
        <v>1284</v>
      </c>
      <c r="D176" s="877"/>
      <c r="E176" s="878"/>
      <c r="F176" s="878"/>
      <c r="G176" s="878"/>
      <c r="H176" s="878"/>
      <c r="I176" s="878"/>
      <c r="J176" s="879"/>
      <c r="K176" s="879"/>
      <c r="L176" s="879"/>
      <c r="M176" s="879"/>
      <c r="N176" s="879"/>
      <c r="O176" s="879"/>
      <c r="P176" s="879"/>
      <c r="Q176" s="879"/>
      <c r="R176" s="879"/>
      <c r="S176" s="879"/>
      <c r="T176" s="879"/>
      <c r="U176" s="879"/>
      <c r="V176" s="879"/>
      <c r="W176" s="879"/>
      <c r="X176" s="879"/>
      <c r="Y176" s="879"/>
      <c r="Z176" s="879"/>
      <c r="AA176" s="879"/>
      <c r="AB176" s="345"/>
      <c r="AC176" s="345"/>
      <c r="AD176" s="345"/>
      <c r="AE176" s="345"/>
      <c r="AF176" s="345"/>
      <c r="AG176" s="345"/>
      <c r="AH176" s="345"/>
      <c r="AI176" s="302"/>
      <c r="AJ176" s="597">
        <f t="shared" si="46"/>
        <v>0</v>
      </c>
      <c r="AK176" s="897" t="str">
        <f>CONCATENATE(IF(D176&gt;D147," * PrEP_CT Event-Driven Prep For age "&amp;$D$20&amp;" "&amp;$D$21&amp;" Should not be more than Total PrEP_CT"&amp;CHAR(10),""),IF(E176&gt;E147," * PrEP_CT Event-Driven Prep For age "&amp;$D$20&amp;" "&amp;$E$21&amp;" Should not be more than Total PrEP_CT"&amp;CHAR(10),""),IF(F176&gt;F147," * PrEP_CT Event-Driven Prep For age "&amp;$F$20&amp;" "&amp;$F$21&amp;" Should not be more than Total PrEP_CT"&amp;CHAR(10),""),IF(G176&gt;G147," * PrEP_CT Event-Driven Prep For age "&amp;$F$20&amp;" "&amp;$G$21&amp;" Should not be more than Total PrEP_CT"&amp;CHAR(10),""),IF(H176&gt;H147," * PrEP_CT Event-Driven Prep For age "&amp;$H$20&amp;" "&amp;$H$21&amp;" Should not be more than Total PrEP_CT"&amp;CHAR(10),""),IF(I176&gt;I147," * PrEP_CT Event-Driven Prep For age "&amp;$H$20&amp;" "&amp;$I$21&amp;" Should not be more than Total PrEP_CT"&amp;CHAR(10),""),IF(J176&gt;J147," * PrEP_CT Event-Driven Prep For age "&amp;$J$20&amp;" "&amp;$J$21&amp;" Should not be more than Total PrEP_CT"&amp;CHAR(10),""),IF(K176&gt;K147," * PrEP_CT Event-Driven Prep For age "&amp;$J$20&amp;" "&amp;$K$21&amp;" Should not be more than Total PrEP_CT"&amp;CHAR(10),""),IF(L176&gt;L147," * PrEP_CT Event-Driven Prep For age "&amp;$L$20&amp;" "&amp;$L$21&amp;" Should not be more than Total PrEP_CT"&amp;CHAR(10),""),IF(M176&gt;M147," * PrEP_CT Event-Driven Prep For age "&amp;$L$20&amp;" "&amp;$M$21&amp;" Should not be more than Total PrEP_CT"&amp;CHAR(10),""),IF(N176&gt;N147," * PrEP_CT Event-Driven Prep For age "&amp;$N$20&amp;" "&amp;$N$21&amp;" Should not be more than Total PrEP_CT"&amp;CHAR(10),""),IF(O176&gt;O147," * PrEP_CT Event-Driven Prep For age "&amp;$N$20&amp;" "&amp;$O$21&amp;" Should not be more than Total PrEP_CT"&amp;CHAR(10),""),IF(P176&gt;P147," * PrEP_CT Event-Driven Prep For age "&amp;$P$20&amp;" "&amp;$P$21&amp;" Should not be more than Total PrEP_CT"&amp;CHAR(10),""),IF(Q176&gt;Q147," * PrEP_CT Event-Driven Prep For age "&amp;$P$20&amp;" "&amp;$Q$21&amp;" Should not be more than Total PrEP_CT"&amp;CHAR(10),""),IF(R176&gt;R147," * PrEP_CT Event-Driven Prep For age "&amp;$R$20&amp;" "&amp;$R$21&amp;" Should not be more than Total PrEP_CT"&amp;CHAR(10),""),IF(S176&gt;S147," * PrEP_CT Event-Driven Prep For age "&amp;$R$20&amp;" "&amp;$S$21&amp;" Should not be more than Total PrEP_CT"&amp;CHAR(10),""),IF(T176&gt;T147," * PrEP_CT Event-Driven Prep For age "&amp;$T$20&amp;" "&amp;$T$21&amp;" Should not be more than Total PrEP_CT"&amp;CHAR(10),""),IF(U176&gt;U147," * PrEP_CT Event-Driven Prep For age "&amp;$T$20&amp;" "&amp;$U$21&amp;" Should not be more than Total PrEP_CT"&amp;CHAR(10),""),IF(V176&gt;V147," * PrEP_CT Event-Driven Prep For age "&amp;$V$20&amp;" "&amp;$V$21&amp;" Should not be more than Total PrEP_CT"&amp;CHAR(10),""),IF(W176&gt;W147," * PrEP_CT Event-Driven Prep For age "&amp;$V$20&amp;" "&amp;$W$21&amp;" Should not be more than Total PrEP_CT"&amp;CHAR(10),""),IF(X176&gt;X147," * PrEP_CT Event-Driven Prep For age "&amp;$X$20&amp;" "&amp;$X$21&amp;" Should not be more than Total PrEP_CT"&amp;CHAR(10),""),IF(Y176&gt;Y147," * PrEP_CT Event-Driven Prep For age "&amp;$X$20&amp;" "&amp;$Y$21&amp;" Should not be more than Total PrEP_CT"&amp;CHAR(10),""),IF(Z176&gt;Z147," * PrEP_CT Event-Driven Prep For age "&amp;$Z$20&amp;" "&amp;$Z$21&amp;" Should not be more than Total PrEP_CT"&amp;CHAR(10),""),IF(AA176&gt;AA147," * PrEP_CT Event-Driven Prep For age "&amp;$Z$20&amp;" "&amp;$AA$21&amp;" Should not be more than Total PrEP_CT"&amp;CHAR(10),""))</f>
        <v/>
      </c>
      <c r="AL176" s="1349"/>
      <c r="AM176" s="31"/>
      <c r="AN176" s="126"/>
      <c r="AO176" s="13"/>
      <c r="AP176" s="74"/>
      <c r="AQ176" s="75"/>
    </row>
    <row r="177" spans="1:43" ht="32.65" hidden="1" customHeight="1" thickBot="1" x14ac:dyDescent="0.8">
      <c r="A177" s="1143" t="s">
        <v>1251</v>
      </c>
      <c r="B177" s="1144"/>
      <c r="C177" s="1145"/>
      <c r="D177" s="1145"/>
      <c r="E177" s="1145"/>
      <c r="F177" s="1145"/>
      <c r="G177" s="1145"/>
      <c r="H177" s="1145"/>
      <c r="I177" s="1145"/>
      <c r="J177" s="1145"/>
      <c r="K177" s="1145"/>
      <c r="L177" s="1145"/>
      <c r="M177" s="1145"/>
      <c r="N177" s="1145"/>
      <c r="O177" s="1145"/>
      <c r="P177" s="1145"/>
      <c r="Q177" s="1145"/>
      <c r="R177" s="1145"/>
      <c r="S177" s="1145"/>
      <c r="T177" s="1145"/>
      <c r="U177" s="1145"/>
      <c r="V177" s="1145"/>
      <c r="W177" s="1145"/>
      <c r="X177" s="1145"/>
      <c r="Y177" s="1145"/>
      <c r="Z177" s="1145"/>
      <c r="AA177" s="1145"/>
      <c r="AB177" s="1194"/>
      <c r="AC177" s="1194"/>
      <c r="AD177" s="1194"/>
      <c r="AE177" s="1194"/>
      <c r="AF177" s="1194"/>
      <c r="AG177" s="1194"/>
      <c r="AH177" s="1194"/>
      <c r="AI177" s="1194"/>
      <c r="AJ177" s="1144"/>
      <c r="AK177" s="1145"/>
      <c r="AL177" s="1144"/>
      <c r="AM177" s="1144"/>
      <c r="AN177" s="1146"/>
      <c r="AO177" s="13">
        <v>97</v>
      </c>
      <c r="AP177" s="74"/>
      <c r="AQ177" s="75"/>
    </row>
    <row r="178" spans="1:43" ht="26.25" hidden="1" customHeight="1" x14ac:dyDescent="0.75">
      <c r="A178" s="1122" t="s">
        <v>36</v>
      </c>
      <c r="B178" s="1126" t="s">
        <v>321</v>
      </c>
      <c r="C178" s="1155" t="s">
        <v>305</v>
      </c>
      <c r="D178" s="1131" t="s">
        <v>0</v>
      </c>
      <c r="E178" s="1131"/>
      <c r="F178" s="1131" t="s">
        <v>1</v>
      </c>
      <c r="G178" s="1131"/>
      <c r="H178" s="1131" t="s">
        <v>2</v>
      </c>
      <c r="I178" s="1131"/>
      <c r="J178" s="1131" t="s">
        <v>3</v>
      </c>
      <c r="K178" s="1131"/>
      <c r="L178" s="1131" t="s">
        <v>4</v>
      </c>
      <c r="M178" s="1131"/>
      <c r="N178" s="1131" t="s">
        <v>5</v>
      </c>
      <c r="O178" s="1131"/>
      <c r="P178" s="1131" t="s">
        <v>6</v>
      </c>
      <c r="Q178" s="1131"/>
      <c r="R178" s="1131" t="s">
        <v>7</v>
      </c>
      <c r="S178" s="1131"/>
      <c r="T178" s="1131" t="s">
        <v>8</v>
      </c>
      <c r="U178" s="1131"/>
      <c r="V178" s="1131" t="s">
        <v>23</v>
      </c>
      <c r="W178" s="1131"/>
      <c r="X178" s="1131" t="s">
        <v>24</v>
      </c>
      <c r="Y178" s="1131"/>
      <c r="Z178" s="1131" t="s">
        <v>9</v>
      </c>
      <c r="AA178" s="1115"/>
      <c r="AB178" s="1341"/>
      <c r="AC178" s="1117"/>
      <c r="AD178" s="1117"/>
      <c r="AE178" s="1117"/>
      <c r="AF178" s="1117"/>
      <c r="AG178" s="1117"/>
      <c r="AH178" s="1117"/>
      <c r="AI178" s="1118"/>
      <c r="AJ178" s="1302" t="s">
        <v>19</v>
      </c>
      <c r="AK178" s="1300" t="s">
        <v>354</v>
      </c>
      <c r="AL178" s="1292" t="s">
        <v>360</v>
      </c>
      <c r="AM178" s="1150" t="s">
        <v>361</v>
      </c>
      <c r="AN178" s="1229" t="s">
        <v>361</v>
      </c>
      <c r="AO178" s="13">
        <v>98</v>
      </c>
      <c r="AP178" s="74"/>
      <c r="AQ178" s="75"/>
    </row>
    <row r="179" spans="1:43" ht="27" hidden="1" customHeight="1" thickBot="1" x14ac:dyDescent="0.8">
      <c r="A179" s="1123"/>
      <c r="B179" s="1127"/>
      <c r="C179" s="1156"/>
      <c r="D179" s="68" t="s">
        <v>10</v>
      </c>
      <c r="E179" s="68" t="s">
        <v>11</v>
      </c>
      <c r="F179" s="68" t="s">
        <v>10</v>
      </c>
      <c r="G179" s="68" t="s">
        <v>11</v>
      </c>
      <c r="H179" s="68" t="s">
        <v>10</v>
      </c>
      <c r="I179" s="68" t="s">
        <v>11</v>
      </c>
      <c r="J179" s="68" t="s">
        <v>10</v>
      </c>
      <c r="K179" s="68" t="s">
        <v>11</v>
      </c>
      <c r="L179" s="68" t="s">
        <v>10</v>
      </c>
      <c r="M179" s="68" t="s">
        <v>11</v>
      </c>
      <c r="N179" s="68" t="s">
        <v>10</v>
      </c>
      <c r="O179" s="68" t="s">
        <v>11</v>
      </c>
      <c r="P179" s="68" t="s">
        <v>10</v>
      </c>
      <c r="Q179" s="68" t="s">
        <v>11</v>
      </c>
      <c r="R179" s="68" t="s">
        <v>10</v>
      </c>
      <c r="S179" s="68" t="s">
        <v>11</v>
      </c>
      <c r="T179" s="68" t="s">
        <v>10</v>
      </c>
      <c r="U179" s="68" t="s">
        <v>11</v>
      </c>
      <c r="V179" s="68" t="s">
        <v>10</v>
      </c>
      <c r="W179" s="68" t="s">
        <v>11</v>
      </c>
      <c r="X179" s="68" t="s">
        <v>10</v>
      </c>
      <c r="Y179" s="68" t="s">
        <v>11</v>
      </c>
      <c r="Z179" s="68" t="s">
        <v>10</v>
      </c>
      <c r="AA179" s="357" t="s">
        <v>11</v>
      </c>
      <c r="AB179" s="359"/>
      <c r="AC179" s="360"/>
      <c r="AD179" s="360"/>
      <c r="AE179" s="360"/>
      <c r="AF179" s="360"/>
      <c r="AG179" s="360"/>
      <c r="AH179" s="360"/>
      <c r="AI179" s="361"/>
      <c r="AJ179" s="1305"/>
      <c r="AK179" s="1301"/>
      <c r="AL179" s="1236"/>
      <c r="AM179" s="1150"/>
      <c r="AN179" s="1148"/>
      <c r="AO179" s="13">
        <v>99</v>
      </c>
      <c r="AP179" s="74"/>
      <c r="AQ179" s="75"/>
    </row>
    <row r="180" spans="1:43" ht="33.4" hidden="1" customHeight="1" thickBot="1" x14ac:dyDescent="0.8">
      <c r="A180" s="1143" t="s">
        <v>1246</v>
      </c>
      <c r="B180" s="1144"/>
      <c r="C180" s="1145"/>
      <c r="D180" s="1145"/>
      <c r="E180" s="1145"/>
      <c r="F180" s="1145"/>
      <c r="G180" s="1145"/>
      <c r="H180" s="1145"/>
      <c r="I180" s="1145"/>
      <c r="J180" s="1145"/>
      <c r="K180" s="1145"/>
      <c r="L180" s="1145"/>
      <c r="M180" s="1145"/>
      <c r="N180" s="1145"/>
      <c r="O180" s="1145"/>
      <c r="P180" s="1145"/>
      <c r="Q180" s="1145"/>
      <c r="R180" s="1145"/>
      <c r="S180" s="1145"/>
      <c r="T180" s="1145"/>
      <c r="U180" s="1145"/>
      <c r="V180" s="1145"/>
      <c r="W180" s="1145"/>
      <c r="X180" s="1145"/>
      <c r="Y180" s="1145"/>
      <c r="Z180" s="1145"/>
      <c r="AA180" s="1145"/>
      <c r="AB180" s="1194"/>
      <c r="AC180" s="1194"/>
      <c r="AD180" s="1194"/>
      <c r="AE180" s="1194"/>
      <c r="AF180" s="1194"/>
      <c r="AG180" s="1194"/>
      <c r="AH180" s="1194"/>
      <c r="AI180" s="1194"/>
      <c r="AJ180" s="1144"/>
      <c r="AK180" s="1145"/>
      <c r="AL180" s="1144"/>
      <c r="AM180" s="1144"/>
      <c r="AN180" s="1146"/>
      <c r="AO180" s="13">
        <v>97</v>
      </c>
      <c r="AP180" s="74"/>
      <c r="AQ180" s="75"/>
    </row>
    <row r="181" spans="1:43" s="61" customFormat="1" ht="38.450000000000003" hidden="1" customHeight="1" thickBot="1" x14ac:dyDescent="0.8">
      <c r="A181" s="874" t="s">
        <v>1205</v>
      </c>
      <c r="B181" s="69" t="s">
        <v>1205</v>
      </c>
      <c r="C181" s="868" t="s">
        <v>1210</v>
      </c>
      <c r="D181" s="138"/>
      <c r="E181" s="72"/>
      <c r="F181" s="72"/>
      <c r="G181" s="72"/>
      <c r="H181" s="72"/>
      <c r="I181" s="72"/>
      <c r="J181" s="72"/>
      <c r="K181" s="72"/>
      <c r="L181" s="72"/>
      <c r="M181" s="72"/>
      <c r="N181" s="72"/>
      <c r="O181" s="72"/>
      <c r="P181" s="72"/>
      <c r="Q181" s="72"/>
      <c r="R181" s="72"/>
      <c r="S181" s="72"/>
      <c r="T181" s="72"/>
      <c r="U181" s="72"/>
      <c r="V181" s="72"/>
      <c r="W181" s="72"/>
      <c r="X181" s="72"/>
      <c r="Y181" s="72"/>
      <c r="Z181" s="72"/>
      <c r="AA181" s="306"/>
      <c r="AB181" s="375"/>
      <c r="AC181" s="345"/>
      <c r="AD181" s="345"/>
      <c r="AE181" s="345"/>
      <c r="AF181" s="345"/>
      <c r="AG181" s="345"/>
      <c r="AH181" s="345"/>
      <c r="AI181" s="302"/>
      <c r="AJ181" s="52">
        <f>SUM(D181:AA181)</f>
        <v>0</v>
      </c>
      <c r="AK181" s="139"/>
      <c r="AL181" s="1204" t="str">
        <f>CONCATENATE(AK182,AK183,AK184,AK185,AK186,AK187,AK188,AK189,AK190,AK191,AK192,AK193,AK181)</f>
        <v/>
      </c>
      <c r="AM181" s="140"/>
      <c r="AN181" s="588"/>
      <c r="AO181" s="13">
        <v>100</v>
      </c>
      <c r="AP181" s="80"/>
      <c r="AQ181" s="75"/>
    </row>
    <row r="182" spans="1:43" s="61" customFormat="1" ht="38.450000000000003" hidden="1" customHeight="1" x14ac:dyDescent="0.75">
      <c r="A182" s="1398" t="s">
        <v>1218</v>
      </c>
      <c r="B182" s="69" t="s">
        <v>1220</v>
      </c>
      <c r="C182" s="868" t="s">
        <v>190</v>
      </c>
      <c r="D182" s="138"/>
      <c r="E182" s="72"/>
      <c r="F182" s="72"/>
      <c r="G182" s="72"/>
      <c r="H182" s="72"/>
      <c r="I182" s="72"/>
      <c r="J182" s="72"/>
      <c r="K182" s="72"/>
      <c r="L182" s="72"/>
      <c r="M182" s="72"/>
      <c r="N182" s="72"/>
      <c r="O182" s="72"/>
      <c r="P182" s="72"/>
      <c r="Q182" s="72"/>
      <c r="R182" s="72"/>
      <c r="S182" s="72"/>
      <c r="T182" s="72"/>
      <c r="U182" s="72"/>
      <c r="V182" s="72"/>
      <c r="W182" s="72"/>
      <c r="X182" s="72"/>
      <c r="Y182" s="72"/>
      <c r="Z182" s="72"/>
      <c r="AA182" s="306"/>
      <c r="AB182" s="375"/>
      <c r="AC182" s="345"/>
      <c r="AD182" s="345"/>
      <c r="AE182" s="345"/>
      <c r="AF182" s="345"/>
      <c r="AG182" s="345"/>
      <c r="AH182" s="345"/>
      <c r="AI182" s="302"/>
      <c r="AJ182" s="52">
        <f>SUM(D182:AA182)</f>
        <v>0</v>
      </c>
      <c r="AK182" s="139" t="str">
        <f>CONCATENATE(IF(D182&lt;&gt;SUM(D184,D186,D188,D190,D192)," *  Iniated On IPT New ON ART for Age "&amp;D20&amp;" "&amp;D21&amp;" is not equal to the sum of  Completed IPT New on ART+ Discontinued New on ART + LTFU New on ART + Died New on ART + Transferred Out New on ART)"&amp;CHAR(10),""),IF(E182&lt;&gt;SUM(E184,E186,E188,E190,E192)," *  Iniated On IPT New ON ART for Age "&amp;D20&amp;" "&amp;E21&amp;" is not equal to the sum of F03-03+F03-05+F03-07+F03-09+F03-11"&amp;CHAR(10),""),IF(F182&lt;&gt;SUM(F184,F186,F188,F190,F192)," *  Iniated On IPT New ON ART for Age "&amp;F20&amp;" "&amp;F21&amp;" is not equal to the sum of  Completed IPT New on ART+ Discontinued New on ART + LTFU New on ART + Died New on ART + Transferred Out New on ART)"&amp;CHAR(10),""),IF(G182&lt;&gt;SUM(G184,G186,G188,G190,G192)," *  Iniated On IPT New ON ART for Age "&amp;F20&amp;" "&amp;G21&amp;" is not equal to the sum of F03-03+F03-05+F03-07+F03-09+F03-11"&amp;CHAR(10),""),IF(H182&lt;&gt;SUM(H184,H186,H188,H190,H192)," *  Iniated On IPT New ON ART for Age "&amp;H20&amp;" "&amp;H21&amp;" is not equal to the sum of  Completed IPT New on ART+ Discontinued New on ART + LTFU New on ART + Died New on ART + Transferred Out New on ART)"&amp;CHAR(10),""),IF(I182&lt;&gt;SUM(I184,I186,I188,I190,I192)," *  Iniated On IPT New ON ART for Age "&amp;H20&amp;" "&amp;I21&amp;" is not equal to the sum of F03-03+F03-05+F03-07+F03-09+F03-11"&amp;CHAR(10),""),IF(J182&lt;&gt;SUM(J184,J186,J188,J190,J192)," *  Iniated On IPT New ON ART for Age "&amp;J20&amp;" "&amp;J21&amp;" is not equal to the sum of  Completed IPT New on ART+ Discontinued New on ART + LTFU New on ART + Died New on ART + Transferred Out New on ART)"&amp;CHAR(10),""),IF(K182&lt;&gt;SUM(K184,K186,K188,K190,K192)," *  Iniated On IPT New ON ART for Age "&amp;J20&amp;" "&amp;K21&amp;" is not equal to the sum of F03-03+F03-05+F03-07+F03-09+F03-11"&amp;CHAR(10),""),IF(L182&lt;&gt;SUM(L184,L186,L188,L190,L192)," *  Iniated On IPT New ON ART for Age "&amp;L20&amp;" "&amp;L21&amp;" is not equal to the sum of  Completed IPT New on ART+ Discontinued New on ART + LTFU New on ART + Died New on ART + Transferred Out New on ART)"&amp;CHAR(10),""),IF(M182&lt;&gt;SUM(M184,M186,M188,M190,M192)," *  Iniated On IPT New ON ART for Age "&amp;L20&amp;" "&amp;M21&amp;" is not equal to the sum of F03-03+F03-05+F03-07+F03-09+F03-11"&amp;CHAR(10),""),IF(N182&lt;&gt;SUM(N184,N186,N188,N190,N192)," *  Iniated On IPT New ON ART for Age "&amp;N20&amp;" "&amp;N21&amp;" is not equal to the sum of  Completed IPT New on ART+ Discontinued New on ART + LTFU New on ART + Died New on ART + Transferred Out New on ART)"&amp;CHAR(10),""),IF(O182&lt;&gt;SUM(O184,O186,O188,O190,O192)," *  Iniated On IPT New ON ART for Age "&amp;N20&amp;" "&amp;O21&amp;" is not equal to the sum of F03-03+F03-05+F03-07+F03-09+F03-11"&amp;CHAR(10),""),IF(P182&lt;&gt;SUM(P184,P186,P188,P190,P192)," *  Iniated On IPT New ON ART for Age "&amp;P20&amp;" "&amp;P21&amp;" is not equal to the sum of  Completed IPT New on ART+ Discontinued New on ART + LTFU New on ART + Died New on ART + Transferred Out New on ART)"&amp;CHAR(10),""),IF(Q182&lt;&gt;SUM(Q184,Q186,Q188,Q190,Q192)," *  Iniated On IPT New ON ART for Age "&amp;P20&amp;" "&amp;Q21&amp;" is not equal to the sum of F03-03+F03-05+F03-07+F03-09+F03-11"&amp;CHAR(10),""),IF(R182&lt;&gt;SUM(R184,R186,R188,R190,R192)," *  Iniated On IPT New ON ART for Age "&amp;R20&amp;" "&amp;R21&amp;" is not equal to the sum of  Completed IPT New on ART+ Discontinued New on ART + LTFU New on ART + Died New on ART + Transferred Out New on ART)"&amp;CHAR(10),""),IF(S182&lt;&gt;SUM(S184,S186,S188,S190,S192)," *  Iniated On IPT New ON ART for Age "&amp;R20&amp;" "&amp;S21&amp;" is not equal to the sum of F03-03+F03-05+F03-07+F03-09+F03-11"&amp;CHAR(10),""),IF(T182&lt;&gt;SUM(T184,T186,T188,T190,T192)," *  Iniated On IPT New ON ART for Age "&amp;T20&amp;" "&amp;T21&amp;" is not equal to the sum of  Completed IPT New on ART+ Discontinued New on ART + LTFU New on ART + Died New on ART + Transferred Out New on ART)"&amp;CHAR(10),""),IF(U182&lt;&gt;SUM(U184,U186,U188,U190,U192)," *  Iniated On IPT New ON ART for Age "&amp;T20&amp;" "&amp;U21&amp;" is not equal to the sum of F03-03+F03-05+F03-07+F03-09+F03-11"&amp;CHAR(10),""),IF(V182&lt;&gt;SUM(V184,V186,V188,V190,V192)," *  Iniated On IPT New ON ART for Age "&amp;V20&amp;" "&amp;V21&amp;" is not equal to the sum of  Completed IPT New on ART+ Discontinued New on ART + LTFU New on ART + Died New on ART + Transferred Out New on ART)"&amp;CHAR(10),""),IF(W182&lt;&gt;SUM(W184,W186,W188,W190,W192)," *  Iniated On IPT New ON ART for Age "&amp;V20&amp;" "&amp;W21&amp;" is not equal to the sum of F03-03+F03-05+F03-07+F03-09+F03-11"&amp;CHAR(10),""),IF(X182&lt;&gt;SUM(X184,X186,X188,X190,X192)," *  Iniated On IPT New ON ART for Age "&amp;X20&amp;" "&amp;X21&amp;" is not equal to the sum of  Completed IPT New on ART+ Discontinued New on ART + LTFU New on ART + Died New on ART + Transferred Out New on ART)"&amp;CHAR(10),""),IF(Y182&lt;&gt;SUM(Y184,Y186,Y188,Y190,Y192)," *  Iniated On IPT New ON ART for Age "&amp;X20&amp;" "&amp;Y21&amp;" is not equal to the sum of F03-03+F03-05+F03-07+F03-09+F03-11"&amp;CHAR(10),""),IF(Z182&lt;&gt;SUM(Z184,Z186,Z188,Z190,Z192)," *  Iniated On IPT New ON ART for Age "&amp;Z20&amp;" "&amp;Z21&amp;" is not equal to the sum of  Completed IPT New on ART+ Discontinued New on ART + LTFU New on ART + Died New on ART + Transferred Out New on ART)"&amp;CHAR(10),""),IF(AA182&lt;&gt;SUM(AA184,AA186,AA188,AA190,AA192)," *  Iniated On IPT New ON ART for Age "&amp;Z20&amp;" "&amp;AA21&amp;" is not equal to the sum of  Completed IPT New on ART+ Discontinued New on ART + LTFU New on ART + Died New on ART + Transferred Out New on ART)"&amp;CHAR(10),""))</f>
        <v/>
      </c>
      <c r="AL182" s="1205"/>
      <c r="AM182" s="140"/>
      <c r="AN182" s="1364" t="str">
        <f>CONCATENATE(AM182,AM183,AM184,AM185,AM186,AM187,AM188,AM189,AM190,AM191,AM192,AM193)</f>
        <v/>
      </c>
      <c r="AO182" s="13">
        <v>100</v>
      </c>
      <c r="AP182" s="80"/>
      <c r="AQ182" s="75"/>
    </row>
    <row r="183" spans="1:43" s="61" customFormat="1" ht="38.450000000000003" hidden="1" customHeight="1" thickBot="1" x14ac:dyDescent="0.8">
      <c r="A183" s="1134"/>
      <c r="B183" s="87" t="s">
        <v>1221</v>
      </c>
      <c r="C183" s="869" t="s">
        <v>191</v>
      </c>
      <c r="D183" s="141"/>
      <c r="E183" s="89"/>
      <c r="F183" s="89"/>
      <c r="G183" s="89"/>
      <c r="H183" s="89"/>
      <c r="I183" s="89"/>
      <c r="J183" s="89"/>
      <c r="K183" s="89"/>
      <c r="L183" s="89"/>
      <c r="M183" s="89"/>
      <c r="N183" s="89"/>
      <c r="O183" s="89"/>
      <c r="P183" s="89"/>
      <c r="Q183" s="89"/>
      <c r="R183" s="89"/>
      <c r="S183" s="89"/>
      <c r="T183" s="89"/>
      <c r="U183" s="89"/>
      <c r="V183" s="89"/>
      <c r="W183" s="89"/>
      <c r="X183" s="89"/>
      <c r="Y183" s="89"/>
      <c r="Z183" s="89"/>
      <c r="AA183" s="309"/>
      <c r="AB183" s="375"/>
      <c r="AC183" s="345"/>
      <c r="AD183" s="345"/>
      <c r="AE183" s="345"/>
      <c r="AF183" s="345"/>
      <c r="AG183" s="345"/>
      <c r="AH183" s="345"/>
      <c r="AI183" s="302"/>
      <c r="AJ183" s="192">
        <f t="shared" ref="AJ183:AJ193" si="54">SUM(D183:AA183)</f>
        <v>0</v>
      </c>
      <c r="AK183" s="116" t="str">
        <f>CONCATENATE(IF(D183&lt;&gt;SUM(D185,D187,D189,D191,D193)," * F03-02 for Age "&amp;D20&amp;" "&amp;D21&amp;" is not equal to the sum of (F03-04+F03-06+F03-08+F03-10+F03-12)"&amp;CHAR(10),""),IF(E183&lt;&gt;SUM(E185,E187,E189,E191,E193)," * F03-02 for Age "&amp;D20&amp;" "&amp;E21&amp;" is not equal to the sum of F03-04+F03-06+F03-08+F03-10+F03-12"&amp;CHAR(10),""),IF(F183&lt;&gt;SUM(F185,F187,F189,F191,F193)," * F03-02 for Age "&amp;F20&amp;" "&amp;F21&amp;" is not equal to the sum of (F03-04+F03-06+F03-08+F03-10+F03-12)"&amp;CHAR(10),""),IF(G183&lt;&gt;SUM(G185,G187,G189,G191,G193)," * F03-02 for Age "&amp;F20&amp;" "&amp;G21&amp;" is not equal to the sum of F03-04+F03-06+F03-08+F03-10+F03-12"&amp;CHAR(10),""),IF(H183&lt;&gt;SUM(H185,H187,H189,H191,H193)," * F03-02 for Age "&amp;H20&amp;" "&amp;H21&amp;" is not equal to the sum of (F03-04+F03-06+F03-08+F03-10+F03-12)"&amp;CHAR(10),""),IF(I183&lt;&gt;SUM(I185,I187,I189,I191,I193)," * F03-02 for Age "&amp;H20&amp;" "&amp;I21&amp;" is not equal to the sum of F03-04+F03-06+F03-08+F03-10+F03-12"&amp;CHAR(10),""),IF(J183&lt;&gt;SUM(J185,J187,J189,J191,J193)," * F03-02 for Age "&amp;J20&amp;" "&amp;J21&amp;" is not equal to the sum of (F03-04+F03-06+F03-08+F03-10+F03-12)"&amp;CHAR(10),""),IF(K183&lt;&gt;SUM(K185,K187,K189,K191,K193)," * F03-02 for Age "&amp;J20&amp;" "&amp;K21&amp;" is not equal to the sum of F03-04+F03-06+F03-08+F03-10+F03-12"&amp;CHAR(10),""),IF(L183&lt;&gt;SUM(L185,L187,L189,L191,L193)," * F03-02 for Age "&amp;L20&amp;" "&amp;L21&amp;" is not equal to the sum of (F03-04+F03-06+F03-08+F03-10+F03-12)"&amp;CHAR(10),""),IF(M183&lt;&gt;SUM(M185,M187,M189,M191,M193)," * F03-02 for Age "&amp;L20&amp;" "&amp;M21&amp;" is not equal to the sum of F03-04+F03-06+F03-08+F03-10+F03-12"&amp;CHAR(10),""),IF(N183&lt;&gt;SUM(N185,N187,N189,N191,N193)," * F03-02 for Age "&amp;N20&amp;" "&amp;N21&amp;" is not equal to the sum of (F03-04+F03-06+F03-08+F03-10+F03-12)"&amp;CHAR(10),""),IF(O183&lt;&gt;SUM(O185,O187,O189,O191,O193)," * F03-02 for Age "&amp;N20&amp;" "&amp;O21&amp;" is not equal to the sum of F03-04+F03-06+F03-08+F03-10+F03-12"&amp;CHAR(10),""),IF(P183&lt;&gt;SUM(P185,P187,P189,P191,P193)," * F03-02 for Age "&amp;P20&amp;" "&amp;P21&amp;" is not equal to the sum of (F03-04+F03-06+F03-08+F03-10+F03-12)"&amp;CHAR(10),""),IF(Q183&lt;&gt;SUM(Q185,Q187,Q189,Q191,Q193)," * F03-02 for Age "&amp;P20&amp;" "&amp;Q21&amp;" is not equal to the sum of F03-04+F03-06+F03-08+F03-10+F03-12"&amp;CHAR(10),""),IF(R183&lt;&gt;SUM(R185,R187,R189,R191,R193)," * F03-02 for Age "&amp;R20&amp;" "&amp;R21&amp;" is not equal to the sum of (F03-04+F03-06+F03-08+F03-10+F03-12)"&amp;CHAR(10),""),IF(S183&lt;&gt;SUM(S185,S187,S189,S191,S193)," * F03-02 for Age "&amp;R20&amp;" "&amp;S21&amp;" is not equal to the sum of F03-04+F03-06+F03-08+F03-10+F03-12"&amp;CHAR(10),""),IF(T183&lt;&gt;SUM(T185,T187,T189,T191,T193)," * F03-02 for Age "&amp;T20&amp;" "&amp;T21&amp;" is not equal to the sum of (F03-04+F03-06+F03-08+F03-10+F03-12)"&amp;CHAR(10),""),IF(U183&lt;&gt;SUM(U185,U187,U189,U191,U193)," * F03-02 for Age "&amp;T20&amp;" "&amp;U21&amp;" is not equal to the sum of F03-04+F03-06+F03-08+F03-10+F03-12"&amp;CHAR(10),""),IF(V183&lt;&gt;SUM(V185,V187,V189,V191,V193)," * F03-02 for Age "&amp;V20&amp;" "&amp;V21&amp;" is not equal to the sum of (F03-04+F03-06+F03-08+F03-10+F03-12)"&amp;CHAR(10),""),IF(W183&lt;&gt;SUM(W185,W187,W189,W191,W193)," * F03-02 for Age "&amp;V20&amp;" "&amp;W21&amp;" is not equal to the sum of F03-04+F03-06+F03-08+F03-10+F03-12"&amp;CHAR(10),""),IF(X183&lt;&gt;SUM(X185,X187,X189,X191,X193)," * F03-02 for Age "&amp;X20&amp;" "&amp;X21&amp;" is not equal to the sum of (F03-04+F03-06+F03-08+F03-10+F03-12)"&amp;CHAR(10),""),IF(Y183&lt;&gt;SUM(Y185,Y187,Y189,Y191,Y193)," * F03-02 for Age "&amp;X20&amp;" "&amp;Y21&amp;" is not equal to the sum of F03-04+F03-06+F03-08+F03-10+F03-12"&amp;CHAR(10),""),IF(Z183&lt;&gt;SUM(Z185,Z187,Z189,Z191,Z193)," * F03-02 for Age "&amp;Z20&amp;" "&amp;Z21&amp;" is not equal to the sum of (F03-04+F03-06+F03-08+F03-10+F03-12)"&amp;CHAR(10),""),IF(AA183&lt;&gt;SUM(AA185,AA187,AA189,AA191,AA193)," * F03-02 for Age "&amp;Z20&amp;" "&amp;AA21&amp;" is not equal to the sum of (F03-04+F03-06+F03-08+F03-10+F03-12)"&amp;CHAR(10),""))</f>
        <v/>
      </c>
      <c r="AL183" s="1205"/>
      <c r="AM183" s="60"/>
      <c r="AN183" s="1365"/>
      <c r="AO183" s="13">
        <v>101</v>
      </c>
      <c r="AP183" s="80"/>
      <c r="AQ183" s="75"/>
    </row>
    <row r="184" spans="1:43" ht="38.450000000000003" hidden="1" customHeight="1" x14ac:dyDescent="0.75">
      <c r="A184" s="1132" t="s">
        <v>1219</v>
      </c>
      <c r="B184" s="91" t="s">
        <v>1222</v>
      </c>
      <c r="C184" s="558" t="s">
        <v>192</v>
      </c>
      <c r="D184" s="142"/>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324"/>
      <c r="AB184" s="375"/>
      <c r="AC184" s="345"/>
      <c r="AD184" s="345"/>
      <c r="AE184" s="345"/>
      <c r="AF184" s="345"/>
      <c r="AG184" s="345"/>
      <c r="AH184" s="345"/>
      <c r="AI184" s="302"/>
      <c r="AJ184" s="188">
        <f t="shared" si="54"/>
        <v>0</v>
      </c>
      <c r="AK184" s="116" t="str">
        <f>CONCATENATE(IF(D184&gt;D182," * F03-03 for Age "&amp;D20&amp;" "&amp;D21&amp;" is more than F03-01"&amp;CHAR(10),""),IF(E184&gt;E182," * F03-03 for Age "&amp;D20&amp;" "&amp;E21&amp;" is more than F03-01"&amp;CHAR(10),""),IF(F184&gt;F182," * F03-03 for Age "&amp;F20&amp;" "&amp;F21&amp;" is more than F03-01"&amp;CHAR(10),""),IF(G184&gt;G182," * F03-03 for Age "&amp;F20&amp;" "&amp;G21&amp;" is more than F03-01"&amp;CHAR(10),""),IF(H184&gt;H182," * F03-03 for Age "&amp;H20&amp;" "&amp;H21&amp;" is more than F03-01"&amp;CHAR(10),""),IF(I184&gt;I182," * F03-03 for Age "&amp;H20&amp;" "&amp;I21&amp;" is more than F03-01"&amp;CHAR(10),""),IF(J184&gt;J182," * F03-03 for Age "&amp;J20&amp;" "&amp;J21&amp;" is more than F03-01"&amp;CHAR(10),""),IF(K184&gt;K182," * F03-03 for Age "&amp;J20&amp;" "&amp;K21&amp;" is more than F03-01"&amp;CHAR(10),""),IF(L184&gt;L182," * F03-03 for Age "&amp;L20&amp;" "&amp;L21&amp;" is more than F03-01"&amp;CHAR(10),""),IF(M184&gt;M182," * F03-03 for Age "&amp;L20&amp;" "&amp;M21&amp;" is more than F03-01"&amp;CHAR(10),""),IF(N184&gt;N182," * F03-03 for Age "&amp;N20&amp;" "&amp;N21&amp;" is more than F03-01"&amp;CHAR(10),""),IF(O184&gt;O182," * F03-03 for Age "&amp;N20&amp;" "&amp;O21&amp;" is more than F03-01"&amp;CHAR(10),""),IF(P184&gt;P182," * F03-03 for Age "&amp;P20&amp;" "&amp;P21&amp;" is more than F03-01"&amp;CHAR(10),""),IF(Q184&gt;Q182," * F03-03 for Age "&amp;P20&amp;" "&amp;Q21&amp;" is more than F03-01"&amp;CHAR(10),""),IF(R184&gt;R182," * F03-03 for Age "&amp;R20&amp;" "&amp;R21&amp;" is more than F03-01"&amp;CHAR(10),""),IF(S184&gt;S182," * F03-03 for Age "&amp;R20&amp;" "&amp;S21&amp;" is more than F03-01"&amp;CHAR(10),""),IF(T184&gt;T182," * F03-03 for Age "&amp;T20&amp;" "&amp;T21&amp;" is more than F03-01"&amp;CHAR(10),""),IF(U184&gt;U182," * F03-03 for Age "&amp;T20&amp;" "&amp;U21&amp;" is more than F03-01"&amp;CHAR(10),""),IF(V184&gt;V182," * F03-03 for Age "&amp;V20&amp;" "&amp;V21&amp;" is more than F03-01"&amp;CHAR(10),""),IF(W184&gt;W182," * F03-03 for Age "&amp;V20&amp;" "&amp;W21&amp;" is more than F03-01"&amp;CHAR(10),""),IF(X184&gt;X182," * F03-03 for Age "&amp;X20&amp;" "&amp;X21&amp;" is more than F03-01"&amp;CHAR(10),""),IF(Y184&gt;Y182," * F03-03 for Age "&amp;X20&amp;" "&amp;Y21&amp;" is more than F03-01"&amp;CHAR(10),""),IF(Z184&gt;Z182," * F03-03 for Age "&amp;Z20&amp;" "&amp;Z21&amp;" is more than F03-01"&amp;CHAR(10),""),IF(AA184&gt;AA182," * F03-03 for Age "&amp;Z20&amp;" "&amp;AA21&amp;" is more than F03-01"&amp;CHAR(10),""))</f>
        <v/>
      </c>
      <c r="AL184" s="1205"/>
      <c r="AM184" s="31"/>
      <c r="AN184" s="1365"/>
      <c r="AO184" s="13">
        <v>102</v>
      </c>
      <c r="AP184" s="74"/>
      <c r="AQ184" s="75"/>
    </row>
    <row r="185" spans="1:43" ht="38.450000000000003" hidden="1" customHeight="1" thickBot="1" x14ac:dyDescent="0.8">
      <c r="A185" s="1134"/>
      <c r="B185" s="87" t="s">
        <v>1221</v>
      </c>
      <c r="C185" s="560" t="s">
        <v>193</v>
      </c>
      <c r="D185" s="144"/>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325"/>
      <c r="AB185" s="375"/>
      <c r="AC185" s="345"/>
      <c r="AD185" s="345"/>
      <c r="AE185" s="345"/>
      <c r="AF185" s="345"/>
      <c r="AG185" s="345"/>
      <c r="AH185" s="345"/>
      <c r="AI185" s="302"/>
      <c r="AJ185" s="192">
        <f t="shared" si="54"/>
        <v>0</v>
      </c>
      <c r="AK185" s="116" t="str">
        <f>CONCATENATE(IF(D185&gt;D183," * F03-04 for Age "&amp;D20&amp;" "&amp;D21&amp;" is more than F03-02"&amp;CHAR(10),""),IF(E185&gt;E183," * F03-04 for Age "&amp;D20&amp;" "&amp;E21&amp;" is more than F03-02"&amp;CHAR(10),""),IF(F185&gt;F183," * F03-04 for Age "&amp;F20&amp;" "&amp;F21&amp;" is more than F03-02"&amp;CHAR(10),""),IF(G185&gt;G183," * F03-04 for Age "&amp;F20&amp;" "&amp;G21&amp;" is more than F03-02"&amp;CHAR(10),""),IF(H185&gt;H183," * F03-04 for Age "&amp;H20&amp;" "&amp;H21&amp;" is more than F03-02"&amp;CHAR(10),""),IF(I185&gt;I183," * F03-04 for Age "&amp;H20&amp;" "&amp;I21&amp;" is more than F03-02"&amp;CHAR(10),""),IF(J185&gt;J183," * F03-04 for Age "&amp;J20&amp;" "&amp;J21&amp;" is more than F03-02"&amp;CHAR(10),""),IF(K185&gt;K183," * F03-04 for Age "&amp;J20&amp;" "&amp;K21&amp;" is more than F03-02"&amp;CHAR(10),""),IF(L185&gt;L183," * F03-04 for Age "&amp;L20&amp;" "&amp;L21&amp;" is more than F03-02"&amp;CHAR(10),""),IF(M185&gt;M183," * F03-04 for Age "&amp;L20&amp;" "&amp;M21&amp;" is more than F03-02"&amp;CHAR(10),""),IF(N185&gt;N183," * F03-04 for Age "&amp;N20&amp;" "&amp;N21&amp;" is more than F03-02"&amp;CHAR(10),""),IF(O185&gt;O183," * F03-04 for Age "&amp;N20&amp;" "&amp;O21&amp;" is more than F03-02"&amp;CHAR(10),""),IF(P185&gt;P183," * F03-04 for Age "&amp;P20&amp;" "&amp;P21&amp;" is more than F03-02"&amp;CHAR(10),""),IF(Q185&gt;Q183," * F03-04 for Age "&amp;P20&amp;" "&amp;Q21&amp;" is more than F03-02"&amp;CHAR(10),""),IF(R185&gt;R183," * F03-04 for Age "&amp;R20&amp;" "&amp;R21&amp;" is more than F03-02"&amp;CHAR(10),""),IF(S185&gt;S183," * F03-04 for Age "&amp;R20&amp;" "&amp;S21&amp;" is more than F03-02"&amp;CHAR(10),""),IF(T185&gt;T183," * F03-04 for Age "&amp;T20&amp;" "&amp;T21&amp;" is more than F03-02"&amp;CHAR(10),""),IF(U185&gt;U183," * F03-04 for Age "&amp;T20&amp;" "&amp;U21&amp;" is more than F03-02"&amp;CHAR(10),""),IF(V185&gt;V183," * F03-04 for Age "&amp;V20&amp;" "&amp;V21&amp;" is more than F03-02"&amp;CHAR(10),""),IF(W185&gt;W183," * F03-04 for Age "&amp;V20&amp;" "&amp;W21&amp;" is more than F03-02"&amp;CHAR(10),""),IF(X185&gt;X183," * F03-04 for Age "&amp;X20&amp;" "&amp;X21&amp;" is more than F03-02"&amp;CHAR(10),""),IF(Y185&gt;Y183," * F03-04 for Age "&amp;X20&amp;" "&amp;Y21&amp;" is more than F03-02"&amp;CHAR(10),""),IF(Z185&gt;Z183," * F03-04 for Age "&amp;Z20&amp;" "&amp;Z21&amp;" is more than F03-02"&amp;CHAR(10),""),IF(AA185&gt;AA183," * F03-04 for Age "&amp;Z20&amp;" "&amp;AA21&amp;" is more than F03-02"&amp;CHAR(10),""),IF(AJ185&gt;AJ183," * Total F03-04 is more than Total F03-02"&amp;CHAR(10),""))</f>
        <v/>
      </c>
      <c r="AL185" s="1205"/>
      <c r="AM185" s="31"/>
      <c r="AN185" s="1365"/>
      <c r="AO185" s="13">
        <v>103</v>
      </c>
      <c r="AP185" s="74"/>
      <c r="AQ185" s="75"/>
    </row>
    <row r="186" spans="1:43" s="14" customFormat="1" ht="38.450000000000003" hidden="1" customHeight="1" x14ac:dyDescent="0.75">
      <c r="A186" s="1360" t="s">
        <v>1242</v>
      </c>
      <c r="B186" s="146" t="s">
        <v>630</v>
      </c>
      <c r="C186" s="575" t="s">
        <v>194</v>
      </c>
      <c r="D186" s="147"/>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326"/>
      <c r="AB186" s="375"/>
      <c r="AC186" s="345"/>
      <c r="AD186" s="345"/>
      <c r="AE186" s="345"/>
      <c r="AF186" s="345"/>
      <c r="AG186" s="345"/>
      <c r="AH186" s="345"/>
      <c r="AI186" s="302"/>
      <c r="AJ186" s="188">
        <f t="shared" si="54"/>
        <v>0</v>
      </c>
      <c r="AK186" s="116" t="str">
        <f>CONCATENATE(IF(D359&lt;SUM(D182,D183)," * Total Initiated on IPT for Age "&amp;D20&amp;" "&amp;D21&amp;" is More than Current ON ART "&amp;CHAR(10),""),IF(E359&lt;SUM(E182,E183)," * Total Initiated on IPT for Age "&amp;D20&amp;" "&amp;E21&amp;" is More than Current ON ART"&amp;CHAR(10),""),IF(F359&lt;SUM(F182,F183)," * Total Initiated on IPT for Age "&amp;F20&amp;" "&amp;F21&amp;" is More than Current ON ART "&amp;CHAR(10),""),IF(G359&lt;SUM(G182,G183)," * Total Initiated on IPT for Age "&amp;F20&amp;" "&amp;G21&amp;" is More than Current ON ART"&amp;CHAR(10),""),IF(H359&lt;SUM(H182,H183)," * Total Initiated on IPT for Age "&amp;H20&amp;" "&amp;H21&amp;" is More than Current ON ART "&amp;CHAR(10),""),IF(I359&lt;SUM(I182,I183)," * Total Initiated on IPT for Age "&amp;H20&amp;" "&amp;I21&amp;" is More than Current ON ART"&amp;CHAR(10),""),IF(J359&lt;SUM(J182,J183)," * Total Initiated on IPT for Age "&amp;J20&amp;" "&amp;J21&amp;" is More than Current ON ART "&amp;CHAR(10),""),IF(K359&lt;SUM(K182,K183)," * Total Initiated on IPT for Age "&amp;J20&amp;" "&amp;K21&amp;" is More than Current ON ART"&amp;CHAR(10),""),IF(L359&lt;SUM(L182,L183)," * Total Initiated on IPT for Age "&amp;L20&amp;" "&amp;L21&amp;" is More than Current ON ART "&amp;CHAR(10),""),IF(M359&lt;SUM(M182,M183)," * Total Initiated on IPT for Age "&amp;L20&amp;" "&amp;M21&amp;" is More than Current ON ART"&amp;CHAR(10),""),IF(N359&lt;SUM(N182,N183)," * Total Initiated on IPT for Age "&amp;N20&amp;" "&amp;N21&amp;" is More than Current ON ART "&amp;CHAR(10),""),IF(O359&lt;SUM(O182,O183)," * Total Initiated on IPT for Age "&amp;N20&amp;" "&amp;O21&amp;" is More than Current ON ART"&amp;CHAR(10),""),IF(P359&lt;SUM(P182,P183)," * Total Initiated on IPT for Age "&amp;P20&amp;" "&amp;P21&amp;" is More than Current ON ART "&amp;CHAR(10),""),IF(Q359&lt;SUM(Q182,Q183)," * Total Initiated on IPT for Age "&amp;P20&amp;" "&amp;Q21&amp;" is More than Current ON ART"&amp;CHAR(10),""),IF(R359&lt;SUM(R182,R183)," * Total Initiated on IPT for Age "&amp;R20&amp;" "&amp;R21&amp;" is More than Current ON ART "&amp;CHAR(10),""),IF(S359&lt;SUM(S182,S183)," * Total Initiated on IPT for Age "&amp;R20&amp;" "&amp;S21&amp;" is More than Current ON ART"&amp;CHAR(10),""),IF(T359&lt;SUM(T182,T183)," * Total Initiated on IPT for Age "&amp;T20&amp;" "&amp;T21&amp;" is More than Current ON ART "&amp;CHAR(10),""),IF(U359&lt;SUM(U182,U183)," * Total Initiated on IPT for Age "&amp;T20&amp;" "&amp;U21&amp;" is More than Current ON ART"&amp;CHAR(10),""),IF(V359&lt;SUM(V182,V183)," * Total Initiated on IPT for Age "&amp;V20&amp;" "&amp;V21&amp;" is More than Current ON ART "&amp;CHAR(10),""),IF(W359&lt;SUM(W182,W183)," * Total Initiated on IPT for Age "&amp;V20&amp;" "&amp;W21&amp;" is More than Current ON ART"&amp;CHAR(10),""),IF(X359&lt;SUM(X182,X183)," * Total Initiated on IPT for Age "&amp;X20&amp;" "&amp;X21&amp;" is More than Current ON ART "&amp;CHAR(10),""),IF(Y359&lt;SUM(Y182,Y183)," * Total Initiated on IPT for Age "&amp;X20&amp;" "&amp;Y21&amp;" is More than Current ON ART"&amp;CHAR(10),""),IF(Z359&lt;SUM(Z182,Z183)," * Total Initiated on IPT for Age "&amp;Z20&amp;" "&amp;Z21&amp;" is More than Current ON ART "&amp;CHAR(10),""),IF(AA359&lt;SUM(AA182,AA183)," * Total Initiated on IPT for Age "&amp;Z20&amp;" "&amp;AA21&amp;" is More than Current ON ART "&amp;CHAR(10),""))</f>
        <v/>
      </c>
      <c r="AL186" s="1205"/>
      <c r="AM186" s="31"/>
      <c r="AN186" s="1365"/>
      <c r="AO186" s="13">
        <v>104</v>
      </c>
      <c r="AP186" s="74"/>
      <c r="AQ186" s="149"/>
    </row>
    <row r="187" spans="1:43" s="14" customFormat="1" ht="38.450000000000003" hidden="1" customHeight="1" thickBot="1" x14ac:dyDescent="0.8">
      <c r="A187" s="1361"/>
      <c r="B187" s="150" t="s">
        <v>631</v>
      </c>
      <c r="C187" s="576" t="s">
        <v>195</v>
      </c>
      <c r="D187" s="151"/>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327"/>
      <c r="AB187" s="375"/>
      <c r="AC187" s="345"/>
      <c r="AD187" s="345"/>
      <c r="AE187" s="345"/>
      <c r="AF187" s="345"/>
      <c r="AG187" s="345"/>
      <c r="AH187" s="345"/>
      <c r="AI187" s="302"/>
      <c r="AJ187" s="192">
        <f t="shared" si="54"/>
        <v>0</v>
      </c>
      <c r="AK187" s="116"/>
      <c r="AL187" s="1205"/>
      <c r="AM187" s="31"/>
      <c r="AN187" s="1365"/>
      <c r="AO187" s="13">
        <v>105</v>
      </c>
      <c r="AP187" s="74"/>
      <c r="AQ187" s="149"/>
    </row>
    <row r="188" spans="1:43" s="14" customFormat="1" ht="38.450000000000003" hidden="1" customHeight="1" x14ac:dyDescent="0.75">
      <c r="A188" s="1360" t="s">
        <v>1241</v>
      </c>
      <c r="B188" s="146" t="s">
        <v>630</v>
      </c>
      <c r="C188" s="575" t="s">
        <v>196</v>
      </c>
      <c r="D188" s="147"/>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326"/>
      <c r="AB188" s="375"/>
      <c r="AC188" s="345"/>
      <c r="AD188" s="345"/>
      <c r="AE188" s="345"/>
      <c r="AF188" s="345"/>
      <c r="AG188" s="345"/>
      <c r="AH188" s="345"/>
      <c r="AI188" s="302"/>
      <c r="AJ188" s="188">
        <f t="shared" si="54"/>
        <v>0</v>
      </c>
      <c r="AK188" s="116"/>
      <c r="AL188" s="1205"/>
      <c r="AM188" s="31"/>
      <c r="AN188" s="1365"/>
      <c r="AO188" s="13">
        <v>106</v>
      </c>
      <c r="AP188" s="74"/>
      <c r="AQ188" s="149"/>
    </row>
    <row r="189" spans="1:43" s="14" customFormat="1" ht="38.450000000000003" hidden="1" customHeight="1" thickBot="1" x14ac:dyDescent="0.8">
      <c r="A189" s="1361"/>
      <c r="B189" s="150" t="s">
        <v>631</v>
      </c>
      <c r="C189" s="576" t="s">
        <v>197</v>
      </c>
      <c r="D189" s="151"/>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327"/>
      <c r="AB189" s="375"/>
      <c r="AC189" s="345"/>
      <c r="AD189" s="345"/>
      <c r="AE189" s="345"/>
      <c r="AF189" s="345"/>
      <c r="AG189" s="345"/>
      <c r="AH189" s="345"/>
      <c r="AI189" s="302"/>
      <c r="AJ189" s="192">
        <f t="shared" si="54"/>
        <v>0</v>
      </c>
      <c r="AK189" s="116"/>
      <c r="AL189" s="1205"/>
      <c r="AM189" s="31"/>
      <c r="AN189" s="1365"/>
      <c r="AO189" s="13">
        <v>107</v>
      </c>
      <c r="AP189" s="74"/>
      <c r="AQ189" s="149"/>
    </row>
    <row r="190" spans="1:43" s="14" customFormat="1" ht="38.450000000000003" hidden="1" customHeight="1" x14ac:dyDescent="0.75">
      <c r="A190" s="1360" t="s">
        <v>1243</v>
      </c>
      <c r="B190" s="146" t="s">
        <v>630</v>
      </c>
      <c r="C190" s="575" t="s">
        <v>198</v>
      </c>
      <c r="D190" s="147"/>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326"/>
      <c r="AB190" s="375"/>
      <c r="AC190" s="345"/>
      <c r="AD190" s="345"/>
      <c r="AE190" s="345"/>
      <c r="AF190" s="345"/>
      <c r="AG190" s="345"/>
      <c r="AH190" s="345"/>
      <c r="AI190" s="302"/>
      <c r="AJ190" s="188">
        <f t="shared" si="54"/>
        <v>0</v>
      </c>
      <c r="AK190" s="116"/>
      <c r="AL190" s="1205"/>
      <c r="AM190" s="31"/>
      <c r="AN190" s="1365"/>
      <c r="AO190" s="13">
        <v>108</v>
      </c>
      <c r="AP190" s="74"/>
      <c r="AQ190" s="149"/>
    </row>
    <row r="191" spans="1:43" s="14" customFormat="1" ht="38.450000000000003" hidden="1" customHeight="1" thickBot="1" x14ac:dyDescent="0.8">
      <c r="A191" s="1361"/>
      <c r="B191" s="150" t="s">
        <v>631</v>
      </c>
      <c r="C191" s="576" t="s">
        <v>199</v>
      </c>
      <c r="D191" s="151"/>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327"/>
      <c r="AB191" s="375"/>
      <c r="AC191" s="345"/>
      <c r="AD191" s="345"/>
      <c r="AE191" s="345"/>
      <c r="AF191" s="345"/>
      <c r="AG191" s="345"/>
      <c r="AH191" s="345"/>
      <c r="AI191" s="302"/>
      <c r="AJ191" s="192">
        <f t="shared" si="54"/>
        <v>0</v>
      </c>
      <c r="AK191" s="116"/>
      <c r="AL191" s="1205"/>
      <c r="AM191" s="31"/>
      <c r="AN191" s="1365"/>
      <c r="AO191" s="13">
        <v>109</v>
      </c>
      <c r="AP191" s="74"/>
      <c r="AQ191" s="149"/>
    </row>
    <row r="192" spans="1:43" s="14" customFormat="1" ht="38.450000000000003" hidden="1" customHeight="1" x14ac:dyDescent="0.75">
      <c r="A192" s="1360" t="s">
        <v>31</v>
      </c>
      <c r="B192" s="153" t="s">
        <v>630</v>
      </c>
      <c r="C192" s="577" t="s">
        <v>200</v>
      </c>
      <c r="D192" s="154"/>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319"/>
      <c r="AB192" s="375"/>
      <c r="AC192" s="345"/>
      <c r="AD192" s="345"/>
      <c r="AE192" s="345"/>
      <c r="AF192" s="345"/>
      <c r="AG192" s="345"/>
      <c r="AH192" s="345"/>
      <c r="AI192" s="302"/>
      <c r="AJ192" s="52">
        <f t="shared" si="54"/>
        <v>0</v>
      </c>
      <c r="AK192" s="116"/>
      <c r="AL192" s="1205"/>
      <c r="AM192" s="31"/>
      <c r="AN192" s="1365"/>
      <c r="AO192" s="13">
        <v>110</v>
      </c>
      <c r="AP192" s="74"/>
      <c r="AQ192" s="149"/>
    </row>
    <row r="193" spans="1:43" s="14" customFormat="1" ht="38.450000000000003" hidden="1" customHeight="1" thickBot="1" x14ac:dyDescent="0.8">
      <c r="A193" s="1399"/>
      <c r="B193" s="155" t="s">
        <v>631</v>
      </c>
      <c r="C193" s="798" t="s">
        <v>201</v>
      </c>
      <c r="D193" s="156"/>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328"/>
      <c r="AB193" s="375"/>
      <c r="AC193" s="345"/>
      <c r="AD193" s="345"/>
      <c r="AE193" s="345"/>
      <c r="AF193" s="345"/>
      <c r="AG193" s="345"/>
      <c r="AH193" s="345"/>
      <c r="AI193" s="302"/>
      <c r="AJ193" s="380">
        <f t="shared" si="54"/>
        <v>0</v>
      </c>
      <c r="AK193" s="122"/>
      <c r="AL193" s="1230"/>
      <c r="AM193" s="123"/>
      <c r="AN193" s="1366"/>
      <c r="AO193" s="13">
        <v>111</v>
      </c>
      <c r="AP193" s="74"/>
      <c r="AQ193" s="149"/>
    </row>
    <row r="194" spans="1:43" ht="34.5" hidden="1" customHeight="1" thickBot="1" x14ac:dyDescent="0.8">
      <c r="A194" s="1287" t="s">
        <v>1250</v>
      </c>
      <c r="B194" s="1288"/>
      <c r="C194" s="1145"/>
      <c r="D194" s="1145"/>
      <c r="E194" s="1145"/>
      <c r="F194" s="1145"/>
      <c r="G194" s="1145"/>
      <c r="H194" s="1145"/>
      <c r="I194" s="1145"/>
      <c r="J194" s="1145"/>
      <c r="K194" s="1145"/>
      <c r="L194" s="1145"/>
      <c r="M194" s="1145"/>
      <c r="N194" s="1145"/>
      <c r="O194" s="1145"/>
      <c r="P194" s="1145"/>
      <c r="Q194" s="1145"/>
      <c r="R194" s="1145"/>
      <c r="S194" s="1145"/>
      <c r="T194" s="1145"/>
      <c r="U194" s="1145"/>
      <c r="V194" s="1145"/>
      <c r="W194" s="1145"/>
      <c r="X194" s="1145"/>
      <c r="Y194" s="1145"/>
      <c r="Z194" s="1145"/>
      <c r="AA194" s="1145"/>
      <c r="AB194" s="1194"/>
      <c r="AC194" s="1194"/>
      <c r="AD194" s="1194"/>
      <c r="AE194" s="1194"/>
      <c r="AF194" s="1194"/>
      <c r="AG194" s="1194"/>
      <c r="AH194" s="1194"/>
      <c r="AI194" s="1194"/>
      <c r="AJ194" s="1144"/>
      <c r="AK194" s="1145"/>
      <c r="AL194" s="1144"/>
      <c r="AM194" s="1144"/>
      <c r="AN194" s="1146"/>
      <c r="AO194" s="13">
        <v>97</v>
      </c>
      <c r="AP194" s="74"/>
      <c r="AQ194" s="75"/>
    </row>
    <row r="195" spans="1:43" s="61" customFormat="1" ht="67.150000000000006" hidden="1" customHeight="1" thickBot="1" x14ac:dyDescent="0.8">
      <c r="A195" s="835" t="s">
        <v>1248</v>
      </c>
      <c r="B195" s="501" t="s">
        <v>1217</v>
      </c>
      <c r="C195" s="994" t="s">
        <v>1247</v>
      </c>
      <c r="D195" s="141"/>
      <c r="E195" s="89"/>
      <c r="F195" s="89"/>
      <c r="G195" s="89"/>
      <c r="H195" s="89"/>
      <c r="I195" s="89"/>
      <c r="J195" s="89"/>
      <c r="K195" s="89"/>
      <c r="L195" s="89"/>
      <c r="M195" s="89"/>
      <c r="N195" s="89"/>
      <c r="O195" s="89"/>
      <c r="P195" s="89"/>
      <c r="Q195" s="89"/>
      <c r="R195" s="89"/>
      <c r="S195" s="89"/>
      <c r="T195" s="89"/>
      <c r="U195" s="89"/>
      <c r="V195" s="89"/>
      <c r="W195" s="89"/>
      <c r="X195" s="89"/>
      <c r="Y195" s="89"/>
      <c r="Z195" s="89"/>
      <c r="AA195" s="309"/>
      <c r="AB195" s="375"/>
      <c r="AC195" s="345"/>
      <c r="AD195" s="345"/>
      <c r="AE195" s="345"/>
      <c r="AF195" s="345"/>
      <c r="AG195" s="345"/>
      <c r="AH195" s="345"/>
      <c r="AI195" s="302"/>
      <c r="AJ195" s="192">
        <f t="shared" ref="AJ195" si="55">SUM(D195:AA195)</f>
        <v>0</v>
      </c>
      <c r="AK195" s="797"/>
      <c r="AL195" s="1204" t="str">
        <f>CONCATENATE(AK195,AK196,AK197,AK198,AK199,AK200,AK201,AK202,AK203,AK204,AK205,AK206,AK207)</f>
        <v/>
      </c>
      <c r="AM195" s="60"/>
      <c r="AN195" s="796"/>
      <c r="AO195" s="13">
        <v>101</v>
      </c>
      <c r="AP195" s="80"/>
      <c r="AQ195" s="75"/>
    </row>
    <row r="196" spans="1:43" s="61" customFormat="1" ht="45.4" hidden="1" customHeight="1" x14ac:dyDescent="0.75">
      <c r="A196" s="1132" t="s">
        <v>1223</v>
      </c>
      <c r="B196" s="801" t="s">
        <v>1207</v>
      </c>
      <c r="C196" s="868" t="s">
        <v>1225</v>
      </c>
      <c r="D196" s="236"/>
      <c r="E196" s="94"/>
      <c r="F196" s="94"/>
      <c r="G196" s="94"/>
      <c r="H196" s="94"/>
      <c r="I196" s="94"/>
      <c r="J196" s="94"/>
      <c r="K196" s="94"/>
      <c r="L196" s="94"/>
      <c r="M196" s="94"/>
      <c r="N196" s="94"/>
      <c r="O196" s="94"/>
      <c r="P196" s="94"/>
      <c r="Q196" s="94"/>
      <c r="R196" s="94"/>
      <c r="S196" s="94"/>
      <c r="T196" s="94"/>
      <c r="U196" s="94"/>
      <c r="V196" s="94"/>
      <c r="W196" s="94"/>
      <c r="X196" s="94"/>
      <c r="Y196" s="94"/>
      <c r="Z196" s="94"/>
      <c r="AA196" s="310"/>
      <c r="AB196" s="373"/>
      <c r="AC196" s="374"/>
      <c r="AD196" s="374"/>
      <c r="AE196" s="374"/>
      <c r="AF196" s="374"/>
      <c r="AG196" s="374"/>
      <c r="AH196" s="374"/>
      <c r="AI196" s="305"/>
      <c r="AJ196" s="188">
        <f>SUM(D196:AA196)</f>
        <v>0</v>
      </c>
      <c r="AK196" s="139" t="str">
        <f>CONCATENATE(IF(D198&gt;D196," * Completed Other Forms Of TPT for Age "&amp;D32&amp;" "&amp;D33&amp;" is more than Initiated on  Other Forms of TPT"&amp;CHAR(10),""),IF(E198&gt;E196," * Completed Other Forms Of TPT for Age "&amp;D32&amp;" "&amp;E33&amp;" is more than Initiated on  Other Forms of TPT"&amp;CHAR(10),""),IF(F198&gt;F196," * Completed Other Forms Of TPT for Age "&amp;F32&amp;" "&amp;F33&amp;" is more than Initiated on  Other Forms of TPT"&amp;CHAR(10),""),IF(G198&gt;G196," * Completed Other Forms Of TPT for Age "&amp;F32&amp;" "&amp;G33&amp;" is more than Initiated on  Other Forms of TPT"&amp;CHAR(10),""),IF(H198&gt;H196," * Completed Other Forms Of TPT for Age "&amp;H32&amp;" "&amp;H33&amp;" is more than Initiated on  Other Forms of TPT"&amp;CHAR(10),""),IF(I198&gt;I196," * Completed Other Forms Of TPT for Age "&amp;H32&amp;" "&amp;I33&amp;" is more than Initiated on  Other Forms of TPT"&amp;CHAR(10),""),IF(J198&gt;J196," * Completed Other Forms Of TPT for Age "&amp;J32&amp;" "&amp;J33&amp;" is more than Initiated on  Other Forms of TPT"&amp;CHAR(10),""),IF(K198&gt;K196," * Completed Other Forms Of TPT for Age "&amp;J32&amp;" "&amp;K33&amp;" is more than Initiated on  Other Forms of TPT"&amp;CHAR(10),""),IF(L198&gt;L196," * Completed Other Forms Of TPT for Age "&amp;L32&amp;" "&amp;L33&amp;" is more than Initiated on  Other Forms of TPT"&amp;CHAR(10),""),IF(M198&gt;M196," * Completed Other Forms Of TPT for Age "&amp;L32&amp;" "&amp;M33&amp;" is more than Initiated on  Other Forms of TPT"&amp;CHAR(10),""),IF(N198&gt;N196," * Completed Other Forms Of TPT for Age "&amp;N32&amp;" "&amp;N33&amp;" is more than Initiated on  Other Forms of TPT"&amp;CHAR(10),""),IF(O198&gt;O196," * Completed Other Forms Of TPT for Age "&amp;N32&amp;" "&amp;O33&amp;" is more than Initiated on  Other Forms of TPT"&amp;CHAR(10),""),IF(P198&gt;P196," * Completed Other Forms Of TPT for Age "&amp;P32&amp;" "&amp;P33&amp;" is more than Initiated on  Other Forms of TPT"&amp;CHAR(10),""),IF(Q198&gt;Q196," * Completed Other Forms Of TPT for Age "&amp;P32&amp;" "&amp;Q33&amp;" is more than Initiated on  Other Forms of TPT"&amp;CHAR(10),""),IF(R198&gt;R196," * Completed Other Forms Of TPT for Age "&amp;R32&amp;" "&amp;R33&amp;" is more than Initiated on  Other Forms of TPT"&amp;CHAR(10),""),IF(S198&gt;S196," * Completed Other Forms Of TPT for Age "&amp;R32&amp;" "&amp;S33&amp;" is more than Initiated on  Other Forms of TPT"&amp;CHAR(10),""),IF(T198&gt;T196," * Completed Other Forms Of TPT for Age "&amp;T32&amp;" "&amp;T33&amp;" is more than Initiated on  Other Forms of TPT"&amp;CHAR(10),""),IF(U198&gt;U196," * Completed Other Forms Of TPT for Age "&amp;T32&amp;" "&amp;U33&amp;" is more than Initiated on  Other Forms of TPT"&amp;CHAR(10),""),IF(V198&gt;V196," * Completed Other Forms Of TPT for Age "&amp;V32&amp;" "&amp;V33&amp;" is more than Initiated on  Other Forms of TPT"&amp;CHAR(10),""),IF(W198&gt;W196," * Completed Other Forms Of TPT for Age "&amp;V32&amp;" "&amp;W33&amp;" is more than Initiated on  Other Forms of TPT"&amp;CHAR(10),""),IF(X198&gt;X196," * Completed Other Forms Of TPT for Age "&amp;X32&amp;" "&amp;X33&amp;" is more than Initiated on  Other Forms of TPT"&amp;CHAR(10),""),IF(Y198&gt;Y196," * Completed Other Forms Of TPT for Age "&amp;X32&amp;" "&amp;Y33&amp;" is more than Initiated on  Other Forms of TPT"&amp;CHAR(10),""),IF(Z198&gt;Z196," * Completed Other Forms Of TPT for Age "&amp;Z32&amp;" "&amp;Z33&amp;" is more than Initiated on  Other Forms of TPT"&amp;CHAR(10),""),IF(AA198&gt;AA196," * Completed Other Forms Of TPT for Age "&amp;Z32&amp;" "&amp;AA33&amp;" is more than Initiated on  Other Forms of TPT"&amp;CHAR(10),""))</f>
        <v/>
      </c>
      <c r="AL196" s="1205"/>
      <c r="AM196" s="140"/>
      <c r="AN196" s="126"/>
      <c r="AO196" s="13">
        <v>100</v>
      </c>
      <c r="AP196" s="80"/>
      <c r="AQ196" s="75"/>
    </row>
    <row r="197" spans="1:43" s="61" customFormat="1" ht="46.5" hidden="1" customHeight="1" thickBot="1" x14ac:dyDescent="0.8">
      <c r="A197" s="1134"/>
      <c r="B197" s="802" t="s">
        <v>1208</v>
      </c>
      <c r="C197" s="869" t="s">
        <v>1226</v>
      </c>
      <c r="D197" s="141"/>
      <c r="E197" s="89"/>
      <c r="F197" s="89"/>
      <c r="G197" s="89"/>
      <c r="H197" s="89"/>
      <c r="I197" s="89"/>
      <c r="J197" s="89"/>
      <c r="K197" s="89"/>
      <c r="L197" s="89"/>
      <c r="M197" s="89"/>
      <c r="N197" s="89"/>
      <c r="O197" s="89"/>
      <c r="P197" s="89"/>
      <c r="Q197" s="89"/>
      <c r="R197" s="89"/>
      <c r="S197" s="89"/>
      <c r="T197" s="89"/>
      <c r="U197" s="89"/>
      <c r="V197" s="89"/>
      <c r="W197" s="89"/>
      <c r="X197" s="89"/>
      <c r="Y197" s="89"/>
      <c r="Z197" s="89"/>
      <c r="AA197" s="309"/>
      <c r="AB197" s="376"/>
      <c r="AC197" s="377"/>
      <c r="AD197" s="377"/>
      <c r="AE197" s="377"/>
      <c r="AF197" s="377"/>
      <c r="AG197" s="377"/>
      <c r="AH197" s="377"/>
      <c r="AI197" s="303"/>
      <c r="AJ197" s="192">
        <f t="shared" ref="AJ197:AJ207" si="56">SUM(D197:AA197)</f>
        <v>0</v>
      </c>
      <c r="AK197" s="797"/>
      <c r="AL197" s="1205"/>
      <c r="AM197" s="60"/>
      <c r="AN197" s="126"/>
      <c r="AO197" s="13">
        <v>101</v>
      </c>
      <c r="AP197" s="80"/>
      <c r="AQ197" s="75"/>
    </row>
    <row r="198" spans="1:43" ht="46.5" hidden="1" customHeight="1" x14ac:dyDescent="0.75">
      <c r="A198" s="1398" t="s">
        <v>1224</v>
      </c>
      <c r="B198" s="69" t="s">
        <v>1209</v>
      </c>
      <c r="C198" s="872" t="s">
        <v>1227</v>
      </c>
      <c r="D198" s="197"/>
      <c r="E198" s="799"/>
      <c r="F198" s="799"/>
      <c r="G198" s="799"/>
      <c r="H198" s="799"/>
      <c r="I198" s="799"/>
      <c r="J198" s="799"/>
      <c r="K198" s="799"/>
      <c r="L198" s="799"/>
      <c r="M198" s="799"/>
      <c r="N198" s="799"/>
      <c r="O198" s="799"/>
      <c r="P198" s="799"/>
      <c r="Q198" s="799"/>
      <c r="R198" s="799"/>
      <c r="S198" s="799"/>
      <c r="T198" s="799"/>
      <c r="U198" s="799"/>
      <c r="V198" s="799"/>
      <c r="W198" s="799"/>
      <c r="X198" s="799"/>
      <c r="Y198" s="799"/>
      <c r="Z198" s="799"/>
      <c r="AA198" s="800"/>
      <c r="AB198" s="375"/>
      <c r="AC198" s="345"/>
      <c r="AD198" s="345"/>
      <c r="AE198" s="345"/>
      <c r="AF198" s="345"/>
      <c r="AG198" s="345"/>
      <c r="AH198" s="345"/>
      <c r="AI198" s="302"/>
      <c r="AJ198" s="52">
        <f t="shared" si="56"/>
        <v>0</v>
      </c>
      <c r="AK198" s="797" t="str">
        <f>CONCATENATE(IF(D198&gt;D196," * F03-03 for Age "&amp;D36&amp;" "&amp;D37&amp;" is more than F03-01"&amp;CHAR(10),""),IF(E198&gt;E196," * F03-03 for Age "&amp;D36&amp;" "&amp;E37&amp;" is more than F03-01"&amp;CHAR(10),""),IF(F198&gt;F196," * F03-03 for Age "&amp;F36&amp;" "&amp;F37&amp;" is more than F03-01"&amp;CHAR(10),""),IF(G198&gt;G196," * F03-03 for Age "&amp;F36&amp;" "&amp;G37&amp;" is more than F03-01"&amp;CHAR(10),""),IF(H198&gt;H196," * F03-03 for Age "&amp;H36&amp;" "&amp;H37&amp;" is more than F03-01"&amp;CHAR(10),""),IF(I198&gt;I196," * F03-03 for Age "&amp;H36&amp;" "&amp;I37&amp;" is more than F03-01"&amp;CHAR(10),""),IF(J198&gt;J196," * F03-03 for Age "&amp;J36&amp;" "&amp;J37&amp;" is more than F03-01"&amp;CHAR(10),""),IF(K198&gt;K196," * F03-03 for Age "&amp;J36&amp;" "&amp;K37&amp;" is more than F03-01"&amp;CHAR(10),""),IF(L198&gt;L196," * F03-03 for Age "&amp;L36&amp;" "&amp;L37&amp;" is more than F03-01"&amp;CHAR(10),""),IF(M198&gt;M196," * F03-03 for Age "&amp;L36&amp;" "&amp;M37&amp;" is more than F03-01"&amp;CHAR(10),""),IF(N198&gt;N196," * F03-03 for Age "&amp;N36&amp;" "&amp;N37&amp;" is more than F03-01"&amp;CHAR(10),""),IF(O198&gt;O196," * F03-03 for Age "&amp;N36&amp;" "&amp;O37&amp;" is more than F03-01"&amp;CHAR(10),""),IF(P198&gt;P196," * F03-03 for Age "&amp;P36&amp;" "&amp;P37&amp;" is more than F03-01"&amp;CHAR(10),""),IF(Q198&gt;Q196," * F03-03 for Age "&amp;P36&amp;" "&amp;Q37&amp;" is more than F03-01"&amp;CHAR(10),""),IF(R198&gt;R196," * F03-03 for Age "&amp;R36&amp;" "&amp;R37&amp;" is more than F03-01"&amp;CHAR(10),""),IF(S198&gt;S196," * F03-03 for Age "&amp;R36&amp;" "&amp;S37&amp;" is more than F03-01"&amp;CHAR(10),""),IF(T198&gt;T196," * F03-03 for Age "&amp;T36&amp;" "&amp;T37&amp;" is more than F03-01"&amp;CHAR(10),""),IF(U198&gt;U196," * F03-03 for Age "&amp;T36&amp;" "&amp;U37&amp;" is more than F03-01"&amp;CHAR(10),""),IF(V198&gt;V196," * F03-03 for Age "&amp;V36&amp;" "&amp;V37&amp;" is more than F03-01"&amp;CHAR(10),""),IF(W198&gt;W196," * F03-03 for Age "&amp;V36&amp;" "&amp;W37&amp;" is more than F03-01"&amp;CHAR(10),""),IF(X198&gt;X196," * F03-03 for Age "&amp;X36&amp;" "&amp;X37&amp;" is more than F03-01"&amp;CHAR(10),""),IF(Y198&gt;Y196," * F03-03 for Age "&amp;X36&amp;" "&amp;Y37&amp;" is more than F03-01"&amp;CHAR(10),""),IF(Z198&gt;Z196," * F03-03 for Age "&amp;Z36&amp;" "&amp;Z37&amp;" is more than F03-01"&amp;CHAR(10),""),IF(AA198&gt;AA196," * F03-03 for Age "&amp;Z36&amp;" "&amp;AA37&amp;" is more than F03-01"&amp;CHAR(10),""))</f>
        <v/>
      </c>
      <c r="AL198" s="1205"/>
      <c r="AM198" s="31"/>
      <c r="AN198" s="126"/>
      <c r="AO198" s="13">
        <v>102</v>
      </c>
      <c r="AP198" s="74"/>
      <c r="AQ198" s="75"/>
    </row>
    <row r="199" spans="1:43" ht="40.9" hidden="1" customHeight="1" thickBot="1" x14ac:dyDescent="0.8">
      <c r="A199" s="1134"/>
      <c r="B199" s="87" t="s">
        <v>1208</v>
      </c>
      <c r="C199" s="869" t="s">
        <v>1228</v>
      </c>
      <c r="D199" s="144"/>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325"/>
      <c r="AB199" s="375"/>
      <c r="AC199" s="345"/>
      <c r="AD199" s="345"/>
      <c r="AE199" s="345"/>
      <c r="AF199" s="345"/>
      <c r="AG199" s="345"/>
      <c r="AH199" s="345"/>
      <c r="AI199" s="302"/>
      <c r="AJ199" s="192">
        <f t="shared" si="56"/>
        <v>0</v>
      </c>
      <c r="AK199" s="797" t="str">
        <f>CONCATENATE(IF(D199&gt;D197," * Already On ART Completed IPT for Age "&amp;D36&amp;" "&amp;D37&amp;" is more than Already On ART Initiated on Other Forms of  IPT"&amp;CHAR(10),""),IF(E199&gt;E197," * Already On ART Completed IPT for Age "&amp;D36&amp;" "&amp;E37&amp;" is more than Already On ART Initiated on Other Forms of  IPT"&amp;CHAR(10),""),IF(F199&gt;F197," * Already On ART Completed IPT for Age "&amp;F36&amp;" "&amp;F37&amp;" is more than Already On ART Initiated on Other Forms of  IPT"&amp;CHAR(10),""),IF(G199&gt;G197," * Already On ART Completed IPT for Age "&amp;F36&amp;" "&amp;G37&amp;" is more than Already On ART Initiated on Other Forms of  IPT"&amp;CHAR(10),""),IF(H199&gt;H197," * Already On ART Completed IPT for Age "&amp;H36&amp;" "&amp;H37&amp;" is more than Already On ART Initiated on Other Forms of  IPT"&amp;CHAR(10),""),IF(I199&gt;I197," * Already On ART Completed IPT for Age "&amp;H36&amp;" "&amp;I37&amp;" is more than Already On ART Initiated on Other Forms of  IPT"&amp;CHAR(10),""),IF(J199&gt;J197," * Already On ART Completed IPT for Age "&amp;J36&amp;" "&amp;J37&amp;" is more than Already On ART Initiated on Other Forms of  IPT"&amp;CHAR(10),""),IF(K199&gt;K197," * Already On ART Completed IPT for Age "&amp;J36&amp;" "&amp;K37&amp;" is more than Already On ART Initiated on Other Forms of  IPT"&amp;CHAR(10),""),IF(L199&gt;L197," * Already On ART Completed IPT for Age "&amp;L36&amp;" "&amp;L37&amp;" is more than Already On ART Initiated on Other Forms of  IPT"&amp;CHAR(10),""),IF(M199&gt;M197," * Already On ART Completed IPT for Age "&amp;L36&amp;" "&amp;M37&amp;" is more than Already On ART Initiated on Other Forms of  IPT"&amp;CHAR(10),""),IF(N199&gt;N197," * Already On ART Completed IPT for Age "&amp;N36&amp;" "&amp;N37&amp;" is more than Already On ART Initiated on Other Forms of  IPT"&amp;CHAR(10),""),IF(O199&gt;O197," * Already On ART Completed IPT for Age "&amp;N36&amp;" "&amp;O37&amp;" is more than Already On ART Initiated on Other Forms of  IPT"&amp;CHAR(10),""),IF(P199&gt;P197," * Already On ART Completed IPT for Age "&amp;P36&amp;" "&amp;P37&amp;" is more than Already On ART Initiated on Other Forms of  IPT"&amp;CHAR(10),""),IF(Q199&gt;Q197," * Already On ART Completed IPT for Age "&amp;P36&amp;" "&amp;Q37&amp;" is more than Already On ART Initiated on Other Forms of  IPT"&amp;CHAR(10),""),IF(R199&gt;R197," * Already On ART Completed IPT for Age "&amp;R36&amp;" "&amp;R37&amp;" is more than Already On ART Initiated on Other Forms of  IPT"&amp;CHAR(10),""),IF(S199&gt;S197," * Already On ART Completed IPT for Age "&amp;R36&amp;" "&amp;S37&amp;" is more than Already On ART Initiated on Other Forms of  IPT"&amp;CHAR(10),""),IF(T199&gt;T197," * Already On ART Completed IPT for Age "&amp;T36&amp;" "&amp;T37&amp;" is more than Already On ART Initiated on Other Forms of  IPT"&amp;CHAR(10),""),IF(U199&gt;U197," * Already On ART Completed IPT for Age "&amp;T36&amp;" "&amp;U37&amp;" is more than Already On ART Initiated on Other Forms of  IPT"&amp;CHAR(10),""),IF(V199&gt;V197," * Already On ART Completed IPT for Age "&amp;V36&amp;" "&amp;V37&amp;" is more than Already On ART Initiated on Other Forms of  IPT"&amp;CHAR(10),""),IF(W199&gt;W197," * Already On ART Completed IPT for Age "&amp;V36&amp;" "&amp;W37&amp;" is more than Already On ART Initiated on Other Forms of  IPT"&amp;CHAR(10),""),IF(X199&gt;X197," * Already On ART Completed IPT for Age "&amp;X36&amp;" "&amp;X37&amp;" is more than Already On ART Initiated on Other Forms of  IPT"&amp;CHAR(10),""),IF(Y199&gt;Y197," * Already On ART Completed IPT for Age "&amp;X36&amp;" "&amp;Y37&amp;" is more than Already On ART Initiated on Other Forms of  IPT"&amp;CHAR(10),""),IF(Z199&gt;Z197," * Already On ART Completed IPT for Age "&amp;Z36&amp;" "&amp;Z37&amp;" is more than Already On ART Initiated on Other Forms of  IPT"&amp;CHAR(10),""),IF(AA199&gt;AA197," * Already On ART Completed IPT for Age "&amp;Z36&amp;" "&amp;AA37&amp;" is more than Already On ART Initiated on Other Forms of  IPT"&amp;CHAR(10),""))</f>
        <v/>
      </c>
      <c r="AL199" s="1205"/>
      <c r="AM199" s="31"/>
      <c r="AN199" s="126"/>
      <c r="AO199" s="13">
        <v>103</v>
      </c>
      <c r="AP199" s="74"/>
      <c r="AQ199" s="75"/>
    </row>
    <row r="200" spans="1:43" s="14" customFormat="1" ht="44.85" hidden="1" customHeight="1" x14ac:dyDescent="0.75">
      <c r="A200" s="1360" t="s">
        <v>1238</v>
      </c>
      <c r="B200" s="146" t="s">
        <v>630</v>
      </c>
      <c r="C200" s="868" t="s">
        <v>1229</v>
      </c>
      <c r="D200" s="147"/>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326"/>
      <c r="AB200" s="375"/>
      <c r="AC200" s="345"/>
      <c r="AD200" s="345"/>
      <c r="AE200" s="345"/>
      <c r="AF200" s="345"/>
      <c r="AG200" s="345"/>
      <c r="AH200" s="345"/>
      <c r="AI200" s="302"/>
      <c r="AJ200" s="188">
        <f t="shared" si="56"/>
        <v>0</v>
      </c>
      <c r="AK200" s="797" t="str">
        <f>CONCATENATE(IF(D196&lt;&gt;SUM(D198,D200,D202,D204,D206),"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)"&amp;CHAR(10),""),IF(E196&lt;&gt;SUM(E198,E200,E202,E204,E206),"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"&amp;CHAR(10),""),IF(F196&lt;&gt;SUM(F198,F200,F202,F204,F206),"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)"&amp;CHAR(10),""),IF(G196&lt;&gt;SUM(G198,G200,G202,G204,G206),"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"&amp;CHAR(10),""),IF(H196&lt;&gt;SUM(H198,H200,H202,H204,H206),"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)"&amp;CHAR(10),""),IF(I196&lt;&gt;SUM(I198,I200,I202,I204,I206),"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"&amp;CHAR(10),""),IF(J196&lt;&gt;SUM(J198,J200,J202,J204,J206),"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)"&amp;CHAR(10),""),IF(K196&lt;&gt;SUM(K198,K200,K202,K204,K206),"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"&amp;CHAR(10),""),IF(L196&lt;&gt;SUM(L198,L200,L202,L204,L206),"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)"&amp;CHAR(10),""),IF(M196&lt;&gt;SUM(M198,M200,M202,M204,M206),"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"&amp;CHAR(10),""),IF(N196&lt;&gt;SUM(N198,N200,N202,N204,N206),"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)"&amp;CHAR(10),""),IF(O196&lt;&gt;SUM(O198,O200,O202,O204,O206),"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"&amp;CHAR(10),""),IF(P196&lt;&gt;SUM(P198,P200,P202,P204,P206),"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)"&amp;CHAR(10),""),IF(Q196&lt;&gt;SUM(Q198,Q200,Q202,Q204,Q206),"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"&amp;CHAR(10),""),IF(R196&lt;&gt;SUM(R198,R200,R202,R204,R206),"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)"&amp;CHAR(10),""),IF(S196&lt;&gt;SUM(S198,S200,S202,S204,S206),"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"&amp;CHAR(10),""),IF(T196&lt;&gt;SUM(T198,T200,T202,T204,T206),"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)"&amp;CHAR(10),""),IF(U196&lt;&gt;SUM(U198,U200,U202,U204,U206),"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"&amp;CHAR(10),""),IF(V196&lt;&gt;SUM(V198,V200,V202,V204,V206),"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)"&amp;CHAR(10),""),IF(W196&lt;&gt;SUM(W198,W200,W202,W204,W206),"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"&amp;CHAR(10),""),IF(X196&lt;&gt;SUM(X198,X200,X202,X204,X206),"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)"&amp;CHAR(10),""),IF(Y196&lt;&gt;SUM(Y198,Y200,Y202,Y204,Y206),"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"&amp;CHAR(10),""),IF(Z196&lt;&gt;SUM(Z198,Z200,Z202,Z204,Z206),"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)"&amp;CHAR(10),""),IF(AA196&lt;&gt;SUM(AA198,AA200,AA202,AA204,AA206),"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0" s="1205"/>
      <c r="AM200" s="31"/>
      <c r="AN200" s="126"/>
      <c r="AO200" s="13">
        <v>104</v>
      </c>
      <c r="AP200" s="74"/>
      <c r="AQ200" s="149"/>
    </row>
    <row r="201" spans="1:43" s="14" customFormat="1" ht="44.85" hidden="1" customHeight="1" thickBot="1" x14ac:dyDescent="0.8">
      <c r="A201" s="1361"/>
      <c r="B201" s="150" t="s">
        <v>631</v>
      </c>
      <c r="C201" s="869" t="s">
        <v>1230</v>
      </c>
      <c r="D201" s="151"/>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327"/>
      <c r="AB201" s="375"/>
      <c r="AC201" s="345"/>
      <c r="AD201" s="345"/>
      <c r="AE201" s="345"/>
      <c r="AF201" s="345"/>
      <c r="AG201" s="345"/>
      <c r="AH201" s="345"/>
      <c r="AI201" s="302"/>
      <c r="AJ201" s="192">
        <f t="shared" si="56"/>
        <v>0</v>
      </c>
      <c r="AK201" s="797" t="str">
        <f>CONCATENATE(IF(D197&lt;&gt;SUM(D199,D201,D203,D205,D207),"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)"&amp;CHAR(10),""),IF(E197&lt;&gt;SUM(E199,E201,E203,E205,E207),"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"&amp;CHAR(10),""),IF(F197&lt;&gt;SUM(F199,F201,F203,F205,F207),"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)"&amp;CHAR(10),""),IF(G197&lt;&gt;SUM(G199,G201,G203,G205,G207),"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"&amp;CHAR(10),""),IF(H197&lt;&gt;SUM(H199,H201,H203,H205,H207),"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)"&amp;CHAR(10),""),IF(I197&lt;&gt;SUM(I199,I201,I203,I205,I207),"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"&amp;CHAR(10),""),IF(J197&lt;&gt;SUM(J199,J201,J203,J205,J207),"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)"&amp;CHAR(10),""),IF(K197&lt;&gt;SUM(K199,K201,K203,K205,K207),"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"&amp;CHAR(10),""),IF(L197&lt;&gt;SUM(L199,L201,L203,L205,L207),"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)"&amp;CHAR(10),""),IF(M197&lt;&gt;SUM(M199,M201,M203,M205,M207),"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"&amp;CHAR(10),""),IF(N197&lt;&gt;SUM(N199,N201,N203,N205,N207),"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)"&amp;CHAR(10),""),IF(O197&lt;&gt;SUM(O199,O201,O203,O205,O207),"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"&amp;CHAR(10),""),IF(P197&lt;&gt;SUM(P199,P201,P203,P205,P207),"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)"&amp;CHAR(10),""),IF(Q197&lt;&gt;SUM(Q199,Q201,Q203,Q205,Q207),"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"&amp;CHAR(10),""),IF(R197&lt;&gt;SUM(R199,R201,R203,R205,R207),"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)"&amp;CHAR(10),""),IF(S197&lt;&gt;SUM(S199,S201,S203,S205,S207),"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"&amp;CHAR(10),""),IF(T197&lt;&gt;SUM(T199,T201,T203,T205,T207),"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)"&amp;CHAR(10),""),IF(U197&lt;&gt;SUM(U199,U201,U203,U205,U207),"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"&amp;CHAR(10),""),IF(V197&lt;&gt;SUM(V199,V201,V203,V205,V207),"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)"&amp;CHAR(10),""),IF(W197&lt;&gt;SUM(W199,W201,W203,W205,W207),"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"&amp;CHAR(10),""),IF(X197&lt;&gt;SUM(X199,X201,X203,X205,X207),"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)"&amp;CHAR(10),""),IF(Y197&lt;&gt;SUM(Y199,Y201,Y203,Y205,Y207),"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"&amp;CHAR(10),""),IF(Z197&lt;&gt;SUM(Z199,Z201,Z203,Z205,Z207),"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)"&amp;CHAR(10),""),IF(AA197&lt;&gt;SUM(AA199,AA201,AA203,AA205,AA207),"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1" s="1205"/>
      <c r="AM201" s="31"/>
      <c r="AN201" s="126"/>
      <c r="AO201" s="13">
        <v>105</v>
      </c>
      <c r="AP201" s="74"/>
      <c r="AQ201" s="149"/>
    </row>
    <row r="202" spans="1:43" s="14" customFormat="1" ht="44.85" hidden="1" customHeight="1" x14ac:dyDescent="0.75">
      <c r="A202" s="1360" t="s">
        <v>1237</v>
      </c>
      <c r="B202" s="146" t="s">
        <v>630</v>
      </c>
      <c r="C202" s="868" t="s">
        <v>1231</v>
      </c>
      <c r="D202" s="147"/>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326"/>
      <c r="AB202" s="375"/>
      <c r="AC202" s="345"/>
      <c r="AD202" s="345"/>
      <c r="AE202" s="345"/>
      <c r="AF202" s="345"/>
      <c r="AG202" s="345"/>
      <c r="AH202" s="345"/>
      <c r="AI202" s="302"/>
      <c r="AJ202" s="188">
        <f t="shared" si="56"/>
        <v>0</v>
      </c>
      <c r="AK202" s="797"/>
      <c r="AL202" s="1205"/>
      <c r="AM202" s="31"/>
      <c r="AN202" s="126"/>
      <c r="AO202" s="13">
        <v>106</v>
      </c>
      <c r="AP202" s="74"/>
      <c r="AQ202" s="149"/>
    </row>
    <row r="203" spans="1:43" s="14" customFormat="1" ht="44.85" hidden="1" customHeight="1" thickBot="1" x14ac:dyDescent="0.8">
      <c r="A203" s="1361"/>
      <c r="B203" s="150" t="s">
        <v>631</v>
      </c>
      <c r="C203" s="869" t="s">
        <v>1232</v>
      </c>
      <c r="D203" s="151"/>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327"/>
      <c r="AB203" s="375"/>
      <c r="AC203" s="345"/>
      <c r="AD203" s="345"/>
      <c r="AE203" s="345"/>
      <c r="AF203" s="345"/>
      <c r="AG203" s="345"/>
      <c r="AH203" s="345"/>
      <c r="AI203" s="302"/>
      <c r="AJ203" s="192">
        <f t="shared" si="56"/>
        <v>0</v>
      </c>
      <c r="AK203" s="797"/>
      <c r="AL203" s="1205"/>
      <c r="AM203" s="31"/>
      <c r="AN203" s="126"/>
      <c r="AO203" s="13">
        <v>107</v>
      </c>
      <c r="AP203" s="74"/>
      <c r="AQ203" s="149"/>
    </row>
    <row r="204" spans="1:43" s="14" customFormat="1" ht="44.85" hidden="1" customHeight="1" x14ac:dyDescent="0.75">
      <c r="A204" s="1360" t="s">
        <v>1239</v>
      </c>
      <c r="B204" s="146" t="s">
        <v>630</v>
      </c>
      <c r="C204" s="868" t="s">
        <v>1233</v>
      </c>
      <c r="D204" s="147"/>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326"/>
      <c r="AB204" s="375"/>
      <c r="AC204" s="345"/>
      <c r="AD204" s="345"/>
      <c r="AE204" s="345"/>
      <c r="AF204" s="345"/>
      <c r="AG204" s="345"/>
      <c r="AH204" s="345"/>
      <c r="AI204" s="302"/>
      <c r="AJ204" s="188">
        <f t="shared" si="56"/>
        <v>0</v>
      </c>
      <c r="AK204" s="797"/>
      <c r="AL204" s="1205"/>
      <c r="AM204" s="31"/>
      <c r="AN204" s="126"/>
      <c r="AO204" s="13">
        <v>108</v>
      </c>
      <c r="AP204" s="74"/>
      <c r="AQ204" s="149"/>
    </row>
    <row r="205" spans="1:43" s="14" customFormat="1" ht="44.85" hidden="1" customHeight="1" thickBot="1" x14ac:dyDescent="0.8">
      <c r="A205" s="1361"/>
      <c r="B205" s="150" t="s">
        <v>631</v>
      </c>
      <c r="C205" s="869" t="s">
        <v>1234</v>
      </c>
      <c r="D205" s="151"/>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327"/>
      <c r="AB205" s="375"/>
      <c r="AC205" s="345"/>
      <c r="AD205" s="345"/>
      <c r="AE205" s="345"/>
      <c r="AF205" s="345"/>
      <c r="AG205" s="345"/>
      <c r="AH205" s="345"/>
      <c r="AI205" s="302"/>
      <c r="AJ205" s="192">
        <f t="shared" si="56"/>
        <v>0</v>
      </c>
      <c r="AK205" s="797"/>
      <c r="AL205" s="1205"/>
      <c r="AM205" s="31"/>
      <c r="AN205" s="126"/>
      <c r="AO205" s="13">
        <v>109</v>
      </c>
      <c r="AP205" s="74"/>
      <c r="AQ205" s="149"/>
    </row>
    <row r="206" spans="1:43" s="14" customFormat="1" ht="44.85" hidden="1" customHeight="1" x14ac:dyDescent="0.75">
      <c r="A206" s="1360" t="s">
        <v>1240</v>
      </c>
      <c r="B206" s="153" t="s">
        <v>630</v>
      </c>
      <c r="C206" s="872" t="s">
        <v>1235</v>
      </c>
      <c r="D206" s="154"/>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319"/>
      <c r="AB206" s="375"/>
      <c r="AC206" s="345"/>
      <c r="AD206" s="345"/>
      <c r="AE206" s="345"/>
      <c r="AF206" s="345"/>
      <c r="AG206" s="345"/>
      <c r="AH206" s="345"/>
      <c r="AI206" s="302"/>
      <c r="AJ206" s="52">
        <f t="shared" si="56"/>
        <v>0</v>
      </c>
      <c r="AK206" s="797"/>
      <c r="AL206" s="1205"/>
      <c r="AM206" s="31"/>
      <c r="AN206" s="126"/>
      <c r="AO206" s="13">
        <v>110</v>
      </c>
      <c r="AP206" s="74"/>
      <c r="AQ206" s="149"/>
    </row>
    <row r="207" spans="1:43" s="14" customFormat="1" ht="44.85" hidden="1" customHeight="1" thickBot="1" x14ac:dyDescent="0.8">
      <c r="A207" s="1399"/>
      <c r="B207" s="155" t="s">
        <v>631</v>
      </c>
      <c r="C207" s="871" t="s">
        <v>1236</v>
      </c>
      <c r="D207" s="156"/>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328"/>
      <c r="AB207" s="375"/>
      <c r="AC207" s="345"/>
      <c r="AD207" s="345"/>
      <c r="AE207" s="345"/>
      <c r="AF207" s="345"/>
      <c r="AG207" s="345"/>
      <c r="AH207" s="345"/>
      <c r="AI207" s="302"/>
      <c r="AJ207" s="380">
        <f t="shared" si="56"/>
        <v>0</v>
      </c>
      <c r="AK207" s="122"/>
      <c r="AL207" s="1230"/>
      <c r="AM207" s="123"/>
      <c r="AN207" s="126"/>
      <c r="AO207" s="13">
        <v>111</v>
      </c>
      <c r="AP207" s="74"/>
      <c r="AQ207" s="149"/>
    </row>
    <row r="208" spans="1:43" ht="25.9" hidden="1" thickBot="1" x14ac:dyDescent="0.8">
      <c r="A208" s="1143" t="s">
        <v>113</v>
      </c>
      <c r="B208" s="1144"/>
      <c r="C208" s="1144"/>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88"/>
      <c r="AB208" s="1194"/>
      <c r="AC208" s="1194"/>
      <c r="AD208" s="1194"/>
      <c r="AE208" s="1194"/>
      <c r="AF208" s="1194"/>
      <c r="AG208" s="1194"/>
      <c r="AH208" s="1194"/>
      <c r="AI208" s="1194"/>
      <c r="AJ208" s="1144"/>
      <c r="AK208" s="1144"/>
      <c r="AL208" s="1144"/>
      <c r="AM208" s="1144"/>
      <c r="AN208" s="1146"/>
      <c r="AO208" s="13">
        <v>112</v>
      </c>
      <c r="AP208" s="74"/>
      <c r="AQ208" s="75"/>
    </row>
    <row r="209" spans="1:43" ht="26.25" hidden="1" customHeight="1" x14ac:dyDescent="0.75">
      <c r="A209" s="1122" t="s">
        <v>36</v>
      </c>
      <c r="B209" s="1306" t="s">
        <v>321</v>
      </c>
      <c r="C209" s="1322" t="s">
        <v>305</v>
      </c>
      <c r="D209" s="1378"/>
      <c r="E209" s="1379"/>
      <c r="F209" s="1379"/>
      <c r="G209" s="1379"/>
      <c r="H209" s="1379"/>
      <c r="I209" s="1379"/>
      <c r="J209" s="1379"/>
      <c r="K209" s="1379"/>
      <c r="L209" s="1327" t="s">
        <v>4</v>
      </c>
      <c r="M209" s="1131"/>
      <c r="N209" s="1131" t="s">
        <v>5</v>
      </c>
      <c r="O209" s="1131"/>
      <c r="P209" s="1131" t="s">
        <v>6</v>
      </c>
      <c r="Q209" s="1131"/>
      <c r="R209" s="1131" t="s">
        <v>7</v>
      </c>
      <c r="S209" s="1131"/>
      <c r="T209" s="1131" t="s">
        <v>8</v>
      </c>
      <c r="U209" s="1131"/>
      <c r="V209" s="1131" t="s">
        <v>23</v>
      </c>
      <c r="W209" s="1131"/>
      <c r="X209" s="1131" t="s">
        <v>24</v>
      </c>
      <c r="Y209" s="1131"/>
      <c r="Z209" s="1131" t="s">
        <v>9</v>
      </c>
      <c r="AA209" s="1115"/>
      <c r="AB209" s="1115" t="s">
        <v>965</v>
      </c>
      <c r="AC209" s="1116"/>
      <c r="AD209" s="1115" t="s">
        <v>966</v>
      </c>
      <c r="AE209" s="1116"/>
      <c r="AF209" s="1115" t="s">
        <v>1129</v>
      </c>
      <c r="AG209" s="1116"/>
      <c r="AH209" s="1115" t="s">
        <v>1130</v>
      </c>
      <c r="AI209" s="1116"/>
      <c r="AJ209" s="1302" t="s">
        <v>19</v>
      </c>
      <c r="AK209" s="1300" t="s">
        <v>354</v>
      </c>
      <c r="AL209" s="1292" t="s">
        <v>360</v>
      </c>
      <c r="AM209" s="1150" t="s">
        <v>361</v>
      </c>
      <c r="AN209" s="1229" t="s">
        <v>361</v>
      </c>
      <c r="AO209" s="13">
        <v>113</v>
      </c>
      <c r="AP209" s="74"/>
      <c r="AQ209" s="75"/>
    </row>
    <row r="210" spans="1:43" ht="27" hidden="1" customHeight="1" thickBot="1" x14ac:dyDescent="0.8">
      <c r="A210" s="1123"/>
      <c r="B210" s="1307"/>
      <c r="C210" s="1323"/>
      <c r="D210" s="1380"/>
      <c r="E210" s="1381"/>
      <c r="F210" s="1381"/>
      <c r="G210" s="1381"/>
      <c r="H210" s="1381"/>
      <c r="I210" s="1381"/>
      <c r="J210" s="1381"/>
      <c r="K210" s="1381"/>
      <c r="L210" s="608" t="s">
        <v>10</v>
      </c>
      <c r="M210" s="68" t="s">
        <v>11</v>
      </c>
      <c r="N210" s="68" t="s">
        <v>10</v>
      </c>
      <c r="O210" s="68" t="s">
        <v>11</v>
      </c>
      <c r="P210" s="68" t="s">
        <v>10</v>
      </c>
      <c r="Q210" s="68" t="s">
        <v>11</v>
      </c>
      <c r="R210" s="68" t="s">
        <v>10</v>
      </c>
      <c r="S210" s="68" t="s">
        <v>11</v>
      </c>
      <c r="T210" s="68" t="s">
        <v>10</v>
      </c>
      <c r="U210" s="68" t="s">
        <v>11</v>
      </c>
      <c r="V210" s="68" t="s">
        <v>10</v>
      </c>
      <c r="W210" s="68" t="s">
        <v>11</v>
      </c>
      <c r="X210" s="68" t="s">
        <v>10</v>
      </c>
      <c r="Y210" s="68" t="s">
        <v>11</v>
      </c>
      <c r="Z210" s="68" t="s">
        <v>10</v>
      </c>
      <c r="AA210" s="357" t="s">
        <v>11</v>
      </c>
      <c r="AB210" s="68" t="s">
        <v>10</v>
      </c>
      <c r="AC210" s="68" t="s">
        <v>11</v>
      </c>
      <c r="AD210" s="68" t="s">
        <v>10</v>
      </c>
      <c r="AE210" s="68" t="s">
        <v>11</v>
      </c>
      <c r="AF210" s="68" t="s">
        <v>10</v>
      </c>
      <c r="AG210" s="68" t="s">
        <v>11</v>
      </c>
      <c r="AH210" s="68" t="s">
        <v>10</v>
      </c>
      <c r="AI210" s="609" t="s">
        <v>11</v>
      </c>
      <c r="AJ210" s="1305"/>
      <c r="AK210" s="1301"/>
      <c r="AL210" s="1236"/>
      <c r="AM210" s="1150"/>
      <c r="AN210" s="1148"/>
      <c r="AO210" s="13">
        <v>114</v>
      </c>
      <c r="AP210" s="74"/>
      <c r="AQ210" s="75"/>
    </row>
    <row r="211" spans="1:43" ht="26.25" hidden="1" customHeight="1" x14ac:dyDescent="0.75">
      <c r="A211" s="1106" t="s">
        <v>1302</v>
      </c>
      <c r="B211" s="69" t="s">
        <v>632</v>
      </c>
      <c r="C211" s="578" t="s">
        <v>332</v>
      </c>
      <c r="D211" s="70"/>
      <c r="E211" s="71"/>
      <c r="F211" s="71"/>
      <c r="G211" s="71"/>
      <c r="H211" s="71"/>
      <c r="I211" s="71"/>
      <c r="J211" s="71"/>
      <c r="K211" s="71"/>
      <c r="L211" s="71"/>
      <c r="M211" s="72"/>
      <c r="N211" s="71"/>
      <c r="O211" s="72"/>
      <c r="P211" s="71"/>
      <c r="Q211" s="72"/>
      <c r="R211" s="71"/>
      <c r="S211" s="72"/>
      <c r="T211" s="71"/>
      <c r="U211" s="72"/>
      <c r="V211" s="71"/>
      <c r="W211" s="72"/>
      <c r="X211" s="158"/>
      <c r="Y211" s="72"/>
      <c r="Z211" s="598"/>
      <c r="AA211" s="607">
        <f>SUM(AC211,AE211,AG211,AI211)</f>
        <v>0</v>
      </c>
      <c r="AB211" s="602"/>
      <c r="AC211" s="306"/>
      <c r="AD211" s="158"/>
      <c r="AE211" s="306"/>
      <c r="AF211" s="158"/>
      <c r="AG211" s="306"/>
      <c r="AH211" s="158"/>
      <c r="AI211" s="306"/>
      <c r="AJ211" s="52">
        <f>SUM(D211:AA211)</f>
        <v>0</v>
      </c>
      <c r="AK211" s="139"/>
      <c r="AL211" s="1324" t="str">
        <f>CONCATENATE(AK211,AK212,AK213,AK216,AK217,AK218,AK219,AK220,AK221,AK224,AK225,AK226,AK227,AK228,AK229,AK232,AK233,AK234,AK214,AK215,AK222,AK223,AK230,AK231)</f>
        <v/>
      </c>
      <c r="AM211" s="73"/>
      <c r="AN211" s="1364" t="str">
        <f>CONCATENATE(AM211,AM212,AM213,AM216,AM217,AM218,AM219,AM220,AM221,AM224,AM225,AM226,AM227,AM228,AM229,AM232,AM233,AM234)</f>
        <v/>
      </c>
      <c r="AO211" s="13">
        <v>115</v>
      </c>
      <c r="AP211" s="74"/>
      <c r="AQ211" s="75"/>
    </row>
    <row r="212" spans="1:43" ht="25.5" hidden="1" x14ac:dyDescent="0.75">
      <c r="A212" s="1107"/>
      <c r="B212" s="76" t="s">
        <v>138</v>
      </c>
      <c r="C212" s="559" t="s">
        <v>202</v>
      </c>
      <c r="D212" s="77"/>
      <c r="E212" s="78"/>
      <c r="F212" s="78"/>
      <c r="G212" s="78"/>
      <c r="H212" s="78"/>
      <c r="I212" s="78"/>
      <c r="J212" s="78"/>
      <c r="K212" s="78"/>
      <c r="L212" s="78"/>
      <c r="M212" s="79"/>
      <c r="N212" s="78"/>
      <c r="O212" s="79"/>
      <c r="P212" s="78"/>
      <c r="Q212" s="79"/>
      <c r="R212" s="78"/>
      <c r="S212" s="79"/>
      <c r="T212" s="78"/>
      <c r="U212" s="79"/>
      <c r="V212" s="78"/>
      <c r="W212" s="79"/>
      <c r="X212" s="159"/>
      <c r="Y212" s="79"/>
      <c r="Z212" s="599"/>
      <c r="AA212" s="606">
        <f t="shared" ref="AA212:AA234" si="57">SUM(AC212,AE212,AG212,AI212)</f>
        <v>0</v>
      </c>
      <c r="AB212" s="603"/>
      <c r="AC212" s="307"/>
      <c r="AD212" s="159"/>
      <c r="AE212" s="307"/>
      <c r="AF212" s="159"/>
      <c r="AG212" s="307"/>
      <c r="AH212" s="159"/>
      <c r="AI212" s="307"/>
      <c r="AJ212" s="173">
        <f t="shared" ref="AJ212:AJ234" si="58">SUM(D212:AA212)</f>
        <v>0</v>
      </c>
      <c r="AK212" s="116" t="str">
        <f>CONCATENATE(IF(D214&lt;SUM(D215,D216,D217,D218)," * First Time Screening , Total CXCA Screening positive for Age "&amp;D20&amp;" "&amp;D21&amp;" should be greater than or equal to  the sum of (Cryotherapy , Leep , Thermocoagulation and Reffered for treatment)"&amp;CHAR(10),""),IF(E214&lt;SUM(E215,E216,E217,E218)," * First Time Screening , Total CXCA Screening positive for Age "&amp;D20&amp;" "&amp;E21&amp;" should be greater than or equal to  the sum of (Cryotherapy , Leep , Thermocoagulation and Reffered for treatment)"&amp;CHAR(10),""),IF(F214&lt;SUM(F215,F216,F217,F218)," * First Time Screening , Total CXCA Screening positive for Age "&amp;F20&amp;" "&amp;F21&amp;" should be greater than or equal to  the sum of (Cryotherapy , Leep , Thermocoagulation and Reffered for treatment)"&amp;CHAR(10),""),IF(G214&lt;SUM(G215,G216,G217,G218)," * First Time Screening , Total CXCA Screening positive for Age "&amp;F20&amp;" "&amp;G21&amp;" should be greater than or equal to  the sum of (Cryotherapy , Leep , Thermocoagulation and Reffered for treatment)"&amp;CHAR(10),""),IF(H214&lt;SUM(H215,H216,H217,H218)," * First Time Screening , Total CXCA Screening positive for Age "&amp;H20&amp;" "&amp;H21&amp;" should be greater than or equal to  the sum of (Cryotherapy , Leep , Thermocoagulation and Reffered for treatment)"&amp;CHAR(10),""),IF(I214&lt;SUM(I215,I216,I217,I218)," * First Time Screening , Total CXCA Screening positive for Age "&amp;H20&amp;" "&amp;I21&amp;" should be greater than or equal to  the sum of (Cryotherapy , Leep , Thermocoagulation and Reffered for treatment)"&amp;CHAR(10),""),IF(J214&lt;SUM(J215,J216,J217,J218)," * First Time Screening , Total CXCA Screening positive for Age "&amp;J20&amp;" "&amp;J21&amp;" should be greater than or equal to  the sum of (Cryotherapy , Leep , Thermocoagulation and Reffered for treatment)"&amp;CHAR(10),""),IF(K214&lt;SUM(K215,K216,K217,K218)," * First Time Screening , Total CXCA Screening positive for Age "&amp;J20&amp;" "&amp;K21&amp;" should be greater than or equal to  the sum of (Cryotherapy , Leep , Thermocoagulation and Reffered for treatment)"&amp;CHAR(10),""),IF(L214&lt;SUM(L215,L216,L217,L218)," * First Time Screening , Total CXCA Screening positive for Age "&amp;L20&amp;" "&amp;L21&amp;" should be greater than or equal to  the sum of (Cryotherapy , Leep , Thermocoagulation and Reffered for treatment)"&amp;CHAR(10),""),IF(M214&lt;SUM(M215,M216,M217,M218)," * First Time Screening , Total CXCA Screening positive for Age "&amp;L20&amp;" "&amp;M21&amp;" should be greater than or equal to  the sum of (Cryotherapy , Leep , Thermocoagulation and Reffered for treatment)"&amp;CHAR(10),""),IF(N214&lt;SUM(N215,N216,N217,N218)," * First Time Screening , Total CXCA Screening positive for Age "&amp;N20&amp;" "&amp;N21&amp;" should be greater than or equal to  the sum of (Cryotherapy , Leep , Thermocoagulation and Reffered for treatment)"&amp;CHAR(10),""),IF(O214&lt;SUM(O215,O216,O217,O218)," * First Time Screening , Total CXCA Screening positive for Age "&amp;N20&amp;" "&amp;O21&amp;" should be greater than or equal to  the sum of (Cryotherapy , Leep , Thermocoagulation and Reffered for treatment)"&amp;CHAR(10),""),IF(P214&lt;SUM(P215,P216,P217,P218)," * First Time Screening , Total CXCA Screening positive for Age "&amp;P20&amp;" "&amp;P21&amp;" should be greater than or equal to  the sum of (Cryotherapy , Leep , Thermocoagulation and Reffered for treatment)"&amp;CHAR(10),""),IF(Q214&lt;SUM(Q215,Q216,Q217,Q218)," * First Time Screening , Total CXCA Screening positive for Age "&amp;P20&amp;" "&amp;Q21&amp;" should be greater than or equal to  the sum of (Cryotherapy , Leep , Thermocoagulation and Reffered for treatment)"&amp;CHAR(10),""),IF(R214&lt;SUM(R215,R216,R217,R218)," * First Time Screening , Total CXCA Screening positive for Age "&amp;R20&amp;" "&amp;R21&amp;" should be greater than or equal to  the sum of (Cryotherapy , Leep , Thermocoagulation and Reffered for treatment)"&amp;CHAR(10),""),IF(S214&lt;SUM(S215,S216,S217,S218)," * First Time Screening , Total CXCA Screening positive for Age "&amp;R20&amp;" "&amp;S21&amp;" should be greater than or equal to  the sum of (Cryotherapy , Leep , Thermocoagulation and Reffered for treatment)"&amp;CHAR(10),""),IF(T214&lt;SUM(T215,T216,T217,T218)," * First Time Screening , Total CXCA Screening positive for Age "&amp;T20&amp;" "&amp;T21&amp;" should be greater than or equal to  the sum of (Cryotherapy , Leep , Thermocoagulation and Reffered for treatment)"&amp;CHAR(10),""),IF(U214&lt;SUM(U215,U216,U217,U218)," * First Time Screening , Total CXCA Screening positive for Age "&amp;T20&amp;" "&amp;U21&amp;" should be greater than or equal to  the sum of (Cryotherapy , Leep , Thermocoagulation and Reffered for treatment)"&amp;CHAR(10),""),IF(V214&lt;SUM(V215,V216,V217,V218)," * First Time Screening , Total CXCA Screening positive for Age "&amp;V20&amp;" "&amp;V21&amp;" should be greater than or equal to  the sum of (Cryotherapy , Leep , Thermocoagulation and Reffered for treatment)"&amp;CHAR(10),""),IF(W214&lt;SUM(W215,W216,W217,W218)," * First Time Screening , Total CXCA Screening positive for Age "&amp;V20&amp;" "&amp;W21&amp;" should be greater than or equal to  the sum of (Cryotherapy , Leep , Thermocoagulation and Reffered for treatment)"&amp;CHAR(10),""),IF(X214&lt;SUM(X215,X216,X217,X218)," * First Time Screening , Total CXCA Screening positive for Age "&amp;X20&amp;" "&amp;X21&amp;" should be greater than or equal to  the sum of (Cryotherapy , Leep , Thermocoagulation and Reffered for treatment)"&amp;CHAR(10),""),IF(Y214&lt;SUM(Y215,Y216,Y217,Y218)," * First Time Screening , Total CXCA Screening positive for Age "&amp;X20&amp;" "&amp;Y21&amp;" should be greater than or equal to  the sum of (Cryotherapy , Leep , Thermocoagulation and Reffered for treatment)"&amp;CHAR(10),""),IF(Z214&lt;SUM(Z215,Z216,Z217,Z218)," * First Time Screening , Total CXCA Screening positive for Age "&amp;Z20&amp;" "&amp;Z21&amp;" should be greater than or equal to  the sum of (Cryotherapy , Leep , Thermocoagulation and Reffered for treatment)"&amp;CHAR(10),""),IF(AA214&lt;SUM(AA215,AA216,AA217,AA218)," * First Time Screening , Total CXCA Screening positive for Age "&amp;Z20&amp;" "&amp;AA21&amp;" should be greater than or equal to  the sum of (Cryotherapy , Leep , Thermocoagulation and Reffered for treatment)"&amp;CHAR(10),""))</f>
        <v/>
      </c>
      <c r="AL212" s="1325"/>
      <c r="AM212" s="31"/>
      <c r="AN212" s="1365"/>
      <c r="AO212" s="13">
        <v>116</v>
      </c>
      <c r="AP212" s="74"/>
      <c r="AQ212" s="75"/>
    </row>
    <row r="213" spans="1:43" ht="25.5" hidden="1" x14ac:dyDescent="0.75">
      <c r="A213" s="1107"/>
      <c r="B213" s="76" t="s">
        <v>633</v>
      </c>
      <c r="C213" s="559" t="s">
        <v>333</v>
      </c>
      <c r="D213" s="77"/>
      <c r="E213" s="78"/>
      <c r="F213" s="78"/>
      <c r="G213" s="78"/>
      <c r="H213" s="78"/>
      <c r="I213" s="78"/>
      <c r="J213" s="78"/>
      <c r="K213" s="78"/>
      <c r="L213" s="78"/>
      <c r="M213" s="79"/>
      <c r="N213" s="78"/>
      <c r="O213" s="79"/>
      <c r="P213" s="78"/>
      <c r="Q213" s="79"/>
      <c r="R213" s="78"/>
      <c r="S213" s="79"/>
      <c r="T213" s="78"/>
      <c r="U213" s="79"/>
      <c r="V213" s="78"/>
      <c r="W213" s="79"/>
      <c r="X213" s="159"/>
      <c r="Y213" s="79"/>
      <c r="Z213" s="599"/>
      <c r="AA213" s="606">
        <f t="shared" si="57"/>
        <v>0</v>
      </c>
      <c r="AB213" s="603"/>
      <c r="AC213" s="307"/>
      <c r="AD213" s="159"/>
      <c r="AE213" s="307"/>
      <c r="AF213" s="159"/>
      <c r="AG213" s="307"/>
      <c r="AH213" s="159"/>
      <c r="AI213" s="307"/>
      <c r="AJ213" s="173">
        <f t="shared" si="58"/>
        <v>0</v>
      </c>
      <c r="AK213" s="116"/>
      <c r="AL213" s="1325"/>
      <c r="AM213" s="31"/>
      <c r="AN213" s="1365"/>
      <c r="AO213" s="13">
        <v>117</v>
      </c>
      <c r="AP213" s="74"/>
      <c r="AQ213" s="75"/>
    </row>
    <row r="214" spans="1:43" ht="25.5" hidden="1" x14ac:dyDescent="0.75">
      <c r="A214" s="1108"/>
      <c r="B214" s="160" t="s">
        <v>807</v>
      </c>
      <c r="C214" s="559" t="s">
        <v>808</v>
      </c>
      <c r="D214" s="77"/>
      <c r="E214" s="78"/>
      <c r="F214" s="78"/>
      <c r="G214" s="78"/>
      <c r="H214" s="78"/>
      <c r="I214" s="78"/>
      <c r="J214" s="78"/>
      <c r="K214" s="78"/>
      <c r="L214" s="78"/>
      <c r="M214" s="161">
        <f>M213+M212</f>
        <v>0</v>
      </c>
      <c r="N214" s="162"/>
      <c r="O214" s="161">
        <f>O213+O212</f>
        <v>0</v>
      </c>
      <c r="P214" s="78"/>
      <c r="Q214" s="161">
        <f>Q213+Q212</f>
        <v>0</v>
      </c>
      <c r="R214" s="78"/>
      <c r="S214" s="161">
        <f>S213+S212</f>
        <v>0</v>
      </c>
      <c r="T214" s="78"/>
      <c r="U214" s="161">
        <f>U213+U212</f>
        <v>0</v>
      </c>
      <c r="V214" s="78"/>
      <c r="W214" s="161">
        <f>W213+W212</f>
        <v>0</v>
      </c>
      <c r="X214" s="159"/>
      <c r="Y214" s="161">
        <f>Y213+Y212</f>
        <v>0</v>
      </c>
      <c r="Z214" s="599"/>
      <c r="AA214" s="606">
        <f t="shared" si="57"/>
        <v>0</v>
      </c>
      <c r="AB214" s="603"/>
      <c r="AC214" s="329">
        <f>AC213+AC212</f>
        <v>0</v>
      </c>
      <c r="AD214" s="159"/>
      <c r="AE214" s="329">
        <f>AE213+AE212</f>
        <v>0</v>
      </c>
      <c r="AF214" s="159"/>
      <c r="AG214" s="329">
        <f>AG213+AG212</f>
        <v>0</v>
      </c>
      <c r="AH214" s="159"/>
      <c r="AI214" s="329">
        <f>AI213+AI212</f>
        <v>0</v>
      </c>
      <c r="AJ214" s="173">
        <f t="shared" si="58"/>
        <v>0</v>
      </c>
      <c r="AK214" s="116"/>
      <c r="AL214" s="1325"/>
      <c r="AM214" s="31"/>
      <c r="AN214" s="1365"/>
      <c r="AO214" s="13">
        <v>118</v>
      </c>
      <c r="AP214" s="74"/>
      <c r="AQ214" s="75"/>
    </row>
    <row r="215" spans="1:43" ht="25.5" hidden="1" x14ac:dyDescent="0.75">
      <c r="A215" s="1109" t="s">
        <v>1303</v>
      </c>
      <c r="B215" s="163" t="s">
        <v>1249</v>
      </c>
      <c r="C215" s="559" t="s">
        <v>939</v>
      </c>
      <c r="D215" s="77"/>
      <c r="E215" s="78"/>
      <c r="F215" s="78"/>
      <c r="G215" s="78"/>
      <c r="H215" s="78"/>
      <c r="I215" s="78"/>
      <c r="J215" s="78"/>
      <c r="K215" s="78"/>
      <c r="L215" s="78"/>
      <c r="M215" s="164"/>
      <c r="N215" s="162"/>
      <c r="O215" s="164"/>
      <c r="P215" s="78"/>
      <c r="Q215" s="164"/>
      <c r="R215" s="78"/>
      <c r="S215" s="164"/>
      <c r="T215" s="78"/>
      <c r="U215" s="164"/>
      <c r="V215" s="78"/>
      <c r="W215" s="164"/>
      <c r="X215" s="159"/>
      <c r="Y215" s="164"/>
      <c r="Z215" s="599"/>
      <c r="AA215" s="606">
        <f t="shared" si="57"/>
        <v>0</v>
      </c>
      <c r="AB215" s="603"/>
      <c r="AC215" s="330"/>
      <c r="AD215" s="159"/>
      <c r="AE215" s="330"/>
      <c r="AF215" s="159"/>
      <c r="AG215" s="330"/>
      <c r="AH215" s="159"/>
      <c r="AI215" s="330"/>
      <c r="AJ215" s="173">
        <f t="shared" si="58"/>
        <v>0</v>
      </c>
      <c r="AK215" s="116"/>
      <c r="AL215" s="1325"/>
      <c r="AM215" s="31"/>
      <c r="AN215" s="1365"/>
      <c r="AO215" s="13">
        <v>119</v>
      </c>
      <c r="AP215" s="74"/>
      <c r="AQ215" s="75"/>
    </row>
    <row r="216" spans="1:43" ht="25.5" hidden="1" x14ac:dyDescent="0.75">
      <c r="A216" s="1107"/>
      <c r="B216" s="76" t="s">
        <v>634</v>
      </c>
      <c r="C216" s="559" t="s">
        <v>207</v>
      </c>
      <c r="D216" s="77"/>
      <c r="E216" s="78"/>
      <c r="F216" s="78"/>
      <c r="G216" s="78"/>
      <c r="H216" s="78"/>
      <c r="I216" s="78"/>
      <c r="J216" s="78"/>
      <c r="K216" s="78"/>
      <c r="L216" s="78"/>
      <c r="M216" s="79"/>
      <c r="N216" s="78"/>
      <c r="O216" s="79"/>
      <c r="P216" s="78"/>
      <c r="Q216" s="79"/>
      <c r="R216" s="78"/>
      <c r="S216" s="79"/>
      <c r="T216" s="78"/>
      <c r="U216" s="79"/>
      <c r="V216" s="78"/>
      <c r="W216" s="79"/>
      <c r="X216" s="159"/>
      <c r="Y216" s="79"/>
      <c r="Z216" s="599"/>
      <c r="AA216" s="606">
        <f t="shared" si="57"/>
        <v>0</v>
      </c>
      <c r="AB216" s="603"/>
      <c r="AC216" s="307"/>
      <c r="AD216" s="159"/>
      <c r="AE216" s="307"/>
      <c r="AF216" s="159"/>
      <c r="AG216" s="307"/>
      <c r="AH216" s="159"/>
      <c r="AI216" s="307"/>
      <c r="AJ216" s="173">
        <f t="shared" si="58"/>
        <v>0</v>
      </c>
      <c r="AK216" s="116"/>
      <c r="AL216" s="1325"/>
      <c r="AM216" s="31"/>
      <c r="AN216" s="1365"/>
      <c r="AO216" s="13">
        <v>120</v>
      </c>
      <c r="AP216" s="74"/>
      <c r="AQ216" s="75"/>
    </row>
    <row r="217" spans="1:43" ht="25.5" hidden="1" x14ac:dyDescent="0.75">
      <c r="A217" s="1107"/>
      <c r="B217" s="76" t="s">
        <v>635</v>
      </c>
      <c r="C217" s="559" t="s">
        <v>208</v>
      </c>
      <c r="D217" s="77"/>
      <c r="E217" s="78"/>
      <c r="F217" s="78"/>
      <c r="G217" s="78"/>
      <c r="H217" s="78"/>
      <c r="I217" s="78"/>
      <c r="J217" s="78"/>
      <c r="K217" s="78"/>
      <c r="L217" s="78"/>
      <c r="M217" s="79"/>
      <c r="N217" s="78"/>
      <c r="O217" s="79"/>
      <c r="P217" s="78"/>
      <c r="Q217" s="79"/>
      <c r="R217" s="78"/>
      <c r="S217" s="79"/>
      <c r="T217" s="78"/>
      <c r="U217" s="79"/>
      <c r="V217" s="78"/>
      <c r="W217" s="79"/>
      <c r="X217" s="159"/>
      <c r="Y217" s="79"/>
      <c r="Z217" s="599"/>
      <c r="AA217" s="606">
        <f t="shared" si="57"/>
        <v>0</v>
      </c>
      <c r="AB217" s="603"/>
      <c r="AC217" s="307"/>
      <c r="AD217" s="159"/>
      <c r="AE217" s="307"/>
      <c r="AF217" s="159"/>
      <c r="AG217" s="307"/>
      <c r="AH217" s="159"/>
      <c r="AI217" s="307"/>
      <c r="AJ217" s="173">
        <f t="shared" si="58"/>
        <v>0</v>
      </c>
      <c r="AK217" s="116"/>
      <c r="AL217" s="1325"/>
      <c r="AM217" s="31"/>
      <c r="AN217" s="1365"/>
      <c r="AO217" s="13">
        <v>121</v>
      </c>
      <c r="AP217" s="74"/>
      <c r="AQ217" s="75"/>
    </row>
    <row r="218" spans="1:43" ht="25.9" hidden="1" thickBot="1" x14ac:dyDescent="0.8">
      <c r="A218" s="1110"/>
      <c r="B218" s="87" t="s">
        <v>636</v>
      </c>
      <c r="C218" s="560" t="s">
        <v>209</v>
      </c>
      <c r="D218" s="103"/>
      <c r="E218" s="102"/>
      <c r="F218" s="102"/>
      <c r="G218" s="102"/>
      <c r="H218" s="102"/>
      <c r="I218" s="102"/>
      <c r="J218" s="102"/>
      <c r="K218" s="102"/>
      <c r="L218" s="102"/>
      <c r="M218" s="89"/>
      <c r="N218" s="102"/>
      <c r="O218" s="89"/>
      <c r="P218" s="102"/>
      <c r="Q218" s="89"/>
      <c r="R218" s="102"/>
      <c r="S218" s="89"/>
      <c r="T218" s="102"/>
      <c r="U218" s="89"/>
      <c r="V218" s="102"/>
      <c r="W218" s="89"/>
      <c r="X218" s="165"/>
      <c r="Y218" s="89"/>
      <c r="Z218" s="600"/>
      <c r="AA218" s="606">
        <f t="shared" si="57"/>
        <v>0</v>
      </c>
      <c r="AB218" s="604"/>
      <c r="AC218" s="309"/>
      <c r="AD218" s="165"/>
      <c r="AE218" s="309"/>
      <c r="AF218" s="165"/>
      <c r="AG218" s="309"/>
      <c r="AH218" s="165"/>
      <c r="AI218" s="309"/>
      <c r="AJ218" s="192">
        <f t="shared" si="58"/>
        <v>0</v>
      </c>
      <c r="AK218" s="116"/>
      <c r="AL218" s="1325"/>
      <c r="AM218" s="31"/>
      <c r="AN218" s="1365"/>
      <c r="AO218" s="13">
        <v>122</v>
      </c>
      <c r="AP218" s="74"/>
      <c r="AQ218" s="75"/>
    </row>
    <row r="219" spans="1:43" ht="26.25" hidden="1" customHeight="1" x14ac:dyDescent="0.75">
      <c r="A219" s="1106" t="s">
        <v>1300</v>
      </c>
      <c r="B219" s="91" t="s">
        <v>632</v>
      </c>
      <c r="C219" s="558" t="s">
        <v>334</v>
      </c>
      <c r="D219" s="98"/>
      <c r="E219" s="99"/>
      <c r="F219" s="99"/>
      <c r="G219" s="99"/>
      <c r="H219" s="99"/>
      <c r="I219" s="99"/>
      <c r="J219" s="99"/>
      <c r="K219" s="99"/>
      <c r="L219" s="99"/>
      <c r="M219" s="94"/>
      <c r="N219" s="99"/>
      <c r="O219" s="94"/>
      <c r="P219" s="99"/>
      <c r="Q219" s="94"/>
      <c r="R219" s="99"/>
      <c r="S219" s="94"/>
      <c r="T219" s="99"/>
      <c r="U219" s="94"/>
      <c r="V219" s="99"/>
      <c r="W219" s="94"/>
      <c r="X219" s="166"/>
      <c r="Y219" s="94"/>
      <c r="Z219" s="601"/>
      <c r="AA219" s="606">
        <f t="shared" si="57"/>
        <v>0</v>
      </c>
      <c r="AB219" s="605"/>
      <c r="AC219" s="310"/>
      <c r="AD219" s="166"/>
      <c r="AE219" s="310"/>
      <c r="AF219" s="166"/>
      <c r="AG219" s="310"/>
      <c r="AH219" s="166"/>
      <c r="AI219" s="310"/>
      <c r="AJ219" s="188">
        <f t="shared" si="58"/>
        <v>0</v>
      </c>
      <c r="AK219" s="116"/>
      <c r="AL219" s="1325"/>
      <c r="AM219" s="31"/>
      <c r="AN219" s="1365"/>
      <c r="AO219" s="13">
        <v>123</v>
      </c>
      <c r="AP219" s="74"/>
      <c r="AQ219" s="75"/>
    </row>
    <row r="220" spans="1:43" ht="25.5" hidden="1" x14ac:dyDescent="0.75">
      <c r="A220" s="1107"/>
      <c r="B220" s="76" t="s">
        <v>138</v>
      </c>
      <c r="C220" s="559" t="s">
        <v>335</v>
      </c>
      <c r="D220" s="77"/>
      <c r="E220" s="78"/>
      <c r="F220" s="78"/>
      <c r="G220" s="78"/>
      <c r="H220" s="78"/>
      <c r="I220" s="78"/>
      <c r="J220" s="78"/>
      <c r="K220" s="78"/>
      <c r="L220" s="78"/>
      <c r="M220" s="79"/>
      <c r="N220" s="78"/>
      <c r="O220" s="79"/>
      <c r="P220" s="78"/>
      <c r="Q220" s="79"/>
      <c r="R220" s="78"/>
      <c r="S220" s="79"/>
      <c r="T220" s="78"/>
      <c r="U220" s="79"/>
      <c r="V220" s="78"/>
      <c r="W220" s="79"/>
      <c r="X220" s="159"/>
      <c r="Y220" s="79"/>
      <c r="Z220" s="599"/>
      <c r="AA220" s="606">
        <f t="shared" si="57"/>
        <v>0</v>
      </c>
      <c r="AB220" s="603"/>
      <c r="AC220" s="307"/>
      <c r="AD220" s="159"/>
      <c r="AE220" s="307"/>
      <c r="AF220" s="159"/>
      <c r="AG220" s="307"/>
      <c r="AH220" s="159"/>
      <c r="AI220" s="307"/>
      <c r="AJ220" s="173">
        <f t="shared" si="58"/>
        <v>0</v>
      </c>
      <c r="AK220" s="548" t="str">
        <f>CONCATENATE(IF(D222&lt;SUM(D223,D224,D225,D226)," * Rescreened and treatment , Total CXCA Screening positive for Age "&amp;D28&amp;" "&amp;D29&amp;" should be greater than or equal to  the sum of (Cryotherapy , Leep , Thermocoagulation and Reffered for treatment)"&amp;CHAR(10),""),IF(E222&lt;SUM(E223,E224,E225,E226)," * Rescreened and treatment , Total CXCA Screening positive for Age "&amp;D28&amp;" "&amp;E29&amp;" should be greater than or equal to  the sum of (Cryotherapy , Leep , Thermocoagulation and Reffered for treatment)"&amp;CHAR(10),""),IF(F222&lt;SUM(F223,F224,F225,F226)," * Rescreened and treatment , Total CXCA Screening positive for Age "&amp;F28&amp;" "&amp;F29&amp;" should be greater than or equal to  the sum of (Cryotherapy , Leep , Thermocoagulation and Reffered for treatment)"&amp;CHAR(10),""),IF(G222&lt;SUM(G223,G224,G225,G226)," * Rescreened and treatment , Total CXCA Screening positive for Age "&amp;F28&amp;" "&amp;G29&amp;" should be greater than or equal to  the sum of (Cryotherapy , Leep , Thermocoagulation and Reffered for treatment)"&amp;CHAR(10),""),IF(H222&lt;SUM(H223,H224,H225,H226)," * Rescreened and treatment , Total CXCA Screening positive for Age "&amp;H28&amp;" "&amp;H29&amp;" should be greater than or equal to  the sum of (Cryotherapy , Leep , Thermocoagulation and Reffered for treatment)"&amp;CHAR(10),""),IF(I222&lt;SUM(I223,I224,I225,I226)," * Rescreened and treatment , Total CXCA Screening positive for Age "&amp;H28&amp;" "&amp;I29&amp;" should be greater than or equal to  the sum of (Cryotherapy , Leep , Thermocoagulation and Reffered for treatment)"&amp;CHAR(10),""),IF(J222&lt;SUM(J223,J224,J225,J226)," * Rescreened and treatment , Total CXCA Screening positive for Age "&amp;J28&amp;" "&amp;J29&amp;" should be greater than or equal to  the sum of (Cryotherapy , Leep , Thermocoagulation and Reffered for treatment)"&amp;CHAR(10),""),IF(K222&lt;SUM(K223,K224,K225,K226)," * Rescreened and treatment , Total CXCA Screening positive for Age "&amp;J28&amp;" "&amp;K29&amp;" should be greater than or equal to  the sum of (Cryotherapy , Leep , Thermocoagulation and Reffered for treatment)"&amp;CHAR(10),""),IF(L222&lt;SUM(L223,L224,L225,L226)," * Rescreened and treatment , Total CXCA Screening positive for Age "&amp;L28&amp;" "&amp;L29&amp;" should be greater than or equal to  the sum of (Cryotherapy , Leep , Thermocoagulation and Reffered for treatment)"&amp;CHAR(10),""),IF(M222&lt;SUM(M223,M224,M225,M226)," * Rescreened and treatment , Total CXCA Screening positive for Age "&amp;L28&amp;" "&amp;M29&amp;" should be greater than or equal to  the sum of (Cryotherapy , Leep , Thermocoagulation and Reffered for treatment)"&amp;CHAR(10),""),IF(N222&lt;SUM(N223,N224,N225,N226)," * Rescreened and treatment , Total CXCA Screening positive for Age "&amp;N28&amp;" "&amp;N29&amp;" should be greater than or equal to  the sum of (Cryotherapy , Leep , Thermocoagulation and Reffered for treatment)"&amp;CHAR(10),""),IF(O222&lt;SUM(O223,O224,O225,O226)," * Rescreened and treatment , Total CXCA Screening positive for Age "&amp;N28&amp;" "&amp;O29&amp;" should be greater than or equal to  the sum of (Cryotherapy , Leep , Thermocoagulation and Reffered for treatment)"&amp;CHAR(10),""),IF(P222&lt;SUM(P223,P224,P225,P226)," * Rescreened and treatment , Total CXCA Screening positive for Age "&amp;P28&amp;" "&amp;P29&amp;" should be greater than or equal to  the sum of (Cryotherapy , Leep , Thermocoagulation and Reffered for treatment)"&amp;CHAR(10),""),IF(Q222&lt;SUM(Q223,Q224,Q225,Q226)," * Rescreened and treatment , Total CXCA Screening positive for Age "&amp;P28&amp;" "&amp;Q29&amp;" should be greater than or equal to  the sum of (Cryotherapy , Leep , Thermocoagulation and Reffered for treatment)"&amp;CHAR(10),""),IF(R222&lt;SUM(R223,R224,R225,R226)," * Rescreened and treatment , Total CXCA Screening positive for Age "&amp;R28&amp;" "&amp;R29&amp;" should be greater than or equal to  the sum of (Cryotherapy , Leep , Thermocoagulation and Reffered for treatment)"&amp;CHAR(10),""),IF(S222&lt;SUM(S223,S224,S225,S226)," * Rescreened and treatment , Total CXCA Screening positive for Age "&amp;R28&amp;" "&amp;S29&amp;" should be greater than or equal to  the sum of (Cryotherapy , Leep , Thermocoagulation and Reffered for treatment)"&amp;CHAR(10),""),IF(T222&lt;SUM(T223,T224,T225,T226)," * Rescreened and treatment , Total CXCA Screening positive for Age "&amp;T28&amp;" "&amp;T29&amp;" should be greater than or equal to  the sum of (Cryotherapy , Leep , Thermocoagulation and Reffered for treatment)"&amp;CHAR(10),""),IF(U222&lt;SUM(U223,U224,U225,U226)," * Rescreened and treatment , Total CXCA Screening positive for Age "&amp;T28&amp;" "&amp;U29&amp;" should be greater than or equal to  the sum of (Cryotherapy , Leep , Thermocoagulation and Reffered for treatment)"&amp;CHAR(10),""),IF(V222&lt;SUM(V223,V224,V225,V226)," * Rescreened and treatment , Total CXCA Screening positive for Age "&amp;V28&amp;" "&amp;V29&amp;" should be greater than or equal to  the sum of (Cryotherapy , Leep , Thermocoagulation and Reffered for treatment)"&amp;CHAR(10),""),IF(W222&lt;SUM(W223,W224,W225,W226)," * Rescreened and treatment , Total CXCA Screening positive for Age "&amp;V28&amp;" "&amp;W29&amp;" should be greater than or equal to  the sum of (Cryotherapy , Leep , Thermocoagulation and Reffered for treatment)"&amp;CHAR(10),""),IF(X222&lt;SUM(X223,X224,X225,X226)," * Rescreened and treatment , Total CXCA Screening positive for Age "&amp;X28&amp;" "&amp;X29&amp;" should be greater than or equal to  the sum of (Cryotherapy , Leep , Thermocoagulation and Reffered for treatment)"&amp;CHAR(10),""),IF(Y222&lt;SUM(Y223,Y224,Y225,Y226)," * Rescreened and treatment , Total CXCA Screening positive for Age "&amp;X28&amp;" "&amp;Y29&amp;" should be greater than or equal to  the sum of (Cryotherapy , Leep , Thermocoagulation and Reffered for treatment)"&amp;CHAR(10),""),IF(Z222&lt;SUM(Z223,Z224,Z225,Z226)," * Rescreened and treatment , Total CXCA Screening positive for Age "&amp;Z28&amp;" "&amp;Z29&amp;" should be greater than or equal to  the sum of (Cryotherapy , Leep , Thermocoagulation and Reffered for treatment)"&amp;CHAR(10),""),IF(AA222&lt;SUM(AA223,AA224,AA225,AA226)," * Rescreened and treatment , Total CXCA Screening positive for Age "&amp;Z28&amp;" "&amp;AA29&amp;" should be greater than or equal to  the sum of (Cryotherapy , Leep , Thermocoagulation and Reffered for treatment)"&amp;CHAR(10),""))</f>
        <v/>
      </c>
      <c r="AL220" s="1325"/>
      <c r="AM220" s="31"/>
      <c r="AN220" s="1365"/>
      <c r="AO220" s="13">
        <v>124</v>
      </c>
      <c r="AP220" s="74"/>
      <c r="AQ220" s="75"/>
    </row>
    <row r="221" spans="1:43" ht="25.5" hidden="1" x14ac:dyDescent="0.75">
      <c r="A221" s="1107"/>
      <c r="B221" s="76" t="s">
        <v>633</v>
      </c>
      <c r="C221" s="559" t="s">
        <v>217</v>
      </c>
      <c r="D221" s="77"/>
      <c r="E221" s="78"/>
      <c r="F221" s="78"/>
      <c r="G221" s="78"/>
      <c r="H221" s="78"/>
      <c r="I221" s="78"/>
      <c r="J221" s="78"/>
      <c r="K221" s="78"/>
      <c r="L221" s="78"/>
      <c r="M221" s="79"/>
      <c r="N221" s="78"/>
      <c r="O221" s="79"/>
      <c r="P221" s="78"/>
      <c r="Q221" s="79"/>
      <c r="R221" s="78"/>
      <c r="S221" s="79"/>
      <c r="T221" s="78"/>
      <c r="U221" s="79"/>
      <c r="V221" s="78"/>
      <c r="W221" s="79"/>
      <c r="X221" s="159"/>
      <c r="Y221" s="79"/>
      <c r="Z221" s="599"/>
      <c r="AA221" s="606">
        <f t="shared" si="57"/>
        <v>0</v>
      </c>
      <c r="AB221" s="603"/>
      <c r="AC221" s="307"/>
      <c r="AD221" s="159"/>
      <c r="AE221" s="307"/>
      <c r="AF221" s="159"/>
      <c r="AG221" s="307"/>
      <c r="AH221" s="159"/>
      <c r="AI221" s="307"/>
      <c r="AJ221" s="173">
        <f t="shared" si="58"/>
        <v>0</v>
      </c>
      <c r="AK221" s="116"/>
      <c r="AL221" s="1325"/>
      <c r="AM221" s="31"/>
      <c r="AN221" s="1365"/>
      <c r="AO221" s="13">
        <v>125</v>
      </c>
      <c r="AP221" s="74"/>
      <c r="AQ221" s="75"/>
    </row>
    <row r="222" spans="1:43" ht="25.5" hidden="1" x14ac:dyDescent="0.75">
      <c r="A222" s="1108"/>
      <c r="B222" s="160" t="s">
        <v>807</v>
      </c>
      <c r="C222" s="559" t="s">
        <v>809</v>
      </c>
      <c r="D222" s="77"/>
      <c r="E222" s="78"/>
      <c r="F222" s="78"/>
      <c r="G222" s="78"/>
      <c r="H222" s="78"/>
      <c r="I222" s="78"/>
      <c r="J222" s="78"/>
      <c r="K222" s="78"/>
      <c r="L222" s="78"/>
      <c r="M222" s="161">
        <f>M221+M220</f>
        <v>0</v>
      </c>
      <c r="N222" s="162"/>
      <c r="O222" s="161">
        <f>O221+O220</f>
        <v>0</v>
      </c>
      <c r="P222" s="78"/>
      <c r="Q222" s="161">
        <f>Q221+Q220</f>
        <v>0</v>
      </c>
      <c r="R222" s="78"/>
      <c r="S222" s="161">
        <f>S221+S220</f>
        <v>0</v>
      </c>
      <c r="T222" s="78"/>
      <c r="U222" s="161">
        <f>U221+U220</f>
        <v>0</v>
      </c>
      <c r="V222" s="78"/>
      <c r="W222" s="161">
        <f>W221+W220</f>
        <v>0</v>
      </c>
      <c r="X222" s="159"/>
      <c r="Y222" s="161">
        <f>Y221+Y220</f>
        <v>0</v>
      </c>
      <c r="Z222" s="599"/>
      <c r="AA222" s="606">
        <f t="shared" si="57"/>
        <v>0</v>
      </c>
      <c r="AB222" s="603"/>
      <c r="AC222" s="329">
        <f>AC221+AC220</f>
        <v>0</v>
      </c>
      <c r="AD222" s="159"/>
      <c r="AE222" s="329">
        <f>AE221+AE220</f>
        <v>0</v>
      </c>
      <c r="AF222" s="159"/>
      <c r="AG222" s="329">
        <f>AG221+AG220</f>
        <v>0</v>
      </c>
      <c r="AH222" s="159"/>
      <c r="AI222" s="329">
        <f>AI221+AI220</f>
        <v>0</v>
      </c>
      <c r="AJ222" s="173">
        <f t="shared" si="58"/>
        <v>0</v>
      </c>
      <c r="AK222" s="116"/>
      <c r="AL222" s="1325"/>
      <c r="AM222" s="31"/>
      <c r="AN222" s="1365"/>
      <c r="AO222" s="13">
        <v>126</v>
      </c>
      <c r="AP222" s="74"/>
      <c r="AQ222" s="75"/>
    </row>
    <row r="223" spans="1:43" ht="25.5" hidden="1" x14ac:dyDescent="0.75">
      <c r="A223" s="1109" t="s">
        <v>1301</v>
      </c>
      <c r="B223" s="163" t="s">
        <v>1249</v>
      </c>
      <c r="C223" s="559" t="s">
        <v>941</v>
      </c>
      <c r="D223" s="77"/>
      <c r="E223" s="78"/>
      <c r="F223" s="78"/>
      <c r="G223" s="78"/>
      <c r="H223" s="78"/>
      <c r="I223" s="78"/>
      <c r="J223" s="78"/>
      <c r="K223" s="78"/>
      <c r="L223" s="78"/>
      <c r="M223" s="164"/>
      <c r="N223" s="162"/>
      <c r="O223" s="164"/>
      <c r="P223" s="78"/>
      <c r="Q223" s="164"/>
      <c r="R223" s="78"/>
      <c r="S223" s="164"/>
      <c r="T223" s="78"/>
      <c r="U223" s="164"/>
      <c r="V223" s="78"/>
      <c r="W223" s="164"/>
      <c r="X223" s="159"/>
      <c r="Y223" s="164"/>
      <c r="Z223" s="599"/>
      <c r="AA223" s="606">
        <f t="shared" si="57"/>
        <v>0</v>
      </c>
      <c r="AB223" s="603"/>
      <c r="AC223" s="330"/>
      <c r="AD223" s="159"/>
      <c r="AE223" s="330"/>
      <c r="AF223" s="159"/>
      <c r="AG223" s="330"/>
      <c r="AH223" s="159"/>
      <c r="AI223" s="330"/>
      <c r="AJ223" s="173">
        <f t="shared" si="58"/>
        <v>0</v>
      </c>
      <c r="AK223" s="116"/>
      <c r="AL223" s="1325"/>
      <c r="AM223" s="31"/>
      <c r="AN223" s="1365"/>
      <c r="AO223" s="13">
        <v>127</v>
      </c>
      <c r="AP223" s="74"/>
      <c r="AQ223" s="75"/>
    </row>
    <row r="224" spans="1:43" ht="25.5" hidden="1" x14ac:dyDescent="0.75">
      <c r="A224" s="1107"/>
      <c r="B224" s="76" t="s">
        <v>634</v>
      </c>
      <c r="C224" s="559" t="s">
        <v>218</v>
      </c>
      <c r="D224" s="77"/>
      <c r="E224" s="78"/>
      <c r="F224" s="78"/>
      <c r="G224" s="78"/>
      <c r="H224" s="78"/>
      <c r="I224" s="78"/>
      <c r="J224" s="78"/>
      <c r="K224" s="78"/>
      <c r="L224" s="78"/>
      <c r="M224" s="79"/>
      <c r="N224" s="78"/>
      <c r="O224" s="79"/>
      <c r="P224" s="78"/>
      <c r="Q224" s="79"/>
      <c r="R224" s="78"/>
      <c r="S224" s="79"/>
      <c r="T224" s="78"/>
      <c r="U224" s="79"/>
      <c r="V224" s="78"/>
      <c r="W224" s="79"/>
      <c r="X224" s="159"/>
      <c r="Y224" s="79"/>
      <c r="Z224" s="599"/>
      <c r="AA224" s="606">
        <f t="shared" si="57"/>
        <v>0</v>
      </c>
      <c r="AB224" s="603"/>
      <c r="AC224" s="307"/>
      <c r="AD224" s="159"/>
      <c r="AE224" s="307"/>
      <c r="AF224" s="159"/>
      <c r="AG224" s="307"/>
      <c r="AH224" s="159"/>
      <c r="AI224" s="307"/>
      <c r="AJ224" s="173">
        <f t="shared" si="58"/>
        <v>0</v>
      </c>
      <c r="AK224" s="116"/>
      <c r="AL224" s="1325"/>
      <c r="AM224" s="31"/>
      <c r="AN224" s="1365"/>
      <c r="AO224" s="13">
        <v>128</v>
      </c>
      <c r="AP224" s="74"/>
      <c r="AQ224" s="75"/>
    </row>
    <row r="225" spans="1:43" ht="25.5" hidden="1" x14ac:dyDescent="0.75">
      <c r="A225" s="1107"/>
      <c r="B225" s="76" t="s">
        <v>635</v>
      </c>
      <c r="C225" s="559" t="s">
        <v>336</v>
      </c>
      <c r="D225" s="77"/>
      <c r="E225" s="78"/>
      <c r="F225" s="78"/>
      <c r="G225" s="78"/>
      <c r="H225" s="78"/>
      <c r="I225" s="78"/>
      <c r="J225" s="78"/>
      <c r="K225" s="78"/>
      <c r="L225" s="78"/>
      <c r="M225" s="79"/>
      <c r="N225" s="78"/>
      <c r="O225" s="79"/>
      <c r="P225" s="78"/>
      <c r="Q225" s="79"/>
      <c r="R225" s="78"/>
      <c r="S225" s="79"/>
      <c r="T225" s="78"/>
      <c r="U225" s="79"/>
      <c r="V225" s="78"/>
      <c r="W225" s="79"/>
      <c r="X225" s="159"/>
      <c r="Y225" s="79"/>
      <c r="Z225" s="599"/>
      <c r="AA225" s="606">
        <f t="shared" si="57"/>
        <v>0</v>
      </c>
      <c r="AB225" s="603"/>
      <c r="AC225" s="307"/>
      <c r="AD225" s="159"/>
      <c r="AE225" s="307"/>
      <c r="AF225" s="159"/>
      <c r="AG225" s="307"/>
      <c r="AH225" s="159"/>
      <c r="AI225" s="307"/>
      <c r="AJ225" s="173">
        <f t="shared" si="58"/>
        <v>0</v>
      </c>
      <c r="AK225" s="116"/>
      <c r="AL225" s="1325"/>
      <c r="AM225" s="31"/>
      <c r="AN225" s="1365"/>
      <c r="AO225" s="13">
        <v>129</v>
      </c>
      <c r="AP225" s="74"/>
      <c r="AQ225" s="75"/>
    </row>
    <row r="226" spans="1:43" ht="25.9" hidden="1" thickBot="1" x14ac:dyDescent="0.8">
      <c r="A226" s="1110"/>
      <c r="B226" s="87" t="s">
        <v>636</v>
      </c>
      <c r="C226" s="560" t="s">
        <v>220</v>
      </c>
      <c r="D226" s="103"/>
      <c r="E226" s="102"/>
      <c r="F226" s="102"/>
      <c r="G226" s="102"/>
      <c r="H226" s="102"/>
      <c r="I226" s="102"/>
      <c r="J226" s="102"/>
      <c r="K226" s="102"/>
      <c r="L226" s="102"/>
      <c r="M226" s="89"/>
      <c r="N226" s="102"/>
      <c r="O226" s="89"/>
      <c r="P226" s="102"/>
      <c r="Q226" s="89"/>
      <c r="R226" s="102"/>
      <c r="S226" s="89"/>
      <c r="T226" s="102"/>
      <c r="U226" s="89"/>
      <c r="V226" s="102"/>
      <c r="W226" s="89"/>
      <c r="X226" s="165"/>
      <c r="Y226" s="89"/>
      <c r="Z226" s="600"/>
      <c r="AA226" s="606">
        <f t="shared" si="57"/>
        <v>0</v>
      </c>
      <c r="AB226" s="604"/>
      <c r="AC226" s="309"/>
      <c r="AD226" s="165"/>
      <c r="AE226" s="309"/>
      <c r="AF226" s="165"/>
      <c r="AG226" s="309"/>
      <c r="AH226" s="165"/>
      <c r="AI226" s="309"/>
      <c r="AJ226" s="192">
        <f t="shared" si="58"/>
        <v>0</v>
      </c>
      <c r="AK226" s="116"/>
      <c r="AL226" s="1325"/>
      <c r="AM226" s="31"/>
      <c r="AN226" s="1365"/>
      <c r="AO226" s="13">
        <v>130</v>
      </c>
      <c r="AP226" s="74"/>
      <c r="AQ226" s="75"/>
    </row>
    <row r="227" spans="1:43" ht="25.5" hidden="1" x14ac:dyDescent="0.75">
      <c r="A227" s="1106" t="s">
        <v>25</v>
      </c>
      <c r="B227" s="91" t="s">
        <v>632</v>
      </c>
      <c r="C227" s="558" t="s">
        <v>337</v>
      </c>
      <c r="D227" s="98"/>
      <c r="E227" s="99"/>
      <c r="F227" s="99"/>
      <c r="G227" s="99"/>
      <c r="H227" s="99"/>
      <c r="I227" s="99"/>
      <c r="J227" s="99"/>
      <c r="K227" s="99"/>
      <c r="L227" s="99"/>
      <c r="M227" s="94"/>
      <c r="N227" s="99"/>
      <c r="O227" s="94"/>
      <c r="P227" s="99"/>
      <c r="Q227" s="94"/>
      <c r="R227" s="99"/>
      <c r="S227" s="94"/>
      <c r="T227" s="99"/>
      <c r="U227" s="94"/>
      <c r="V227" s="99"/>
      <c r="W227" s="94"/>
      <c r="X227" s="166"/>
      <c r="Y227" s="94"/>
      <c r="Z227" s="601"/>
      <c r="AA227" s="606">
        <f t="shared" si="57"/>
        <v>0</v>
      </c>
      <c r="AB227" s="605"/>
      <c r="AC227" s="310"/>
      <c r="AD227" s="166"/>
      <c r="AE227" s="310"/>
      <c r="AF227" s="166"/>
      <c r="AG227" s="310"/>
      <c r="AH227" s="166"/>
      <c r="AI227" s="310"/>
      <c r="AJ227" s="188">
        <f t="shared" si="58"/>
        <v>0</v>
      </c>
      <c r="AK227" s="116"/>
      <c r="AL227" s="1325"/>
      <c r="AM227" s="31"/>
      <c r="AN227" s="1365"/>
      <c r="AO227" s="13">
        <v>131</v>
      </c>
      <c r="AP227" s="74"/>
      <c r="AQ227" s="75"/>
    </row>
    <row r="228" spans="1:43" ht="25.5" hidden="1" x14ac:dyDescent="0.75">
      <c r="A228" s="1107"/>
      <c r="B228" s="76" t="s">
        <v>138</v>
      </c>
      <c r="C228" s="559" t="s">
        <v>338</v>
      </c>
      <c r="D228" s="77"/>
      <c r="E228" s="78"/>
      <c r="F228" s="78"/>
      <c r="G228" s="78"/>
      <c r="H228" s="78"/>
      <c r="I228" s="78"/>
      <c r="J228" s="78"/>
      <c r="K228" s="78"/>
      <c r="L228" s="78"/>
      <c r="M228" s="79"/>
      <c r="N228" s="78"/>
      <c r="O228" s="79"/>
      <c r="P228" s="78"/>
      <c r="Q228" s="79"/>
      <c r="R228" s="78"/>
      <c r="S228" s="79"/>
      <c r="T228" s="78"/>
      <c r="U228" s="79"/>
      <c r="V228" s="78"/>
      <c r="W228" s="79"/>
      <c r="X228" s="159"/>
      <c r="Y228" s="79"/>
      <c r="Z228" s="599"/>
      <c r="AA228" s="606">
        <f t="shared" si="57"/>
        <v>0</v>
      </c>
      <c r="AB228" s="603"/>
      <c r="AC228" s="307"/>
      <c r="AD228" s="159"/>
      <c r="AE228" s="307"/>
      <c r="AF228" s="159"/>
      <c r="AG228" s="307"/>
      <c r="AH228" s="159"/>
      <c r="AI228" s="307"/>
      <c r="AJ228" s="173">
        <f t="shared" si="58"/>
        <v>0</v>
      </c>
      <c r="AK228" s="548" t="str">
        <f>CONCATENATE(IF(D230&lt;SUM(D231,D232,D233,D234)," * Post Treatment Follow up, Total CXCA Screening positive for Age "&amp;D37&amp;" "&amp;D38&amp;" should be greater than or equal to  the sum of (Cryotherapy , Leep , Thermocoagulation and Reffered for treatment)"&amp;CHAR(10),""),IF(E230&lt;SUM(E231,E232,E233,E234)," * Post Treatment Follow up, Total CXCA Screening positive for Age "&amp;D37&amp;" "&amp;E38&amp;" should be greater than or equal to  the sum of (Cryotherapy , Leep , Thermocoagulation and Reffered for treatment)"&amp;CHAR(10),""),IF(F230&lt;SUM(F231,F232,F233,F234)," * Post Treatment Follow up, Total CXCA Screening positive for Age "&amp;F37&amp;" "&amp;F38&amp;" should be greater than or equal to  the sum of (Cryotherapy , Leep , Thermocoagulation and Reffered for treatment)"&amp;CHAR(10),""),IF(G230&lt;SUM(G231,G232,G233,G234)," * Post Treatment Follow up, Total CXCA Screening positive for Age "&amp;F37&amp;" "&amp;G38&amp;" should be greater than or equal to  the sum of (Cryotherapy , Leep , Thermocoagulation and Reffered for treatment)"&amp;CHAR(10),""),IF(H230&lt;SUM(H231,H232,H233,H234)," * Post Treatment Follow up, Total CXCA Screening positive for Age "&amp;H37&amp;" "&amp;H38&amp;" should be greater than or equal to  the sum of (Cryotherapy , Leep , Thermocoagulation and Reffered for treatment)"&amp;CHAR(10),""),IF(I230&lt;SUM(I231,I232,I233,I234)," * Post Treatment Follow up, Total CXCA Screening positive for Age "&amp;H37&amp;" "&amp;I38&amp;" should be greater than or equal to  the sum of (Cryotherapy , Leep , Thermocoagulation and Reffered for treatment)"&amp;CHAR(10),""),IF(J230&lt;SUM(J231,J232,J233,J234)," * Post Treatment Follow up, Total CXCA Screening positive for Age "&amp;J37&amp;" "&amp;J38&amp;" should be greater than or equal to  the sum of (Cryotherapy , Leep , Thermocoagulation and Reffered for treatment)"&amp;CHAR(10),""),IF(K230&lt;SUM(K231,K232,K233,K234)," * Post Treatment Follow up, Total CXCA Screening positive for Age "&amp;J37&amp;" "&amp;K38&amp;" should be greater than or equal to  the sum of (Cryotherapy , Leep , Thermocoagulation and Reffered for treatment)"&amp;CHAR(10),""),IF(L230&lt;SUM(L231,L232,L233,L234)," * Post Treatment Follow up, Total CXCA Screening positive for Age "&amp;L37&amp;" "&amp;L38&amp;" should be greater than or equal to  the sum of (Cryotherapy , Leep , Thermocoagulation and Reffered for treatment)"&amp;CHAR(10),""),IF(M230&lt;SUM(M231,M232,M233,M234)," * Post Treatment Follow up, Total CXCA Screening positive for Age "&amp;L37&amp;" "&amp;M38&amp;" should be greater than or equal to  the sum of (Cryotherapy , Leep , Thermocoagulation and Reffered for treatment)"&amp;CHAR(10),""),IF(N230&lt;SUM(N231,N232,N233,N234)," * Post Treatment Follow up, Total CXCA Screening positive for Age "&amp;N37&amp;" "&amp;N38&amp;" should be greater than or equal to  the sum of (Cryotherapy , Leep , Thermocoagulation and Reffered for treatment)"&amp;CHAR(10),""),IF(O230&lt;SUM(O231,O232,O233,O234)," * Post Treatment Follow up, Total CXCA Screening positive for Age "&amp;N37&amp;" "&amp;O38&amp;" should be greater than or equal to  the sum of (Cryotherapy , Leep , Thermocoagulation and Reffered for treatment)"&amp;CHAR(10),""),IF(P230&lt;SUM(P231,P232,P233,P234)," * Post Treatment Follow up, Total CXCA Screening positive for Age "&amp;P37&amp;" "&amp;P38&amp;" should be greater than or equal to  the sum of (Cryotherapy , Leep , Thermocoagulation and Reffered for treatment)"&amp;CHAR(10),""),IF(Q230&lt;SUM(Q231,Q232,Q233,Q234)," * Post Treatment Follow up, Total CXCA Screening positive for Age "&amp;P37&amp;" "&amp;Q38&amp;" should be greater than or equal to  the sum of (Cryotherapy , Leep , Thermocoagulation and Reffered for treatment)"&amp;CHAR(10),""),IF(R230&lt;SUM(R231,R232,R233,R234)," * Post Treatment Follow up, Total CXCA Screening positive for Age "&amp;R37&amp;" "&amp;R38&amp;" should be greater than or equal to  the sum of (Cryotherapy , Leep , Thermocoagulation and Reffered for treatment)"&amp;CHAR(10),""),IF(S230&lt;SUM(S231,S232,S233,S234)," * Post Treatment Follow up, Total CXCA Screening positive for Age "&amp;R37&amp;" "&amp;S38&amp;" should be greater than or equal to  the sum of (Cryotherapy , Leep , Thermocoagulation and Reffered for treatment)"&amp;CHAR(10),""),IF(T230&lt;SUM(T231,T232,T233,T234)," * Post Treatment Follow up, Total CXCA Screening positive for Age "&amp;T37&amp;" "&amp;T38&amp;" should be greater than or equal to  the sum of (Cryotherapy , Leep , Thermocoagulation and Reffered for treatment)"&amp;CHAR(10),""),IF(U230&lt;SUM(U231,U232,U233,U234)," * Post Treatment Follow up, Total CXCA Screening positive for Age "&amp;T37&amp;" "&amp;U38&amp;" should be greater than or equal to  the sum of (Cryotherapy , Leep , Thermocoagulation and Reffered for treatment)"&amp;CHAR(10),""),IF(V230&lt;SUM(V231,V232,V233,V234)," * Post Treatment Follow up, Total CXCA Screening positive for Age "&amp;V37&amp;" "&amp;V38&amp;" should be greater than or equal to  the sum of (Cryotherapy , Leep , Thermocoagulation and Reffered for treatment)"&amp;CHAR(10),""),IF(W230&lt;SUM(W231,W232,W233,W234)," * Post Treatment Follow up, Total CXCA Screening positive for Age "&amp;V37&amp;" "&amp;W38&amp;" should be greater than or equal to  the sum of (Cryotherapy , Leep , Thermocoagulation and Reffered for treatment)"&amp;CHAR(10),""),IF(X230&lt;SUM(X231,X232,X233,X234)," * Post Treatment Follow up, Total CXCA Screening positive for Age "&amp;X37&amp;" "&amp;X38&amp;" should be greater than or equal to  the sum of (Cryotherapy , Leep , Thermocoagulation and Reffered for treatment)"&amp;CHAR(10),""),IF(Y230&lt;SUM(Y231,Y232,Y233,Y234)," * Post Treatment Follow up, Total CXCA Screening positive for Age "&amp;X37&amp;" "&amp;Y38&amp;" should be greater than or equal to  the sum of (Cryotherapy , Leep , Thermocoagulation and Reffered for treatment)"&amp;CHAR(10),""),IF(Z230&lt;SUM(Z231,Z232,Z233,Z234)," * Post Treatment Follow up, Total CXCA Screening positive for Age "&amp;Z37&amp;" "&amp;Z38&amp;" should be greater than or equal to  the sum of (Cryotherapy , Leep , Thermocoagulation and Reffered for treatment)"&amp;CHAR(10),""),IF(AA230&lt;SUM(AA231,AA232,AA233,AA234)," * Post Treatment Follow up, Total CXCA Screening positive for Age "&amp;Z37&amp;" "&amp;AA38&amp;" should be greater than or equal to  the sum of (Cryotherapy , Leep , Thermocoagulation and Reffered for treatment)"&amp;CHAR(10),""))</f>
        <v/>
      </c>
      <c r="AL228" s="1325"/>
      <c r="AM228" s="31"/>
      <c r="AN228" s="1365"/>
      <c r="AO228" s="13">
        <v>132</v>
      </c>
      <c r="AP228" s="74"/>
      <c r="AQ228" s="75"/>
    </row>
    <row r="229" spans="1:43" ht="25.5" hidden="1" x14ac:dyDescent="0.75">
      <c r="A229" s="1107"/>
      <c r="B229" s="76" t="s">
        <v>633</v>
      </c>
      <c r="C229" s="559" t="s">
        <v>339</v>
      </c>
      <c r="D229" s="77"/>
      <c r="E229" s="78"/>
      <c r="F229" s="78"/>
      <c r="G229" s="78"/>
      <c r="H229" s="78"/>
      <c r="I229" s="78"/>
      <c r="J229" s="78"/>
      <c r="K229" s="78"/>
      <c r="L229" s="78"/>
      <c r="M229" s="79"/>
      <c r="N229" s="78"/>
      <c r="O229" s="79"/>
      <c r="P229" s="78"/>
      <c r="Q229" s="79"/>
      <c r="R229" s="78"/>
      <c r="S229" s="79"/>
      <c r="T229" s="78"/>
      <c r="U229" s="79"/>
      <c r="V229" s="78"/>
      <c r="W229" s="79"/>
      <c r="X229" s="159"/>
      <c r="Y229" s="79"/>
      <c r="Z229" s="599"/>
      <c r="AA229" s="606">
        <f t="shared" si="57"/>
        <v>0</v>
      </c>
      <c r="AB229" s="603"/>
      <c r="AC229" s="307"/>
      <c r="AD229" s="159"/>
      <c r="AE229" s="307"/>
      <c r="AF229" s="159"/>
      <c r="AG229" s="307"/>
      <c r="AH229" s="159"/>
      <c r="AI229" s="307"/>
      <c r="AJ229" s="173">
        <f t="shared" si="58"/>
        <v>0</v>
      </c>
      <c r="AK229" s="116"/>
      <c r="AL229" s="1325"/>
      <c r="AM229" s="31"/>
      <c r="AN229" s="1365"/>
      <c r="AO229" s="13">
        <v>133</v>
      </c>
      <c r="AP229" s="74"/>
      <c r="AQ229" s="75"/>
    </row>
    <row r="230" spans="1:43" ht="25.5" hidden="1" x14ac:dyDescent="0.75">
      <c r="A230" s="1108"/>
      <c r="B230" s="160" t="s">
        <v>807</v>
      </c>
      <c r="C230" s="559" t="s">
        <v>810</v>
      </c>
      <c r="D230" s="77"/>
      <c r="E230" s="78"/>
      <c r="F230" s="78"/>
      <c r="G230" s="78"/>
      <c r="H230" s="78"/>
      <c r="I230" s="78"/>
      <c r="J230" s="78"/>
      <c r="K230" s="78"/>
      <c r="L230" s="78"/>
      <c r="M230" s="161">
        <f>M229+M228</f>
        <v>0</v>
      </c>
      <c r="N230" s="162"/>
      <c r="O230" s="161">
        <f>O229+O228</f>
        <v>0</v>
      </c>
      <c r="P230" s="78"/>
      <c r="Q230" s="161">
        <f>Q229+Q228</f>
        <v>0</v>
      </c>
      <c r="R230" s="78"/>
      <c r="S230" s="161">
        <f>S229+S228</f>
        <v>0</v>
      </c>
      <c r="T230" s="78"/>
      <c r="U230" s="161">
        <f>U229+U228</f>
        <v>0</v>
      </c>
      <c r="V230" s="78"/>
      <c r="W230" s="161">
        <f>W229+W228</f>
        <v>0</v>
      </c>
      <c r="X230" s="159"/>
      <c r="Y230" s="161">
        <f>Y229+Y228</f>
        <v>0</v>
      </c>
      <c r="Z230" s="599"/>
      <c r="AA230" s="606">
        <f t="shared" si="57"/>
        <v>0</v>
      </c>
      <c r="AB230" s="603"/>
      <c r="AC230" s="329">
        <f>AC229+AC228</f>
        <v>0</v>
      </c>
      <c r="AD230" s="159"/>
      <c r="AE230" s="329">
        <f>AE229+AE228</f>
        <v>0</v>
      </c>
      <c r="AF230" s="159"/>
      <c r="AG230" s="329">
        <f>AG229+AG228</f>
        <v>0</v>
      </c>
      <c r="AH230" s="159"/>
      <c r="AI230" s="329">
        <f>AI229+AI228</f>
        <v>0</v>
      </c>
      <c r="AJ230" s="173">
        <f t="shared" si="58"/>
        <v>0</v>
      </c>
      <c r="AK230" s="116"/>
      <c r="AL230" s="1325"/>
      <c r="AM230" s="31"/>
      <c r="AN230" s="1365"/>
      <c r="AO230" s="13">
        <v>134</v>
      </c>
      <c r="AP230" s="74"/>
      <c r="AQ230" s="75"/>
    </row>
    <row r="231" spans="1:43" ht="25.5" hidden="1" x14ac:dyDescent="0.75">
      <c r="A231" s="870"/>
      <c r="B231" s="163" t="s">
        <v>1249</v>
      </c>
      <c r="C231" s="559" t="s">
        <v>940</v>
      </c>
      <c r="D231" s="77"/>
      <c r="E231" s="78"/>
      <c r="F231" s="78"/>
      <c r="G231" s="78"/>
      <c r="H231" s="78"/>
      <c r="I231" s="78"/>
      <c r="J231" s="78"/>
      <c r="K231" s="78"/>
      <c r="L231" s="78"/>
      <c r="M231" s="164"/>
      <c r="N231" s="162"/>
      <c r="O231" s="164"/>
      <c r="P231" s="78"/>
      <c r="Q231" s="164"/>
      <c r="R231" s="78"/>
      <c r="S231" s="164"/>
      <c r="T231" s="78"/>
      <c r="U231" s="164"/>
      <c r="V231" s="78"/>
      <c r="W231" s="164"/>
      <c r="X231" s="159"/>
      <c r="Y231" s="164"/>
      <c r="Z231" s="599"/>
      <c r="AA231" s="606">
        <f t="shared" si="57"/>
        <v>0</v>
      </c>
      <c r="AB231" s="603"/>
      <c r="AC231" s="330"/>
      <c r="AD231" s="159"/>
      <c r="AE231" s="330"/>
      <c r="AF231" s="159"/>
      <c r="AG231" s="330"/>
      <c r="AH231" s="159"/>
      <c r="AI231" s="330"/>
      <c r="AJ231" s="173">
        <f t="shared" si="58"/>
        <v>0</v>
      </c>
      <c r="AK231" s="116"/>
      <c r="AL231" s="1325"/>
      <c r="AM231" s="31"/>
      <c r="AN231" s="1365"/>
      <c r="AO231" s="13">
        <v>135</v>
      </c>
      <c r="AP231" s="74"/>
      <c r="AQ231" s="75"/>
    </row>
    <row r="232" spans="1:43" ht="25.5" hidden="1" x14ac:dyDescent="0.75">
      <c r="A232" s="870"/>
      <c r="B232" s="76" t="s">
        <v>634</v>
      </c>
      <c r="C232" s="559" t="s">
        <v>228</v>
      </c>
      <c r="D232" s="77"/>
      <c r="E232" s="78"/>
      <c r="F232" s="78"/>
      <c r="G232" s="78"/>
      <c r="H232" s="78"/>
      <c r="I232" s="78"/>
      <c r="J232" s="78"/>
      <c r="K232" s="78"/>
      <c r="L232" s="78"/>
      <c r="M232" s="79"/>
      <c r="N232" s="78"/>
      <c r="O232" s="79"/>
      <c r="P232" s="78"/>
      <c r="Q232" s="79"/>
      <c r="R232" s="78"/>
      <c r="S232" s="79"/>
      <c r="T232" s="78"/>
      <c r="U232" s="79"/>
      <c r="V232" s="78"/>
      <c r="W232" s="79"/>
      <c r="X232" s="159"/>
      <c r="Y232" s="79"/>
      <c r="Z232" s="599"/>
      <c r="AA232" s="606">
        <f t="shared" si="57"/>
        <v>0</v>
      </c>
      <c r="AB232" s="603"/>
      <c r="AC232" s="307"/>
      <c r="AD232" s="159"/>
      <c r="AE232" s="307"/>
      <c r="AF232" s="159"/>
      <c r="AG232" s="307"/>
      <c r="AH232" s="159"/>
      <c r="AI232" s="307"/>
      <c r="AJ232" s="173">
        <f t="shared" si="58"/>
        <v>0</v>
      </c>
      <c r="AK232" s="116"/>
      <c r="AL232" s="1325"/>
      <c r="AM232" s="31"/>
      <c r="AN232" s="1365"/>
      <c r="AO232" s="13">
        <v>136</v>
      </c>
      <c r="AP232" s="74"/>
      <c r="AQ232" s="75"/>
    </row>
    <row r="233" spans="1:43" ht="25.5" hidden="1" x14ac:dyDescent="0.75">
      <c r="A233" s="870"/>
      <c r="B233" s="76" t="s">
        <v>635</v>
      </c>
      <c r="C233" s="559" t="s">
        <v>340</v>
      </c>
      <c r="D233" s="77"/>
      <c r="E233" s="78"/>
      <c r="F233" s="78"/>
      <c r="G233" s="78"/>
      <c r="H233" s="78"/>
      <c r="I233" s="78"/>
      <c r="J233" s="78"/>
      <c r="K233" s="78"/>
      <c r="L233" s="78"/>
      <c r="M233" s="79"/>
      <c r="N233" s="78"/>
      <c r="O233" s="79"/>
      <c r="P233" s="78"/>
      <c r="Q233" s="79"/>
      <c r="R233" s="78"/>
      <c r="S233" s="79"/>
      <c r="T233" s="78"/>
      <c r="U233" s="79"/>
      <c r="V233" s="78"/>
      <c r="W233" s="79"/>
      <c r="X233" s="159"/>
      <c r="Y233" s="79"/>
      <c r="Z233" s="599"/>
      <c r="AA233" s="606">
        <f t="shared" si="57"/>
        <v>0</v>
      </c>
      <c r="AB233" s="603"/>
      <c r="AC233" s="307"/>
      <c r="AD233" s="159"/>
      <c r="AE233" s="307"/>
      <c r="AF233" s="159"/>
      <c r="AG233" s="307"/>
      <c r="AH233" s="159"/>
      <c r="AI233" s="307"/>
      <c r="AJ233" s="173">
        <f t="shared" si="58"/>
        <v>0</v>
      </c>
      <c r="AK233" s="116"/>
      <c r="AL233" s="1325"/>
      <c r="AM233" s="31"/>
      <c r="AN233" s="1365"/>
      <c r="AO233" s="13">
        <v>137</v>
      </c>
      <c r="AP233" s="74"/>
      <c r="AQ233" s="75"/>
    </row>
    <row r="234" spans="1:43" ht="25.9" hidden="1" thickBot="1" x14ac:dyDescent="0.8">
      <c r="A234" s="867"/>
      <c r="B234" s="118" t="s">
        <v>636</v>
      </c>
      <c r="C234" s="560" t="s">
        <v>341</v>
      </c>
      <c r="D234" s="133"/>
      <c r="E234" s="120"/>
      <c r="F234" s="120"/>
      <c r="G234" s="120"/>
      <c r="H234" s="120"/>
      <c r="I234" s="120"/>
      <c r="J234" s="120"/>
      <c r="K234" s="120"/>
      <c r="L234" s="120"/>
      <c r="M234" s="89"/>
      <c r="N234" s="102"/>
      <c r="O234" s="89"/>
      <c r="P234" s="102"/>
      <c r="Q234" s="89"/>
      <c r="R234" s="102"/>
      <c r="S234" s="89"/>
      <c r="T234" s="102"/>
      <c r="U234" s="89"/>
      <c r="V234" s="102"/>
      <c r="W234" s="89"/>
      <c r="X234" s="165"/>
      <c r="Y234" s="89"/>
      <c r="Z234" s="600"/>
      <c r="AA234" s="606">
        <f t="shared" si="57"/>
        <v>0</v>
      </c>
      <c r="AB234" s="604"/>
      <c r="AC234" s="309"/>
      <c r="AD234" s="165"/>
      <c r="AE234" s="309"/>
      <c r="AF234" s="165"/>
      <c r="AG234" s="309"/>
      <c r="AH234" s="165"/>
      <c r="AI234" s="309"/>
      <c r="AJ234" s="380">
        <f t="shared" si="58"/>
        <v>0</v>
      </c>
      <c r="AK234" s="122"/>
      <c r="AL234" s="1326"/>
      <c r="AM234" s="123"/>
      <c r="AN234" s="1366"/>
      <c r="AO234" s="13">
        <v>138</v>
      </c>
      <c r="AP234" s="74"/>
      <c r="AQ234" s="75"/>
    </row>
    <row r="235" spans="1:43" ht="25.9" hidden="1" thickBot="1" x14ac:dyDescent="0.8">
      <c r="A235" s="1287" t="s">
        <v>114</v>
      </c>
      <c r="B235" s="1144"/>
      <c r="C235" s="1144"/>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5"/>
      <c r="AB235" s="1194"/>
      <c r="AC235" s="1194"/>
      <c r="AD235" s="1194"/>
      <c r="AE235" s="1194"/>
      <c r="AF235" s="1194"/>
      <c r="AG235" s="1194"/>
      <c r="AH235" s="1194"/>
      <c r="AI235" s="1194"/>
      <c r="AJ235" s="1144"/>
      <c r="AK235" s="1144"/>
      <c r="AL235" s="1144"/>
      <c r="AM235" s="1144"/>
      <c r="AN235" s="1146"/>
      <c r="AO235" s="13">
        <v>139</v>
      </c>
      <c r="AP235" s="74"/>
      <c r="AQ235" s="75"/>
    </row>
    <row r="236" spans="1:43" ht="26.25" hidden="1" customHeight="1" x14ac:dyDescent="0.75">
      <c r="A236" s="1122" t="s">
        <v>36</v>
      </c>
      <c r="B236" s="1223" t="s">
        <v>321</v>
      </c>
      <c r="C236" s="1155" t="s">
        <v>305</v>
      </c>
      <c r="D236" s="1131" t="s">
        <v>0</v>
      </c>
      <c r="E236" s="1131"/>
      <c r="F236" s="1131" t="s">
        <v>1</v>
      </c>
      <c r="G236" s="1131"/>
      <c r="H236" s="1131" t="s">
        <v>2</v>
      </c>
      <c r="I236" s="1131"/>
      <c r="J236" s="1131" t="s">
        <v>3</v>
      </c>
      <c r="K236" s="1131"/>
      <c r="L236" s="1131" t="s">
        <v>4</v>
      </c>
      <c r="M236" s="1131"/>
      <c r="N236" s="1131" t="s">
        <v>5</v>
      </c>
      <c r="O236" s="1131"/>
      <c r="P236" s="1131" t="s">
        <v>6</v>
      </c>
      <c r="Q236" s="1131"/>
      <c r="R236" s="1131" t="s">
        <v>7</v>
      </c>
      <c r="S236" s="1131"/>
      <c r="T236" s="1131" t="s">
        <v>8</v>
      </c>
      <c r="U236" s="1131"/>
      <c r="V236" s="1131" t="s">
        <v>23</v>
      </c>
      <c r="W236" s="1131"/>
      <c r="X236" s="1131" t="s">
        <v>24</v>
      </c>
      <c r="Y236" s="1131"/>
      <c r="Z236" s="1131" t="s">
        <v>9</v>
      </c>
      <c r="AA236" s="1115"/>
      <c r="AB236" s="1341"/>
      <c r="AC236" s="1117"/>
      <c r="AD236" s="1117"/>
      <c r="AE236" s="1117"/>
      <c r="AF236" s="1117"/>
      <c r="AG236" s="1117"/>
      <c r="AH236" s="1117"/>
      <c r="AI236" s="1118"/>
      <c r="AJ236" s="1302" t="s">
        <v>19</v>
      </c>
      <c r="AK236" s="1300" t="s">
        <v>354</v>
      </c>
      <c r="AL236" s="1292" t="s">
        <v>360</v>
      </c>
      <c r="AM236" s="1150" t="s">
        <v>361</v>
      </c>
      <c r="AN236" s="1229" t="s">
        <v>361</v>
      </c>
      <c r="AO236" s="13">
        <v>140</v>
      </c>
      <c r="AP236" s="74"/>
      <c r="AQ236" s="75"/>
    </row>
    <row r="237" spans="1:43" ht="27" hidden="1" customHeight="1" thickBot="1" x14ac:dyDescent="0.8">
      <c r="A237" s="1123"/>
      <c r="B237" s="1224"/>
      <c r="C237" s="1222"/>
      <c r="D237" s="284" t="s">
        <v>10</v>
      </c>
      <c r="E237" s="284" t="s">
        <v>11</v>
      </c>
      <c r="F237" s="284" t="s">
        <v>10</v>
      </c>
      <c r="G237" s="284" t="s">
        <v>11</v>
      </c>
      <c r="H237" s="284" t="s">
        <v>10</v>
      </c>
      <c r="I237" s="284" t="s">
        <v>11</v>
      </c>
      <c r="J237" s="284" t="s">
        <v>10</v>
      </c>
      <c r="K237" s="284" t="s">
        <v>11</v>
      </c>
      <c r="L237" s="284" t="s">
        <v>10</v>
      </c>
      <c r="M237" s="284" t="s">
        <v>11</v>
      </c>
      <c r="N237" s="284" t="s">
        <v>10</v>
      </c>
      <c r="O237" s="284" t="s">
        <v>11</v>
      </c>
      <c r="P237" s="284" t="s">
        <v>10</v>
      </c>
      <c r="Q237" s="284" t="s">
        <v>11</v>
      </c>
      <c r="R237" s="284" t="s">
        <v>10</v>
      </c>
      <c r="S237" s="284" t="s">
        <v>11</v>
      </c>
      <c r="T237" s="284" t="s">
        <v>10</v>
      </c>
      <c r="U237" s="284" t="s">
        <v>11</v>
      </c>
      <c r="V237" s="284" t="s">
        <v>10</v>
      </c>
      <c r="W237" s="284" t="s">
        <v>11</v>
      </c>
      <c r="X237" s="284" t="s">
        <v>10</v>
      </c>
      <c r="Y237" s="284" t="s">
        <v>11</v>
      </c>
      <c r="Z237" s="284" t="s">
        <v>10</v>
      </c>
      <c r="AA237" s="490" t="s">
        <v>11</v>
      </c>
      <c r="AB237" s="359"/>
      <c r="AC237" s="360"/>
      <c r="AD237" s="360"/>
      <c r="AE237" s="360"/>
      <c r="AF237" s="360"/>
      <c r="AG237" s="360"/>
      <c r="AH237" s="360"/>
      <c r="AI237" s="361"/>
      <c r="AJ237" s="1303"/>
      <c r="AK237" s="1301"/>
      <c r="AL237" s="1236"/>
      <c r="AM237" s="1150"/>
      <c r="AN237" s="1148"/>
      <c r="AO237" s="13">
        <v>141</v>
      </c>
      <c r="AP237" s="74"/>
      <c r="AQ237" s="75"/>
    </row>
    <row r="238" spans="1:43" ht="30.75" hidden="1" customHeight="1" x14ac:dyDescent="0.75">
      <c r="A238" s="1227" t="s">
        <v>900</v>
      </c>
      <c r="B238" s="167" t="s">
        <v>637</v>
      </c>
      <c r="C238" s="557" t="s">
        <v>493</v>
      </c>
      <c r="D238" s="168">
        <f t="shared" ref="D238:AA238" si="59">D8</f>
        <v>0</v>
      </c>
      <c r="E238" s="168">
        <f t="shared" si="59"/>
        <v>0</v>
      </c>
      <c r="F238" s="168">
        <f t="shared" si="59"/>
        <v>0</v>
      </c>
      <c r="G238" s="168">
        <f t="shared" si="59"/>
        <v>0</v>
      </c>
      <c r="H238" s="168">
        <f t="shared" si="59"/>
        <v>0</v>
      </c>
      <c r="I238" s="168">
        <f t="shared" si="59"/>
        <v>0</v>
      </c>
      <c r="J238" s="168">
        <f t="shared" si="59"/>
        <v>0</v>
      </c>
      <c r="K238" s="168">
        <f t="shared" si="59"/>
        <v>0</v>
      </c>
      <c r="L238" s="168">
        <f t="shared" si="59"/>
        <v>0</v>
      </c>
      <c r="M238" s="168">
        <f t="shared" si="59"/>
        <v>0</v>
      </c>
      <c r="N238" s="168">
        <f t="shared" si="59"/>
        <v>0</v>
      </c>
      <c r="O238" s="168">
        <f t="shared" si="59"/>
        <v>0</v>
      </c>
      <c r="P238" s="168">
        <f t="shared" si="59"/>
        <v>0</v>
      </c>
      <c r="Q238" s="168">
        <f t="shared" si="59"/>
        <v>0</v>
      </c>
      <c r="R238" s="168">
        <f t="shared" si="59"/>
        <v>0</v>
      </c>
      <c r="S238" s="168">
        <f t="shared" si="59"/>
        <v>0</v>
      </c>
      <c r="T238" s="168">
        <f t="shared" si="59"/>
        <v>0</v>
      </c>
      <c r="U238" s="168">
        <f t="shared" si="59"/>
        <v>0</v>
      </c>
      <c r="V238" s="168">
        <f t="shared" si="59"/>
        <v>0</v>
      </c>
      <c r="W238" s="168">
        <f t="shared" si="59"/>
        <v>0</v>
      </c>
      <c r="X238" s="168">
        <f t="shared" si="59"/>
        <v>0</v>
      </c>
      <c r="Y238" s="168">
        <f t="shared" si="59"/>
        <v>0</v>
      </c>
      <c r="Z238" s="168">
        <f t="shared" si="59"/>
        <v>0</v>
      </c>
      <c r="AA238" s="168">
        <f t="shared" si="59"/>
        <v>0</v>
      </c>
      <c r="AB238" s="491"/>
      <c r="AC238" s="491"/>
      <c r="AD238" s="491"/>
      <c r="AE238" s="491"/>
      <c r="AF238" s="491"/>
      <c r="AG238" s="491"/>
      <c r="AH238" s="491"/>
      <c r="AI238" s="491"/>
      <c r="AJ238" s="168">
        <f>AJ8</f>
        <v>0</v>
      </c>
      <c r="AK238" s="30" t="str">
        <f>CONCATENATE(IF(D239&gt;D238," * No Screened for GBV "&amp;$D$20&amp;" "&amp;$D$21&amp;" is more than Clients Seen at OPD"&amp;CHAR(10),""),IF(E239&gt;E238," * No Screened For GBV "&amp;$D$20&amp;" "&amp;$E$21&amp;" is more than Clients Seen at OPD"&amp;CHAR(10),""),IF(F239&gt;F238," * No Screened For GBV "&amp;$F$20&amp;" "&amp;$F$21&amp;" is more than Clients Seen at OPD"&amp;CHAR(10),""),IF(G239&gt;G238," * No Screened For GBV "&amp;$F$20&amp;" "&amp;$G$21&amp;" is more than Clients Seen at OPD"&amp;CHAR(10),""),IF(H239&gt;H238," * No Screened For GBV "&amp;$H$20&amp;" "&amp;$H$21&amp;" is more than Clients Seen at OPD"&amp;CHAR(10),""),IF(I239&gt;I238," * No Screened For GBV "&amp;$H$20&amp;" "&amp;$I$21&amp;" is more than Clients Seen at OPD"&amp;CHAR(10),""),IF(J239&gt;J238," * No Screened For GBV "&amp;$J$20&amp;" "&amp;$J$21&amp;" is more than Clients Seen at OPD"&amp;CHAR(10),""),IF(K239&gt;K238," * No Screened For GBV "&amp;$J$20&amp;" "&amp;$K$21&amp;" is more than Clients Seen at OPD"&amp;CHAR(10),""),IF(L239&gt;L238," * No Screened For GBV "&amp;$L$20&amp;" "&amp;$L$21&amp;" is more than Clients Seen at OPD"&amp;CHAR(10),""),IF(M239&gt;M238," * No Screened For GBV "&amp;$L$20&amp;" "&amp;$M$21&amp;" is more than Clients Seen at OPD"&amp;CHAR(10),""),IF(N239&gt;N238," * No Screened For GBV "&amp;$N$20&amp;" "&amp;$N$21&amp;" is more than Clients Seen at OPD"&amp;CHAR(10),""),IF(O239&gt;O238," * No Screened For GBV "&amp;$N$20&amp;" "&amp;$O$21&amp;" is more than Clients Seen at OPD"&amp;CHAR(10),""),IF(P239&gt;P238," * No Screened For GBV "&amp;$P$20&amp;" "&amp;$P$21&amp;" is more than Clients Seen at OPD"&amp;CHAR(10),""),IF(Q239&gt;Q238," * No Screened For GBV "&amp;$P$20&amp;" "&amp;$Q$21&amp;" is more than Clients Seen at OPD"&amp;CHAR(10),""),IF(R239&gt;R238," * No Screened For GBV "&amp;$R$20&amp;" "&amp;$R$21&amp;" is more than Clients Seen at OPD"&amp;CHAR(10),""),IF(S239&gt;S238," * No Screened For GBV "&amp;$R$20&amp;" "&amp;$S$21&amp;" is more than Clients Seen at OPD"&amp;CHAR(10),""),IF(T239&gt;T238," * No Screened For GBV "&amp;$T$20&amp;" "&amp;$T$21&amp;" is more than Clients Seen at OPD"&amp;CHAR(10),""),IF(U239&gt;U238," * No Screened For GBV "&amp;$T$20&amp;" "&amp;$U$21&amp;" is more than Clients Seen at OPD"&amp;CHAR(10),""),IF(V239&gt;V238," * No Screened For GBV "&amp;$V$20&amp;" "&amp;$V$21&amp;" is more than Clients Seen at OPD"&amp;CHAR(10),""),IF(W239&gt;W238," * No Screened For GBV "&amp;$V$20&amp;" "&amp;$W$21&amp;" is more than Clients Seen at OPD"&amp;CHAR(10),""),IF(X239&gt;X238," * No Screened For GBV "&amp;$X$20&amp;" "&amp;$X$21&amp;" is more than Clients Seen at OPD"&amp;CHAR(10),""),IF(Y239&gt;Y238," * No Screened For GBV "&amp;$X$20&amp;" "&amp;$Y$21&amp;" is more than Clients Seen at OPD"&amp;CHAR(10),""),IF(Z239&gt;Z238," * No Screened For GBV "&amp;$Z$20&amp;" "&amp;$Z$21&amp;" is more than Clients Seen at OPD"&amp;CHAR(10),""),IF(AA239&gt;AA238," * No Screened For GBV "&amp;$Z$20&amp;" "&amp;$AA$21&amp;" is more than Clients Seen at OPD"&amp;CHAR(10),""))</f>
        <v/>
      </c>
      <c r="AL238" s="1347" t="str">
        <f>CONCATENATE(AK238,AK239,AK240,AK241,AK242,AK243,AK244,AK245,AK246)</f>
        <v/>
      </c>
      <c r="AM238" s="73"/>
      <c r="AN238" s="1401" t="str">
        <f>CONCATENATE(AM238,AM275,AM276,AM277,AM278,AM279,AM280,AM281,AM282,AM283,AM284,AM285,AM286,AM287,AM288)</f>
        <v/>
      </c>
      <c r="AO238" s="13">
        <v>142</v>
      </c>
      <c r="AP238" s="74"/>
      <c r="AQ238" s="75"/>
    </row>
    <row r="239" spans="1:43" ht="25.9" hidden="1" thickBot="1" x14ac:dyDescent="0.8">
      <c r="A239" s="1227"/>
      <c r="B239" s="169" t="s">
        <v>855</v>
      </c>
      <c r="C239" s="555" t="s">
        <v>494</v>
      </c>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331"/>
      <c r="AC239" s="331"/>
      <c r="AD239" s="331"/>
      <c r="AE239" s="331"/>
      <c r="AF239" s="331"/>
      <c r="AG239" s="331"/>
      <c r="AH239" s="331"/>
      <c r="AI239" s="331"/>
      <c r="AJ239" s="29">
        <f>SUM(D239:AA239)</f>
        <v>0</v>
      </c>
      <c r="AK239" s="130"/>
      <c r="AL239" s="1348"/>
      <c r="AM239" s="31"/>
      <c r="AN239" s="1402"/>
      <c r="AO239" s="13">
        <v>143</v>
      </c>
      <c r="AP239" s="74"/>
      <c r="AQ239" s="75"/>
    </row>
    <row r="240" spans="1:43" ht="25.9" hidden="1" thickBot="1" x14ac:dyDescent="0.8">
      <c r="A240" s="1227"/>
      <c r="B240" s="171" t="s">
        <v>859</v>
      </c>
      <c r="C240" s="555" t="s">
        <v>820</v>
      </c>
      <c r="D240" s="172">
        <f>D241+D243+D245+D246</f>
        <v>0</v>
      </c>
      <c r="E240" s="172">
        <f t="shared" ref="E240:AA240" si="60">E241+E243+E245+E246</f>
        <v>0</v>
      </c>
      <c r="F240" s="172">
        <f t="shared" si="60"/>
        <v>0</v>
      </c>
      <c r="G240" s="172">
        <f t="shared" si="60"/>
        <v>0</v>
      </c>
      <c r="H240" s="172">
        <f t="shared" si="60"/>
        <v>0</v>
      </c>
      <c r="I240" s="172">
        <f t="shared" si="60"/>
        <v>0</v>
      </c>
      <c r="J240" s="172">
        <f t="shared" si="60"/>
        <v>0</v>
      </c>
      <c r="K240" s="172">
        <f t="shared" si="60"/>
        <v>0</v>
      </c>
      <c r="L240" s="172">
        <f t="shared" si="60"/>
        <v>0</v>
      </c>
      <c r="M240" s="172">
        <f t="shared" si="60"/>
        <v>0</v>
      </c>
      <c r="N240" s="172">
        <f t="shared" si="60"/>
        <v>0</v>
      </c>
      <c r="O240" s="172">
        <f t="shared" si="60"/>
        <v>0</v>
      </c>
      <c r="P240" s="172">
        <f t="shared" si="60"/>
        <v>0</v>
      </c>
      <c r="Q240" s="172">
        <f t="shared" si="60"/>
        <v>0</v>
      </c>
      <c r="R240" s="172">
        <f t="shared" si="60"/>
        <v>0</v>
      </c>
      <c r="S240" s="172">
        <f t="shared" si="60"/>
        <v>0</v>
      </c>
      <c r="T240" s="172">
        <f t="shared" si="60"/>
        <v>0</v>
      </c>
      <c r="U240" s="172">
        <f t="shared" si="60"/>
        <v>0</v>
      </c>
      <c r="V240" s="172">
        <f t="shared" si="60"/>
        <v>0</v>
      </c>
      <c r="W240" s="172">
        <f t="shared" si="60"/>
        <v>0</v>
      </c>
      <c r="X240" s="172">
        <f t="shared" si="60"/>
        <v>0</v>
      </c>
      <c r="Y240" s="172">
        <f t="shared" si="60"/>
        <v>0</v>
      </c>
      <c r="Z240" s="172">
        <f t="shared" si="60"/>
        <v>0</v>
      </c>
      <c r="AA240" s="172">
        <f t="shared" si="60"/>
        <v>0</v>
      </c>
      <c r="AB240" s="332"/>
      <c r="AC240" s="332"/>
      <c r="AD240" s="332"/>
      <c r="AE240" s="332"/>
      <c r="AF240" s="332"/>
      <c r="AG240" s="332"/>
      <c r="AH240" s="332"/>
      <c r="AI240" s="332"/>
      <c r="AJ240" s="173">
        <f t="shared" ref="AJ240:AJ246" si="61">SUM(D240:AA240)</f>
        <v>0</v>
      </c>
      <c r="AK240" s="130"/>
      <c r="AL240" s="1348"/>
      <c r="AM240" s="31"/>
      <c r="AN240" s="1402"/>
      <c r="AO240" s="13">
        <v>144</v>
      </c>
      <c r="AP240" s="74"/>
      <c r="AQ240" s="75"/>
    </row>
    <row r="241" spans="1:43" ht="25.9" hidden="1" thickBot="1" x14ac:dyDescent="0.8">
      <c r="A241" s="1227"/>
      <c r="B241" s="169" t="s">
        <v>811</v>
      </c>
      <c r="C241" s="555" t="s">
        <v>821</v>
      </c>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333"/>
      <c r="AC241" s="333"/>
      <c r="AD241" s="333"/>
      <c r="AE241" s="333"/>
      <c r="AF241" s="333"/>
      <c r="AG241" s="333"/>
      <c r="AH241" s="333"/>
      <c r="AI241" s="333"/>
      <c r="AJ241" s="29">
        <f t="shared" si="61"/>
        <v>0</v>
      </c>
      <c r="AK241" s="30" t="str">
        <f>CONCATENATE(IF(D242&gt;D241," * OPD Sexual Violence Initiated Pep "&amp;$D$20&amp;" "&amp;$D$21&amp;" is more than OPD Sexual Violence Rape Survivors"&amp;CHAR(10),""),IF(E242&gt;E241," * OPD Sexual Violence Initiated Pep "&amp;$D$20&amp;" "&amp;$E$21&amp;" is more than OPD Sexual Violence Rape Survivors"&amp;CHAR(10),""),IF(F242&gt;F241," * OPD Sexual Violence Initiated Pep "&amp;$F$20&amp;" "&amp;$F$21&amp;" is more than OPD Sexual Violence Rape Survivors"&amp;CHAR(10),""),IF(G242&gt;G241," * OPD Sexual Violence Initiated Pep "&amp;$F$20&amp;" "&amp;$G$21&amp;" is more than OPD Sexual Violence Rape Survivors"&amp;CHAR(10),""),IF(H242&gt;H241," * OPD Sexual Violence Initiated Pep "&amp;$H$20&amp;" "&amp;$H$21&amp;" is more than OPD Sexual Violence Rape Survivors"&amp;CHAR(10),""),IF(I242&gt;I241," * OPD Sexual Violence Initiated Pep "&amp;$H$20&amp;" "&amp;$I$21&amp;" is more than OPD Sexual Violence Rape Survivors"&amp;CHAR(10),""),IF(J242&gt;J241," * OPD Sexual Violence Initiated Pep "&amp;$J$20&amp;" "&amp;$J$21&amp;" is more than OPD Sexual Violence Rape Survivors"&amp;CHAR(10),""),IF(K242&gt;K241," * OPD Sexual Violence Initiated Pep "&amp;$J$20&amp;" "&amp;$K$21&amp;" is more than OPD Sexual Violence Rape Survivors"&amp;CHAR(10),""),IF(L242&gt;L241," * OPD Sexual Violence Initiated Pep "&amp;$L$20&amp;" "&amp;$L$21&amp;" is more than OPD Sexual Violence Rape Survivors"&amp;CHAR(10),""),IF(M242&gt;M241," * OPD Sexual Violence Initiated Pep "&amp;$L$20&amp;" "&amp;$M$21&amp;" is more than OPD Sexual Violence Rape Survivors"&amp;CHAR(10),""),IF(N242&gt;N241," * OPD Sexual Violence Initiated Pep "&amp;$N$20&amp;" "&amp;$N$21&amp;" is more than OPD Sexual Violence Rape Survivors"&amp;CHAR(10),""),IF(O242&gt;O241," * OPD Sexual Violence Initiated Pep "&amp;$N$20&amp;" "&amp;$O$21&amp;" is more than OPD Sexual Violence Rape Survivors"&amp;CHAR(10),""),IF(P242&gt;P241," * OPD Sexual Violence Initiated Pep "&amp;$P$20&amp;" "&amp;$P$21&amp;" is more than OPD Sexual Violence Rape Survivors"&amp;CHAR(10),""),IF(Q242&gt;Q241," * OPD Sexual Violence Initiated Pep "&amp;$P$20&amp;" "&amp;$Q$21&amp;" is more than OPD Sexual Violence Rape Survivors"&amp;CHAR(10),""),IF(R242&gt;R241," * OPD Sexual Violence Initiated Pep "&amp;$R$20&amp;" "&amp;$R$21&amp;" is more than OPD Sexual Violence Rape Survivors"&amp;CHAR(10),""),IF(S242&gt;S241," * OPD Sexual Violence Initiated Pep "&amp;$R$20&amp;" "&amp;$S$21&amp;" is more than OPD Sexual Violence Rape Survivors"&amp;CHAR(10),""),IF(T242&gt;T241," * OPD Sexual Violence Initiated Pep "&amp;$T$20&amp;" "&amp;$T$21&amp;" is more than OPD Sexual Violence Rape Survivors"&amp;CHAR(10),""),IF(U242&gt;U241," * OPD Sexual Violence Initiated Pep "&amp;$T$20&amp;" "&amp;$U$21&amp;" is more than OPD Sexual Violence Rape Survivors"&amp;CHAR(10),""),IF(V242&gt;V241," * OPD Sexual Violence Initiated Pep "&amp;$V$20&amp;" "&amp;$V$21&amp;" is more than OPD Sexual Violence Rape Survivors"&amp;CHAR(10),""),IF(W242&gt;W241," * OPD Sexual Violence Initiated Pep "&amp;$V$20&amp;" "&amp;$W$21&amp;" is more than OPD Sexual Violence Rape Survivors"&amp;CHAR(10),""),IF(X242&gt;X241," * OPD Sexual Violence Initiated Pep "&amp;$X$20&amp;" "&amp;$X$21&amp;" is more than OPD Sexual Violence Rape Survivors"&amp;CHAR(10),""),IF(Y242&gt;Y241," * OPD Sexual Violence Initiated Pep "&amp;$X$20&amp;" "&amp;$Y$21&amp;" is more than OPD Sexual Violence Rape Survivors"&amp;CHAR(10),""),IF(Z242&gt;Z241," * OPD Sexual Violence Initiated Pep "&amp;$Z$20&amp;" "&amp;$Z$21&amp;" is more than OPD Sexual Violence Rape Survivors"&amp;CHAR(10),""),IF(AA242&gt;AA241," * OPD Sexual Violence Initiated Pep "&amp;$Z$20&amp;" "&amp;$AA$21&amp;" is more than OPD Sexual Violence Rape Survivors"&amp;CHAR(10),""))</f>
        <v/>
      </c>
      <c r="AL241" s="1348"/>
      <c r="AM241" s="31"/>
      <c r="AN241" s="1402"/>
      <c r="AO241" s="13">
        <v>145</v>
      </c>
      <c r="AP241" s="74"/>
      <c r="AQ241" s="75"/>
    </row>
    <row r="242" spans="1:43" ht="25.9" hidden="1" thickBot="1" x14ac:dyDescent="0.8">
      <c r="A242" s="1227"/>
      <c r="B242" s="169" t="s">
        <v>812</v>
      </c>
      <c r="C242" s="555" t="s">
        <v>822</v>
      </c>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c r="AA242" s="175"/>
      <c r="AB242" s="333"/>
      <c r="AC242" s="333"/>
      <c r="AD242" s="333"/>
      <c r="AE242" s="333"/>
      <c r="AF242" s="333"/>
      <c r="AG242" s="333"/>
      <c r="AH242" s="333"/>
      <c r="AI242" s="333"/>
      <c r="AJ242" s="29">
        <f t="shared" si="61"/>
        <v>0</v>
      </c>
      <c r="AK242" s="130"/>
      <c r="AL242" s="1348"/>
      <c r="AM242" s="31"/>
      <c r="AN242" s="1402"/>
      <c r="AO242" s="13">
        <v>146</v>
      </c>
      <c r="AP242" s="74"/>
      <c r="AQ242" s="75"/>
    </row>
    <row r="243" spans="1:43" ht="25.9" hidden="1" thickBot="1" x14ac:dyDescent="0.8">
      <c r="A243" s="1227"/>
      <c r="B243" s="169" t="s">
        <v>813</v>
      </c>
      <c r="C243" s="555" t="s">
        <v>823</v>
      </c>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333"/>
      <c r="AC243" s="333"/>
      <c r="AD243" s="333"/>
      <c r="AE243" s="333"/>
      <c r="AF243" s="333"/>
      <c r="AG243" s="333"/>
      <c r="AH243" s="333"/>
      <c r="AI243" s="333"/>
      <c r="AJ243" s="29">
        <f t="shared" si="61"/>
        <v>0</v>
      </c>
      <c r="AK243" s="30" t="str">
        <f>CONCATENATE(IF(D244&gt;D243," * OPD  Physical Violence Initiated Pep "&amp;$D$20&amp;" "&amp;$D$21&amp;" is more than OPD Physical Violence Rape Survivors"&amp;CHAR(10),""),IF(E244&gt;E243," * OPD  Physical Violence Initiated Pep "&amp;$D$20&amp;" "&amp;$E$21&amp;" is more than OPD Physical Violence Rape Survivors"&amp;CHAR(10),""),IF(F244&gt;F243," * OPD  Physical Violence Initiated Pep "&amp;$F$20&amp;" "&amp;$F$21&amp;" is more than OPD Physical Violence Rape Survivors"&amp;CHAR(10),""),IF(G244&gt;G243," * OPD  Physical Violence Initiated Pep "&amp;$F$20&amp;" "&amp;$G$21&amp;" is more than OPD Physical Violence Rape Survivors"&amp;CHAR(10),""),IF(H244&gt;H243," * OPD  Physical Violence Initiated Pep "&amp;$H$20&amp;" "&amp;$H$21&amp;" is more than OPD Physical Violence Rape Survivors"&amp;CHAR(10),""),IF(I244&gt;I243," * OPD  Physical Violence Initiated Pep "&amp;$H$20&amp;" "&amp;$I$21&amp;" is more than OPD Physical Violence Rape Survivors"&amp;CHAR(10),""),IF(J244&gt;J243," * OPD  Physical Violence Initiated Pep "&amp;$J$20&amp;" "&amp;$J$21&amp;" is more than OPD Physical Violence Rape Survivors"&amp;CHAR(10),""),IF(K244&gt;K243," * OPD  Physical Violence Initiated Pep "&amp;$J$20&amp;" "&amp;$K$21&amp;" is more than OPD Physical Violence Rape Survivors"&amp;CHAR(10),""),IF(L244&gt;L243," * OPD  Physical Violence Initiated Pep "&amp;$L$20&amp;" "&amp;$L$21&amp;" is more than OPD Physical Violence Rape Survivors"&amp;CHAR(10),""),IF(M244&gt;M243," * OPD  Physical Violence Initiated Pep "&amp;$L$20&amp;" "&amp;$M$21&amp;" is more than OPD Physical Violence Rape Survivors"&amp;CHAR(10),""),IF(N244&gt;N243," * OPD  Physical Violence Initiated Pep "&amp;$N$20&amp;" "&amp;$N$21&amp;" is more than OPD Physical Violence Rape Survivors"&amp;CHAR(10),""),IF(O244&gt;O243," * OPD  Physical Violence Initiated Pep "&amp;$N$20&amp;" "&amp;$O$21&amp;" is more than OPD Physical Violence Rape Survivors"&amp;CHAR(10),""),IF(P244&gt;P243," * OPD  Physical Violence Initiated Pep "&amp;$P$20&amp;" "&amp;$P$21&amp;" is more than OPD Physical Violence Rape Survivors"&amp;CHAR(10),""),IF(Q244&gt;Q243," * OPD  Physical Violence Initiated Pep "&amp;$P$20&amp;" "&amp;$Q$21&amp;" is more than OPD Physical Violence Rape Survivors"&amp;CHAR(10),""),IF(R244&gt;R243," * OPD  Physical Violence Initiated Pep "&amp;$R$20&amp;" "&amp;$R$21&amp;" is more than OPD Physical Violence Rape Survivors"&amp;CHAR(10),""),IF(S244&gt;S243," * OPD  Physical Violence Initiated Pep "&amp;$R$20&amp;" "&amp;$S$21&amp;" is more than OPD Physical Violence Rape Survivors"&amp;CHAR(10),""),IF(T244&gt;T243," * OPD  Physical Violence Initiated Pep "&amp;$T$20&amp;" "&amp;$T$21&amp;" is more than OPD Physical Violence Rape Survivors"&amp;CHAR(10),""),IF(U244&gt;U243," * OPD  Physical Violence Initiated Pep "&amp;$T$20&amp;" "&amp;$U$21&amp;" is more than OPD Physical Violence Rape Survivors"&amp;CHAR(10),""),IF(V244&gt;V243," * OPD  Physical Violence Initiated Pep "&amp;$V$20&amp;" "&amp;$V$21&amp;" is more than OPD Physical Violence Rape Survivors"&amp;CHAR(10),""),IF(W244&gt;W243," * OPD  Physical Violence Initiated Pep "&amp;$V$20&amp;" "&amp;$W$21&amp;" is more than OPD Physical Violence Rape Survivors"&amp;CHAR(10),""),IF(X244&gt;X243," * OPD  Physical Violence Initiated Pep "&amp;$X$20&amp;" "&amp;$X$21&amp;" is more than OPD Physical Violence Rape Survivors"&amp;CHAR(10),""),IF(Y244&gt;Y243," * OPD  Physical Violence Initiated Pep "&amp;$X$20&amp;" "&amp;$Y$21&amp;" is more than OPD Physical Violence Rape Survivors"&amp;CHAR(10),""),IF(Z244&gt;Z243," * OPD  Physical Violence Initiated Pep "&amp;$Z$20&amp;" "&amp;$Z$21&amp;" is more than OPD Physical Violence Rape Survivors"&amp;CHAR(10),""),IF(AA244&gt;AA243," * OPD  Physical Violence Initiated Pep "&amp;$Z$20&amp;" "&amp;$AA$21&amp;" is more than OPD Physical Violence Rape Survivors"&amp;CHAR(10),""))</f>
        <v/>
      </c>
      <c r="AL243" s="1348"/>
      <c r="AM243" s="31"/>
      <c r="AN243" s="1402"/>
      <c r="AO243" s="13">
        <v>147</v>
      </c>
      <c r="AP243" s="74"/>
      <c r="AQ243" s="75"/>
    </row>
    <row r="244" spans="1:43" ht="25.9" hidden="1" thickBot="1" x14ac:dyDescent="0.8">
      <c r="A244" s="1227"/>
      <c r="B244" s="169" t="s">
        <v>814</v>
      </c>
      <c r="C244" s="555" t="s">
        <v>824</v>
      </c>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333"/>
      <c r="AC244" s="333"/>
      <c r="AD244" s="333"/>
      <c r="AE244" s="333"/>
      <c r="AF244" s="333"/>
      <c r="AG244" s="333"/>
      <c r="AH244" s="333"/>
      <c r="AI244" s="333"/>
      <c r="AJ244" s="29">
        <f t="shared" si="61"/>
        <v>0</v>
      </c>
      <c r="AK244" s="130"/>
      <c r="AL244" s="1348"/>
      <c r="AM244" s="31"/>
      <c r="AN244" s="1402"/>
      <c r="AO244" s="13">
        <v>148</v>
      </c>
      <c r="AP244" s="74"/>
      <c r="AQ244" s="75"/>
    </row>
    <row r="245" spans="1:43" ht="25.9" hidden="1" thickBot="1" x14ac:dyDescent="0.8">
      <c r="A245" s="1227"/>
      <c r="B245" s="169" t="s">
        <v>815</v>
      </c>
      <c r="C245" s="555" t="s">
        <v>825</v>
      </c>
      <c r="D245" s="176"/>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7"/>
      <c r="AB245" s="333"/>
      <c r="AC245" s="333"/>
      <c r="AD245" s="333"/>
      <c r="AE245" s="333"/>
      <c r="AF245" s="333"/>
      <c r="AG245" s="333"/>
      <c r="AH245" s="333"/>
      <c r="AI245" s="333"/>
      <c r="AJ245" s="29">
        <f t="shared" si="61"/>
        <v>0</v>
      </c>
      <c r="AK245" s="130"/>
      <c r="AL245" s="1348"/>
      <c r="AM245" s="31"/>
      <c r="AN245" s="1402"/>
      <c r="AO245" s="13">
        <v>149</v>
      </c>
      <c r="AP245" s="74"/>
      <c r="AQ245" s="75"/>
    </row>
    <row r="246" spans="1:43" ht="25.9" hidden="1" thickBot="1" x14ac:dyDescent="0.8">
      <c r="A246" s="1228"/>
      <c r="B246" s="178" t="s">
        <v>850</v>
      </c>
      <c r="C246" s="556" t="s">
        <v>826</v>
      </c>
      <c r="D246" s="179"/>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c r="AA246" s="181"/>
      <c r="AB246" s="333"/>
      <c r="AC246" s="333"/>
      <c r="AD246" s="333"/>
      <c r="AE246" s="333"/>
      <c r="AF246" s="333"/>
      <c r="AG246" s="333"/>
      <c r="AH246" s="333"/>
      <c r="AI246" s="333"/>
      <c r="AJ246" s="29">
        <f t="shared" si="61"/>
        <v>0</v>
      </c>
      <c r="AK246" s="130"/>
      <c r="AL246" s="1404"/>
      <c r="AM246" s="73"/>
      <c r="AN246" s="1402"/>
      <c r="AO246" s="13">
        <v>150</v>
      </c>
      <c r="AP246" s="74"/>
      <c r="AQ246" s="75"/>
    </row>
    <row r="247" spans="1:43" ht="25.9" hidden="1" thickBot="1" x14ac:dyDescent="0.8">
      <c r="A247" s="1226" t="s">
        <v>817</v>
      </c>
      <c r="B247" s="167" t="s">
        <v>861</v>
      </c>
      <c r="C247" s="557" t="s">
        <v>827</v>
      </c>
      <c r="D247" s="168">
        <f t="shared" ref="D247:AA247" si="62">D11</f>
        <v>0</v>
      </c>
      <c r="E247" s="168">
        <f t="shared" si="62"/>
        <v>0</v>
      </c>
      <c r="F247" s="168">
        <f t="shared" si="62"/>
        <v>0</v>
      </c>
      <c r="G247" s="168">
        <f t="shared" si="62"/>
        <v>0</v>
      </c>
      <c r="H247" s="168">
        <f t="shared" si="62"/>
        <v>0</v>
      </c>
      <c r="I247" s="168">
        <f t="shared" si="62"/>
        <v>0</v>
      </c>
      <c r="J247" s="168">
        <f t="shared" si="62"/>
        <v>0</v>
      </c>
      <c r="K247" s="168">
        <f t="shared" si="62"/>
        <v>0</v>
      </c>
      <c r="L247" s="168">
        <f t="shared" si="62"/>
        <v>0</v>
      </c>
      <c r="M247" s="168">
        <f t="shared" si="62"/>
        <v>0</v>
      </c>
      <c r="N247" s="168">
        <f t="shared" si="62"/>
        <v>0</v>
      </c>
      <c r="O247" s="168">
        <f t="shared" si="62"/>
        <v>0</v>
      </c>
      <c r="P247" s="168">
        <f t="shared" si="62"/>
        <v>0</v>
      </c>
      <c r="Q247" s="168">
        <f t="shared" si="62"/>
        <v>0</v>
      </c>
      <c r="R247" s="168">
        <f t="shared" si="62"/>
        <v>0</v>
      </c>
      <c r="S247" s="168">
        <f t="shared" si="62"/>
        <v>0</v>
      </c>
      <c r="T247" s="168">
        <f t="shared" si="62"/>
        <v>0</v>
      </c>
      <c r="U247" s="168">
        <f t="shared" si="62"/>
        <v>0</v>
      </c>
      <c r="V247" s="168">
        <f t="shared" si="62"/>
        <v>0</v>
      </c>
      <c r="W247" s="168">
        <f t="shared" si="62"/>
        <v>0</v>
      </c>
      <c r="X247" s="168">
        <f t="shared" si="62"/>
        <v>0</v>
      </c>
      <c r="Y247" s="168">
        <f t="shared" si="62"/>
        <v>0</v>
      </c>
      <c r="Z247" s="168">
        <f t="shared" si="62"/>
        <v>0</v>
      </c>
      <c r="AA247" s="168">
        <f t="shared" si="62"/>
        <v>0</v>
      </c>
      <c r="AB247" s="168"/>
      <c r="AC247" s="168"/>
      <c r="AD247" s="168"/>
      <c r="AE247" s="168"/>
      <c r="AF247" s="168"/>
      <c r="AG247" s="168"/>
      <c r="AH247" s="168"/>
      <c r="AI247" s="168"/>
      <c r="AJ247" s="168">
        <f>AJ11</f>
        <v>0</v>
      </c>
      <c r="AK247" s="30" t="str">
        <f>CONCATENATE(IF(D248&gt;D247," * No Screened for GBV "&amp;$D$20&amp;" "&amp;$D$21&amp;" is more than Clients Seen at IPD"&amp;CHAR(10),""),IF(E248&gt;E247," * No Screened For GBV "&amp;$D$20&amp;" "&amp;$E$21&amp;" is more than Clients Seen at IPD"&amp;CHAR(10),""),IF(F248&gt;F247," * No Screened For GBV "&amp;$F$20&amp;" "&amp;$F$21&amp;" is more than Clients Seen at IPD"&amp;CHAR(10),""),IF(G248&gt;G247," * No Screened For GBV "&amp;$F$20&amp;" "&amp;$G$21&amp;" is more than Clients Seen at IPD"&amp;CHAR(10),""),IF(H248&gt;H247," * No Screened For GBV "&amp;$H$20&amp;" "&amp;$H$21&amp;" is more than Clients Seen at IPD"&amp;CHAR(10),""),IF(I248&gt;I247," * No Screened For GBV "&amp;$H$20&amp;" "&amp;$I$21&amp;" is more than Clients Seen at IPD"&amp;CHAR(10),""),IF(J248&gt;J247," * No Screened For GBV "&amp;$J$20&amp;" "&amp;$J$21&amp;" is more than Clients Seen at IPD"&amp;CHAR(10),""),IF(K248&gt;K247," * No Screened For GBV "&amp;$J$20&amp;" "&amp;$K$21&amp;" is more than Clients Seen at IPD"&amp;CHAR(10),""),IF(L248&gt;L247," * No Screened For GBV "&amp;$L$20&amp;" "&amp;$L$21&amp;" is more than Clients Seen at IPD"&amp;CHAR(10),""),IF(M248&gt;M247," * No Screened For GBV "&amp;$L$20&amp;" "&amp;$M$21&amp;" is more than Clients Seen at IPD"&amp;CHAR(10),""),IF(N248&gt;N247," * No Screened For GBV "&amp;$N$20&amp;" "&amp;$N$21&amp;" is more than Clients Seen at IPD"&amp;CHAR(10),""),IF(O248&gt;O247," * No Screened For GBV "&amp;$N$20&amp;" "&amp;$O$21&amp;" is more than Clients Seen at IPD"&amp;CHAR(10),""),IF(P248&gt;P247," * No Screened For GBV "&amp;$P$20&amp;" "&amp;$P$21&amp;" is more than Clients Seen at IPD"&amp;CHAR(10),""),IF(Q248&gt;Q247," * No Screened For GBV "&amp;$P$20&amp;" "&amp;$Q$21&amp;" is more than Clients Seen at IPD"&amp;CHAR(10),""),IF(R248&gt;R247," * No Screened For GBV "&amp;$R$20&amp;" "&amp;$R$21&amp;" is more than Clients Seen at IPD"&amp;CHAR(10),""),IF(S248&gt;S247," * No Screened For GBV "&amp;$R$20&amp;" "&amp;$S$21&amp;" is more than Clients Seen at IPD"&amp;CHAR(10),""),IF(T248&gt;T247," * No Screened For GBV "&amp;$T$20&amp;" "&amp;$T$21&amp;" is more than Clients Seen at IPD"&amp;CHAR(10),""),IF(U248&gt;U247," * No Screened For GBV "&amp;$T$20&amp;" "&amp;$U$21&amp;" is more than Clients Seen at IPD"&amp;CHAR(10),""),IF(V248&gt;V247," * No Screened For GBV "&amp;$V$20&amp;" "&amp;$V$21&amp;" is more than Clients Seen at IPD"&amp;CHAR(10),""),IF(W248&gt;W247," * No Screened For GBV "&amp;$V$20&amp;" "&amp;$W$21&amp;" is more than Clients Seen at IPD"&amp;CHAR(10),""),IF(X248&gt;X247," * No Screened For GBV "&amp;$X$20&amp;" "&amp;$X$21&amp;" is more than Clients Seen at IPD"&amp;CHAR(10),""),IF(Y248&gt;Y247," * No Screened For GBV "&amp;$X$20&amp;" "&amp;$Y$21&amp;" is more than Clients Seen at IPD"&amp;CHAR(10),""),IF(Z248&gt;Z247," * No Screened For GBV "&amp;$Z$20&amp;" "&amp;$Z$21&amp;" is more than Clients Seen at IPD"&amp;CHAR(10),""),IF(AA248&gt;AA247," * No Screened For GBV "&amp;$Z$20&amp;" "&amp;$AA$21&amp;" is more than Clients Seen at IPD"&amp;CHAR(10),""))</f>
        <v/>
      </c>
      <c r="AL247" s="1204" t="str">
        <f>CONCATENATE(AK247,AK248,AK249,AK250,AK251,AK252,AK253,AK254,AK255)</f>
        <v/>
      </c>
      <c r="AM247" s="73"/>
      <c r="AN247" s="1402"/>
      <c r="AO247" s="13">
        <v>151</v>
      </c>
      <c r="AP247" s="74"/>
      <c r="AQ247" s="75"/>
    </row>
    <row r="248" spans="1:43" ht="25.9" hidden="1" thickBot="1" x14ac:dyDescent="0.8">
      <c r="A248" s="1227"/>
      <c r="B248" s="169" t="s">
        <v>856</v>
      </c>
      <c r="C248" s="555" t="s">
        <v>828</v>
      </c>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c r="AB248" s="333"/>
      <c r="AC248" s="333"/>
      <c r="AD248" s="333"/>
      <c r="AE248" s="333"/>
      <c r="AF248" s="333"/>
      <c r="AG248" s="333"/>
      <c r="AH248" s="333"/>
      <c r="AI248" s="333"/>
      <c r="AJ248" s="66">
        <f t="shared" ref="AJ248:AJ273" si="63">SUM(D248:AA248)</f>
        <v>0</v>
      </c>
      <c r="AK248" s="130"/>
      <c r="AL248" s="1205"/>
      <c r="AM248" s="31"/>
      <c r="AN248" s="1402"/>
      <c r="AO248" s="13">
        <v>152</v>
      </c>
      <c r="AP248" s="74"/>
      <c r="AQ248" s="75"/>
    </row>
    <row r="249" spans="1:43" ht="25.9" hidden="1" thickBot="1" x14ac:dyDescent="0.8">
      <c r="A249" s="1227"/>
      <c r="B249" s="171" t="s">
        <v>864</v>
      </c>
      <c r="C249" s="555" t="s">
        <v>829</v>
      </c>
      <c r="D249" s="172">
        <f>D250+D252+D254+D255</f>
        <v>0</v>
      </c>
      <c r="E249" s="172">
        <f t="shared" ref="E249" si="64">E250+E252+E254+E255</f>
        <v>0</v>
      </c>
      <c r="F249" s="172">
        <f t="shared" ref="F249" si="65">F250+F252+F254+F255</f>
        <v>0</v>
      </c>
      <c r="G249" s="172">
        <f t="shared" ref="G249" si="66">G250+G252+G254+G255</f>
        <v>0</v>
      </c>
      <c r="H249" s="172">
        <f t="shared" ref="H249" si="67">H250+H252+H254+H255</f>
        <v>0</v>
      </c>
      <c r="I249" s="172">
        <f t="shared" ref="I249" si="68">I250+I252+I254+I255</f>
        <v>0</v>
      </c>
      <c r="J249" s="172">
        <f t="shared" ref="J249" si="69">J250+J252+J254+J255</f>
        <v>0</v>
      </c>
      <c r="K249" s="172">
        <f t="shared" ref="K249" si="70">K250+K252+K254+K255</f>
        <v>0</v>
      </c>
      <c r="L249" s="172">
        <f t="shared" ref="L249" si="71">L250+L252+L254+L255</f>
        <v>0</v>
      </c>
      <c r="M249" s="172">
        <f t="shared" ref="M249" si="72">M250+M252+M254+M255</f>
        <v>0</v>
      </c>
      <c r="N249" s="172">
        <f t="shared" ref="N249" si="73">N250+N252+N254+N255</f>
        <v>0</v>
      </c>
      <c r="O249" s="172">
        <f t="shared" ref="O249" si="74">O250+O252+O254+O255</f>
        <v>0</v>
      </c>
      <c r="P249" s="172">
        <f t="shared" ref="P249" si="75">P250+P252+P254+P255</f>
        <v>0</v>
      </c>
      <c r="Q249" s="172">
        <f t="shared" ref="Q249" si="76">Q250+Q252+Q254+Q255</f>
        <v>0</v>
      </c>
      <c r="R249" s="172">
        <f t="shared" ref="R249" si="77">R250+R252+R254+R255</f>
        <v>0</v>
      </c>
      <c r="S249" s="172">
        <f t="shared" ref="S249" si="78">S250+S252+S254+S255</f>
        <v>0</v>
      </c>
      <c r="T249" s="172">
        <f t="shared" ref="T249" si="79">T250+T252+T254+T255</f>
        <v>0</v>
      </c>
      <c r="U249" s="172">
        <f t="shared" ref="U249" si="80">U250+U252+U254+U255</f>
        <v>0</v>
      </c>
      <c r="V249" s="172">
        <f t="shared" ref="V249" si="81">V250+V252+V254+V255</f>
        <v>0</v>
      </c>
      <c r="W249" s="172">
        <f t="shared" ref="W249" si="82">W250+W252+W254+W255</f>
        <v>0</v>
      </c>
      <c r="X249" s="172">
        <f t="shared" ref="X249" si="83">X250+X252+X254+X255</f>
        <v>0</v>
      </c>
      <c r="Y249" s="172">
        <f t="shared" ref="Y249" si="84">Y250+Y252+Y254+Y255</f>
        <v>0</v>
      </c>
      <c r="Z249" s="172">
        <f t="shared" ref="Z249" si="85">Z250+Z252+Z254+Z255</f>
        <v>0</v>
      </c>
      <c r="AA249" s="172">
        <f t="shared" ref="AA249" si="86">AA250+AA252+AA254+AA255</f>
        <v>0</v>
      </c>
      <c r="AB249" s="332"/>
      <c r="AC249" s="332"/>
      <c r="AD249" s="332"/>
      <c r="AE249" s="332"/>
      <c r="AF249" s="332"/>
      <c r="AG249" s="332"/>
      <c r="AH249" s="332"/>
      <c r="AI249" s="332"/>
      <c r="AJ249" s="66">
        <f t="shared" si="63"/>
        <v>0</v>
      </c>
      <c r="AK249" s="130"/>
      <c r="AL249" s="1205"/>
      <c r="AM249" s="31"/>
      <c r="AN249" s="1402"/>
      <c r="AO249" s="13">
        <v>153</v>
      </c>
      <c r="AP249" s="74"/>
      <c r="AQ249" s="75"/>
    </row>
    <row r="250" spans="1:43" ht="25.9" hidden="1" thickBot="1" x14ac:dyDescent="0.8">
      <c r="A250" s="1227"/>
      <c r="B250" s="169" t="s">
        <v>811</v>
      </c>
      <c r="C250" s="555" t="s">
        <v>830</v>
      </c>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333"/>
      <c r="AC250" s="333"/>
      <c r="AD250" s="333"/>
      <c r="AE250" s="333"/>
      <c r="AF250" s="333"/>
      <c r="AG250" s="333"/>
      <c r="AH250" s="333"/>
      <c r="AI250" s="333"/>
      <c r="AJ250" s="66">
        <f t="shared" si="63"/>
        <v>0</v>
      </c>
      <c r="AK250" s="30" t="str">
        <f>CONCATENATE(IF(D251&gt;D250," * IPD Sexual Violence Initiated Pep "&amp;$D$20&amp;" "&amp;$D$21&amp;" is more than IPD Sexual Violence Rape Survivors"&amp;CHAR(10),""),IF(E251&gt;E250," * IPD Sexual Violence Initiated Pep "&amp;$D$20&amp;" "&amp;$E$21&amp;" is more than IPD Sexual Violence Rape Survivors"&amp;CHAR(10),""),IF(F251&gt;F250," * IPD Sexual Violence Initiated Pep "&amp;$F$20&amp;" "&amp;$F$21&amp;" is more than IPD Sexual Violence Rape Survivors"&amp;CHAR(10),""),IF(G251&gt;G250," * IPD Sexual Violence Initiated Pep "&amp;$F$20&amp;" "&amp;$G$21&amp;" is more than IPD Sexual Violence Rape Survivors"&amp;CHAR(10),""),IF(H251&gt;H250," * IPD Sexual Violence Initiated Pep "&amp;$H$20&amp;" "&amp;$H$21&amp;" is more than IPD Sexual Violence Rape Survivors"&amp;CHAR(10),""),IF(I251&gt;I250," * IPD Sexual Violence Initiated Pep "&amp;$H$20&amp;" "&amp;$I$21&amp;" is more than IPD Sexual Violence Rape Survivors"&amp;CHAR(10),""),IF(J251&gt;J250," * IPD Sexual Violence Initiated Pep "&amp;$J$20&amp;" "&amp;$J$21&amp;" is more than IPD Sexual Violence Rape Survivors"&amp;CHAR(10),""),IF(K251&gt;K250," * IPD Sexual Violence Initiated Pep "&amp;$J$20&amp;" "&amp;$K$21&amp;" is more than IPD Sexual Violence Rape Survivors"&amp;CHAR(10),""),IF(L251&gt;L250," * IPD Sexual Violence Initiated Pep "&amp;$L$20&amp;" "&amp;$L$21&amp;" is more than IPD Sexual Violence Rape Survivors"&amp;CHAR(10),""),IF(M251&gt;M250," * IPD Sexual Violence Initiated Pep "&amp;$L$20&amp;" "&amp;$M$21&amp;" is more than IPD Sexual Violence Rape Survivors"&amp;CHAR(10),""),IF(N251&gt;N250," * IPD Sexual Violence Initiated Pep "&amp;$N$20&amp;" "&amp;$N$21&amp;" is more than IPD Sexual Violence Rape Survivors"&amp;CHAR(10),""),IF(O251&gt;O250," * IPD Sexual Violence Initiated Pep "&amp;$N$20&amp;" "&amp;$O$21&amp;" is more than IPD Sexual Violence Rape Survivors"&amp;CHAR(10),""),IF(P251&gt;P250," * IPD Sexual Violence Initiated Pep "&amp;$P$20&amp;" "&amp;$P$21&amp;" is more than IPD Sexual Violence Rape Survivors"&amp;CHAR(10),""),IF(Q251&gt;Q250," * IPD Sexual Violence Initiated Pep "&amp;$P$20&amp;" "&amp;$Q$21&amp;" is more than IPD Sexual Violence Rape Survivors"&amp;CHAR(10),""),IF(R251&gt;R250," * IPD Sexual Violence Initiated Pep "&amp;$R$20&amp;" "&amp;$R$21&amp;" is more than IPD Sexual Violence Rape Survivors"&amp;CHAR(10),""),IF(S251&gt;S250," * IPD Sexual Violence Initiated Pep "&amp;$R$20&amp;" "&amp;$S$21&amp;" is more than IPD Sexual Violence Rape Survivors"&amp;CHAR(10),""),IF(T251&gt;T250," * IPD Sexual Violence Initiated Pep "&amp;$T$20&amp;" "&amp;$T$21&amp;" is more than IPD Sexual Violence Rape Survivors"&amp;CHAR(10),""),IF(U251&gt;U250," * IPD Sexual Violence Initiated Pep "&amp;$T$20&amp;" "&amp;$U$21&amp;" is more than IPD Sexual Violence Rape Survivors"&amp;CHAR(10),""),IF(V251&gt;V250," * IPD Sexual Violence Initiated Pep "&amp;$V$20&amp;" "&amp;$V$21&amp;" is more than IPD Sexual Violence Rape Survivors"&amp;CHAR(10),""),IF(W251&gt;W250," * IPD Sexual Violence Initiated Pep "&amp;$V$20&amp;" "&amp;$W$21&amp;" is more than IPD Sexual Violence Rape Survivors"&amp;CHAR(10),""),IF(X251&gt;X250," * IPD Sexual Violence Initiated Pep "&amp;$X$20&amp;" "&amp;$X$21&amp;" is more than IPD Sexual Violence Rape Survivors"&amp;CHAR(10),""),IF(Y251&gt;Y250," * IPD Sexual Violence Initiated Pep "&amp;$X$20&amp;" "&amp;$Y$21&amp;" is more than IPD Sexual Violence Rape Survivors"&amp;CHAR(10),""),IF(Z251&gt;Z250," * IPD Sexual Violence Initiated Pep "&amp;$Z$20&amp;" "&amp;$Z$21&amp;" is more than IPD Sexual Violence Rape Survivors"&amp;CHAR(10),""),IF(AA251&gt;AA250," * IPD Sexual Violence Initiated Pep "&amp;$Z$20&amp;" "&amp;$AA$21&amp;" is more than IPD Sexual Violence Rape Survivors"&amp;CHAR(10),""))</f>
        <v/>
      </c>
      <c r="AL250" s="1205"/>
      <c r="AM250" s="31"/>
      <c r="AN250" s="1402"/>
      <c r="AO250" s="13">
        <v>154</v>
      </c>
      <c r="AP250" s="74"/>
      <c r="AQ250" s="75"/>
    </row>
    <row r="251" spans="1:43" ht="25.9" hidden="1" thickBot="1" x14ac:dyDescent="0.8">
      <c r="A251" s="1227"/>
      <c r="B251" s="169" t="s">
        <v>812</v>
      </c>
      <c r="C251" s="555" t="s">
        <v>831</v>
      </c>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c r="AA251" s="175"/>
      <c r="AB251" s="333"/>
      <c r="AC251" s="333"/>
      <c r="AD251" s="333"/>
      <c r="AE251" s="333"/>
      <c r="AF251" s="333"/>
      <c r="AG251" s="333"/>
      <c r="AH251" s="333"/>
      <c r="AI251" s="333"/>
      <c r="AJ251" s="66">
        <f t="shared" si="63"/>
        <v>0</v>
      </c>
      <c r="AK251" s="130"/>
      <c r="AL251" s="1205"/>
      <c r="AM251" s="31"/>
      <c r="AN251" s="1402"/>
      <c r="AO251" s="13">
        <v>155</v>
      </c>
      <c r="AP251" s="74"/>
      <c r="AQ251" s="75"/>
    </row>
    <row r="252" spans="1:43" ht="25.9" hidden="1" thickBot="1" x14ac:dyDescent="0.8">
      <c r="A252" s="1227"/>
      <c r="B252" s="169" t="s">
        <v>813</v>
      </c>
      <c r="C252" s="555" t="s">
        <v>832</v>
      </c>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333"/>
      <c r="AC252" s="333"/>
      <c r="AD252" s="333"/>
      <c r="AE252" s="333"/>
      <c r="AF252" s="333"/>
      <c r="AG252" s="333"/>
      <c r="AH252" s="333"/>
      <c r="AI252" s="333"/>
      <c r="AJ252" s="66">
        <f t="shared" si="63"/>
        <v>0</v>
      </c>
      <c r="AK252" s="30" t="str">
        <f>CONCATENATE(IF(D253&gt;D252," * IPD  Physical Violence Initiated Pep "&amp;$D$20&amp;" "&amp;$D$21&amp;" is more than IPD Physical Violence Rape Survivors"&amp;CHAR(10),""),IF(E253&gt;E252," * IPD  Physical Violence Initiated Pep "&amp;$D$20&amp;" "&amp;$E$21&amp;" is more than IPD Physical Violence Rape Survivors"&amp;CHAR(10),""),IF(F253&gt;F252," * IPD  Physical Violence Initiated Pep "&amp;$F$20&amp;" "&amp;$F$21&amp;" is more than IPD Physical Violence Rape Survivors"&amp;CHAR(10),""),IF(G253&gt;G252," * IPD  Physical Violence Initiated Pep "&amp;$F$20&amp;" "&amp;$G$21&amp;" is more than IPD Physical Violence Rape Survivors"&amp;CHAR(10),""),IF(H253&gt;H252," * IPD  Physical Violence Initiated Pep "&amp;$H$20&amp;" "&amp;$H$21&amp;" is more than IPD Physical Violence Rape Survivors"&amp;CHAR(10),""),IF(I253&gt;I252," * IPD  Physical Violence Initiated Pep "&amp;$H$20&amp;" "&amp;$I$21&amp;" is more than IPD Physical Violence Rape Survivors"&amp;CHAR(10),""),IF(J253&gt;J252," * IPD  Physical Violence Initiated Pep "&amp;$J$20&amp;" "&amp;$J$21&amp;" is more than IPD Physical Violence Rape Survivors"&amp;CHAR(10),""),IF(K253&gt;K252," * IPD  Physical Violence Initiated Pep "&amp;$J$20&amp;" "&amp;$K$21&amp;" is more than IPD Physical Violence Rape Survivors"&amp;CHAR(10),""),IF(L253&gt;L252," * IPD  Physical Violence Initiated Pep "&amp;$L$20&amp;" "&amp;$L$21&amp;" is more than IPD Physical Violence Rape Survivors"&amp;CHAR(10),""),IF(M253&gt;M252," * IPD  Physical Violence Initiated Pep "&amp;$L$20&amp;" "&amp;$M$21&amp;" is more than IPD Physical Violence Rape Survivors"&amp;CHAR(10),""),IF(N253&gt;N252," * IPD  Physical Violence Initiated Pep "&amp;$N$20&amp;" "&amp;$N$21&amp;" is more than IPD Physical Violence Rape Survivors"&amp;CHAR(10),""),IF(O253&gt;O252," * IPD  Physical Violence Initiated Pep "&amp;$N$20&amp;" "&amp;$O$21&amp;" is more than IPD Physical Violence Rape Survivors"&amp;CHAR(10),""),IF(P253&gt;P252," * IPD  Physical Violence Initiated Pep "&amp;$P$20&amp;" "&amp;$P$21&amp;" is more than IPD Physical Violence Rape Survivors"&amp;CHAR(10),""),IF(Q253&gt;Q252," * IPD  Physical Violence Initiated Pep "&amp;$P$20&amp;" "&amp;$Q$21&amp;" is more than IPD Physical Violence Rape Survivors"&amp;CHAR(10),""),IF(R253&gt;R252," * IPD  Physical Violence Initiated Pep "&amp;$R$20&amp;" "&amp;$R$21&amp;" is more than IPD Physical Violence Rape Survivors"&amp;CHAR(10),""),IF(S253&gt;S252," * IPD  Physical Violence Initiated Pep "&amp;$R$20&amp;" "&amp;$S$21&amp;" is more than IPD Physical Violence Rape Survivors"&amp;CHAR(10),""),IF(T253&gt;T252," * IPD  Physical Violence Initiated Pep "&amp;$T$20&amp;" "&amp;$T$21&amp;" is more than IPD Physical Violence Rape Survivors"&amp;CHAR(10),""),IF(U253&gt;U252," * IPD  Physical Violence Initiated Pep "&amp;$T$20&amp;" "&amp;$U$21&amp;" is more than IPD Physical Violence Rape Survivors"&amp;CHAR(10),""),IF(V253&gt;V252," * IPD  Physical Violence Initiated Pep "&amp;$V$20&amp;" "&amp;$V$21&amp;" is more than IPD Physical Violence Rape Survivors"&amp;CHAR(10),""),IF(W253&gt;W252," * IPD  Physical Violence Initiated Pep "&amp;$V$20&amp;" "&amp;$W$21&amp;" is more than IPD Physical Violence Rape Survivors"&amp;CHAR(10),""),IF(X253&gt;X252," * IPD  Physical Violence Initiated Pep "&amp;$X$20&amp;" "&amp;$X$21&amp;" is more than IPD Physical Violence Rape Survivors"&amp;CHAR(10),""),IF(Y253&gt;Y252," * IPD  Physical Violence Initiated Pep "&amp;$X$20&amp;" "&amp;$Y$21&amp;" is more than IPD Physical Violence Rape Survivors"&amp;CHAR(10),""),IF(Z253&gt;Z252," * IPD  Physical Violence Initiated Pep "&amp;$Z$20&amp;" "&amp;$Z$21&amp;" is more than IPD Physical Violence Rape Survivors"&amp;CHAR(10),""),IF(AA253&gt;AA252," * IPD  Physical Violence Initiated Pep "&amp;$Z$20&amp;" "&amp;$AA$21&amp;" is more than IPD Physical Violence Rape Survivors"&amp;CHAR(10),""))</f>
        <v/>
      </c>
      <c r="AL252" s="1205"/>
      <c r="AM252" s="31"/>
      <c r="AN252" s="1402"/>
      <c r="AO252" s="13">
        <v>156</v>
      </c>
      <c r="AP252" s="74"/>
      <c r="AQ252" s="75"/>
    </row>
    <row r="253" spans="1:43" ht="25.9" hidden="1" thickBot="1" x14ac:dyDescent="0.8">
      <c r="A253" s="1227"/>
      <c r="B253" s="169" t="s">
        <v>814</v>
      </c>
      <c r="C253" s="555" t="s">
        <v>833</v>
      </c>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333"/>
      <c r="AC253" s="333"/>
      <c r="AD253" s="333"/>
      <c r="AE253" s="333"/>
      <c r="AF253" s="333"/>
      <c r="AG253" s="333"/>
      <c r="AH253" s="333"/>
      <c r="AI253" s="333"/>
      <c r="AJ253" s="66">
        <f t="shared" si="63"/>
        <v>0</v>
      </c>
      <c r="AK253" s="130"/>
      <c r="AL253" s="1205"/>
      <c r="AM253" s="31"/>
      <c r="AN253" s="1402"/>
      <c r="AO253" s="13">
        <v>157</v>
      </c>
      <c r="AP253" s="74"/>
      <c r="AQ253" s="75"/>
    </row>
    <row r="254" spans="1:43" ht="25.9" hidden="1" thickBot="1" x14ac:dyDescent="0.8">
      <c r="A254" s="1227"/>
      <c r="B254" s="169" t="s">
        <v>815</v>
      </c>
      <c r="C254" s="555" t="s">
        <v>834</v>
      </c>
      <c r="D254" s="176"/>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7"/>
      <c r="AB254" s="333"/>
      <c r="AC254" s="333"/>
      <c r="AD254" s="333"/>
      <c r="AE254" s="333"/>
      <c r="AF254" s="333"/>
      <c r="AG254" s="333"/>
      <c r="AH254" s="333"/>
      <c r="AI254" s="333"/>
      <c r="AJ254" s="52">
        <f t="shared" si="63"/>
        <v>0</v>
      </c>
      <c r="AK254" s="130"/>
      <c r="AL254" s="1205"/>
      <c r="AM254" s="31"/>
      <c r="AN254" s="1402"/>
      <c r="AO254" s="13">
        <v>158</v>
      </c>
      <c r="AP254" s="74"/>
      <c r="AQ254" s="75"/>
    </row>
    <row r="255" spans="1:43" ht="25.9" hidden="1" thickBot="1" x14ac:dyDescent="0.8">
      <c r="A255" s="1228"/>
      <c r="B255" s="178" t="s">
        <v>850</v>
      </c>
      <c r="C255" s="556" t="s">
        <v>835</v>
      </c>
      <c r="D255" s="179"/>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c r="AA255" s="181"/>
      <c r="AB255" s="333"/>
      <c r="AC255" s="333"/>
      <c r="AD255" s="333"/>
      <c r="AE255" s="333"/>
      <c r="AF255" s="333"/>
      <c r="AG255" s="333"/>
      <c r="AH255" s="333"/>
      <c r="AI255" s="333"/>
      <c r="AJ255" s="52">
        <f t="shared" si="63"/>
        <v>0</v>
      </c>
      <c r="AK255" s="130"/>
      <c r="AL255" s="1206"/>
      <c r="AM255" s="73"/>
      <c r="AN255" s="1402"/>
      <c r="AO255" s="13">
        <v>159</v>
      </c>
      <c r="AP255" s="74"/>
      <c r="AQ255" s="75"/>
    </row>
    <row r="256" spans="1:43" ht="25.9" hidden="1" thickBot="1" x14ac:dyDescent="0.8">
      <c r="A256" s="1226" t="s">
        <v>819</v>
      </c>
      <c r="B256" s="167" t="s">
        <v>862</v>
      </c>
      <c r="C256" s="557" t="s">
        <v>836</v>
      </c>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334"/>
      <c r="AC256" s="334"/>
      <c r="AD256" s="334"/>
      <c r="AE256" s="334"/>
      <c r="AF256" s="334"/>
      <c r="AG256" s="334"/>
      <c r="AH256" s="334"/>
      <c r="AI256" s="334"/>
      <c r="AJ256" s="52">
        <f t="shared" si="63"/>
        <v>0</v>
      </c>
      <c r="AK256" s="30" t="str">
        <f>CONCATENATE(IF(D257&gt;D256," * No Screened for GBV "&amp;$D$20&amp;" "&amp;$D$21&amp;" is more than Clients Seen at CCC"&amp;CHAR(10),""),IF(E257&gt;E256," * No Screened For GBV "&amp;$D$20&amp;" "&amp;$E$21&amp;" is more than Clients Seen at CCC"&amp;CHAR(10),""),IF(F257&gt;F256," * No Screened For GBV "&amp;$F$20&amp;" "&amp;$F$21&amp;" is more than Clients Seen at CCC"&amp;CHAR(10),""),IF(G257&gt;G256," * No Screened For GBV "&amp;$F$20&amp;" "&amp;$G$21&amp;" is more than Clients Seen at CCC"&amp;CHAR(10),""),IF(H257&gt;H256," * No Screened For GBV "&amp;$H$20&amp;" "&amp;$H$21&amp;" is more than Clients Seen at CCC"&amp;CHAR(10),""),IF(I257&gt;I256," * No Screened For GBV "&amp;$H$20&amp;" "&amp;$I$21&amp;" is more than Clients Seen at CCC"&amp;CHAR(10),""),IF(J257&gt;J256," * No Screened For GBV "&amp;$J$20&amp;" "&amp;$J$21&amp;" is more than Clients Seen at CCC"&amp;CHAR(10),""),IF(K257&gt;K256," * No Screened For GBV "&amp;$J$20&amp;" "&amp;$K$21&amp;" is more than Clients Seen at CCC"&amp;CHAR(10),""),IF(L257&gt;L256," * No Screened For GBV "&amp;$L$20&amp;" "&amp;$L$21&amp;" is more than Clients Seen at CCC"&amp;CHAR(10),""),IF(M257&gt;M256," * No Screened For GBV "&amp;$L$20&amp;" "&amp;$M$21&amp;" is more than Clients Seen at CCC"&amp;CHAR(10),""),IF(N257&gt;N256," * No Screened For GBV "&amp;$N$20&amp;" "&amp;$N$21&amp;" is more than Clients Seen at CCC"&amp;CHAR(10),""),IF(O257&gt;O256," * No Screened For GBV "&amp;$N$20&amp;" "&amp;$O$21&amp;" is more than Clients Seen at CCC"&amp;CHAR(10),""),IF(P257&gt;P256," * No Screened For GBV "&amp;$P$20&amp;" "&amp;$P$21&amp;" is more than Clients Seen at CCC"&amp;CHAR(10),""),IF(Q257&gt;Q256," * No Screened For GBV "&amp;$P$20&amp;" "&amp;$Q$21&amp;" is more than Clients Seen at CCC"&amp;CHAR(10),""),IF(R257&gt;R256," * No Screened For GBV "&amp;$R$20&amp;" "&amp;$R$21&amp;" is more than Clients Seen at CCC"&amp;CHAR(10),""),IF(S257&gt;S256," * No Screened For GBV "&amp;$R$20&amp;" "&amp;$S$21&amp;" is more than Clients Seen at CCC"&amp;CHAR(10),""),IF(T257&gt;T256," * No Screened For GBV "&amp;$T$20&amp;" "&amp;$T$21&amp;" is more than Clients Seen at CCC"&amp;CHAR(10),""),IF(U257&gt;U256," * No Screened For GBV "&amp;$T$20&amp;" "&amp;$U$21&amp;" is more than Clients Seen at CCC"&amp;CHAR(10),""),IF(V257&gt;V256," * No Screened For GBV "&amp;$V$20&amp;" "&amp;$V$21&amp;" is more than Clients Seen at CCC"&amp;CHAR(10),""),IF(W257&gt;W256," * No Screened For GBV "&amp;$V$20&amp;" "&amp;$W$21&amp;" is more than Clients Seen at CCC"&amp;CHAR(10),""),IF(X257&gt;X256," * No Screened For GBV "&amp;$X$20&amp;" "&amp;$X$21&amp;" is more than Clients Seen at CCC"&amp;CHAR(10),""),IF(Y257&gt;Y256," * No Screened For GBV "&amp;$X$20&amp;" "&amp;$Y$21&amp;" is more than Clients Seen at CCC"&amp;CHAR(10),""),IF(Z257&gt;Z256," * No Screened For GBV "&amp;$Z$20&amp;" "&amp;$Z$21&amp;" is more than Clients Seen at CCC"&amp;CHAR(10),""),IF(AA257&gt;AA256," * No Screened For GBV "&amp;$Z$20&amp;" "&amp;$AA$21&amp;" is more than Clients Seen at CCC"&amp;CHAR(10),""))</f>
        <v/>
      </c>
      <c r="AL256" s="1204" t="str">
        <f>CONCATENATE(AK256,AK257,AK258,AK259,AK260,AK261,AK262,AK263,AK264)</f>
        <v/>
      </c>
      <c r="AM256" s="73"/>
      <c r="AN256" s="1402"/>
      <c r="AO256" s="13">
        <v>160</v>
      </c>
      <c r="AP256" s="74"/>
      <c r="AQ256" s="75"/>
    </row>
    <row r="257" spans="1:43" ht="25.9" hidden="1" thickBot="1" x14ac:dyDescent="0.8">
      <c r="A257" s="1227"/>
      <c r="B257" s="169" t="s">
        <v>857</v>
      </c>
      <c r="C257" s="555" t="s">
        <v>837</v>
      </c>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c r="AB257" s="333"/>
      <c r="AC257" s="333"/>
      <c r="AD257" s="333"/>
      <c r="AE257" s="333"/>
      <c r="AF257" s="333"/>
      <c r="AG257" s="333"/>
      <c r="AH257" s="333"/>
      <c r="AI257" s="333"/>
      <c r="AJ257" s="52">
        <f t="shared" si="63"/>
        <v>0</v>
      </c>
      <c r="AK257" s="130"/>
      <c r="AL257" s="1205"/>
      <c r="AM257" s="31"/>
      <c r="AN257" s="1402"/>
      <c r="AO257" s="13">
        <v>161</v>
      </c>
      <c r="AP257" s="74"/>
      <c r="AQ257" s="75"/>
    </row>
    <row r="258" spans="1:43" ht="25.9" hidden="1" thickBot="1" x14ac:dyDescent="0.8">
      <c r="A258" s="1227"/>
      <c r="B258" s="171" t="s">
        <v>865</v>
      </c>
      <c r="C258" s="555" t="s">
        <v>838</v>
      </c>
      <c r="D258" s="172">
        <f>D259+D261+D263+D264</f>
        <v>0</v>
      </c>
      <c r="E258" s="172">
        <f t="shared" ref="E258" si="87">E259+E261+E263+E264</f>
        <v>0</v>
      </c>
      <c r="F258" s="172">
        <f t="shared" ref="F258" si="88">F259+F261+F263+F264</f>
        <v>0</v>
      </c>
      <c r="G258" s="172">
        <f t="shared" ref="G258" si="89">G259+G261+G263+G264</f>
        <v>0</v>
      </c>
      <c r="H258" s="172">
        <f t="shared" ref="H258" si="90">H259+H261+H263+H264</f>
        <v>0</v>
      </c>
      <c r="I258" s="172">
        <f t="shared" ref="I258" si="91">I259+I261+I263+I264</f>
        <v>0</v>
      </c>
      <c r="J258" s="172">
        <f t="shared" ref="J258" si="92">J259+J261+J263+J264</f>
        <v>0</v>
      </c>
      <c r="K258" s="172">
        <f t="shared" ref="K258" si="93">K259+K261+K263+K264</f>
        <v>0</v>
      </c>
      <c r="L258" s="172">
        <f t="shared" ref="L258" si="94">L259+L261+L263+L264</f>
        <v>0</v>
      </c>
      <c r="M258" s="172">
        <f t="shared" ref="M258" si="95">M259+M261+M263+M264</f>
        <v>0</v>
      </c>
      <c r="N258" s="172">
        <f t="shared" ref="N258" si="96">N259+N261+N263+N264</f>
        <v>0</v>
      </c>
      <c r="O258" s="172">
        <f t="shared" ref="O258" si="97">O259+O261+O263+O264</f>
        <v>0</v>
      </c>
      <c r="P258" s="172">
        <f t="shared" ref="P258" si="98">P259+P261+P263+P264</f>
        <v>0</v>
      </c>
      <c r="Q258" s="172">
        <f t="shared" ref="Q258" si="99">Q259+Q261+Q263+Q264</f>
        <v>0</v>
      </c>
      <c r="R258" s="172">
        <f t="shared" ref="R258" si="100">R259+R261+R263+R264</f>
        <v>0</v>
      </c>
      <c r="S258" s="172">
        <f t="shared" ref="S258" si="101">S259+S261+S263+S264</f>
        <v>0</v>
      </c>
      <c r="T258" s="172">
        <f t="shared" ref="T258" si="102">T259+T261+T263+T264</f>
        <v>0</v>
      </c>
      <c r="U258" s="172">
        <f t="shared" ref="U258" si="103">U259+U261+U263+U264</f>
        <v>0</v>
      </c>
      <c r="V258" s="172">
        <f t="shared" ref="V258" si="104">V259+V261+V263+V264</f>
        <v>0</v>
      </c>
      <c r="W258" s="172">
        <f t="shared" ref="W258" si="105">W259+W261+W263+W264</f>
        <v>0</v>
      </c>
      <c r="X258" s="172">
        <f t="shared" ref="X258" si="106">X259+X261+X263+X264</f>
        <v>0</v>
      </c>
      <c r="Y258" s="172">
        <f t="shared" ref="Y258" si="107">Y259+Y261+Y263+Y264</f>
        <v>0</v>
      </c>
      <c r="Z258" s="172">
        <f t="shared" ref="Z258" si="108">Z259+Z261+Z263+Z264</f>
        <v>0</v>
      </c>
      <c r="AA258" s="172">
        <f t="shared" ref="AA258" si="109">AA259+AA261+AA263+AA264</f>
        <v>0</v>
      </c>
      <c r="AB258" s="332"/>
      <c r="AC258" s="332"/>
      <c r="AD258" s="332"/>
      <c r="AE258" s="332"/>
      <c r="AF258" s="332"/>
      <c r="AG258" s="332"/>
      <c r="AH258" s="332"/>
      <c r="AI258" s="332"/>
      <c r="AJ258" s="52">
        <f t="shared" si="63"/>
        <v>0</v>
      </c>
      <c r="AK258" s="130"/>
      <c r="AL258" s="1205"/>
      <c r="AM258" s="31"/>
      <c r="AN258" s="1402"/>
      <c r="AO258" s="13">
        <v>162</v>
      </c>
      <c r="AP258" s="74"/>
      <c r="AQ258" s="75"/>
    </row>
    <row r="259" spans="1:43" ht="25.9" hidden="1" thickBot="1" x14ac:dyDescent="0.8">
      <c r="A259" s="1227"/>
      <c r="B259" s="169" t="s">
        <v>811</v>
      </c>
      <c r="C259" s="555" t="s">
        <v>839</v>
      </c>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333"/>
      <c r="AC259" s="333"/>
      <c r="AD259" s="333"/>
      <c r="AE259" s="333"/>
      <c r="AF259" s="333"/>
      <c r="AG259" s="333"/>
      <c r="AH259" s="333"/>
      <c r="AI259" s="333"/>
      <c r="AJ259" s="52">
        <f t="shared" si="63"/>
        <v>0</v>
      </c>
      <c r="AK259" s="30" t="str">
        <f>CONCATENATE(IF(D260&gt;D259," * CCC Sexual Violence Initiated Pep "&amp;$D$20&amp;" "&amp;$D$21&amp;" is more than CCC Sexual Violence Rape Survivors"&amp;CHAR(10),""),IF(E260&gt;E259," * CCC Sexual Violence Initiated Pep "&amp;$D$20&amp;" "&amp;$E$21&amp;" is more than CCC Sexual Violence Rape Survivors"&amp;CHAR(10),""),IF(F260&gt;F259," * CCC Sexual Violence Initiated Pep "&amp;$F$20&amp;" "&amp;$F$21&amp;" is more than CCC Sexual Violence Rape Survivors"&amp;CHAR(10),""),IF(G260&gt;G259," * CCC Sexual Violence Initiated Pep "&amp;$F$20&amp;" "&amp;$G$21&amp;" is more than CCC Sexual Violence Rape Survivors"&amp;CHAR(10),""),IF(H260&gt;H259," * CCC Sexual Violence Initiated Pep "&amp;$H$20&amp;" "&amp;$H$21&amp;" is more than CCC Sexual Violence Rape Survivors"&amp;CHAR(10),""),IF(I260&gt;I259," * CCC Sexual Violence Initiated Pep "&amp;$H$20&amp;" "&amp;$I$21&amp;" is more than CCC Sexual Violence Rape Survivors"&amp;CHAR(10),""),IF(J260&gt;J259," * CCC Sexual Violence Initiated Pep "&amp;$J$20&amp;" "&amp;$J$21&amp;" is more than CCC Sexual Violence Rape Survivors"&amp;CHAR(10),""),IF(K260&gt;K259," * CCC Sexual Violence Initiated Pep "&amp;$J$20&amp;" "&amp;$K$21&amp;" is more than CCC Sexual Violence Rape Survivors"&amp;CHAR(10),""),IF(L260&gt;L259," * CCC Sexual Violence Initiated Pep "&amp;$L$20&amp;" "&amp;$L$21&amp;" is more than CCC Sexual Violence Rape Survivors"&amp;CHAR(10),""),IF(M260&gt;M259," * CCC Sexual Violence Initiated Pep "&amp;$L$20&amp;" "&amp;$M$21&amp;" is more than CCC Sexual Violence Rape Survivors"&amp;CHAR(10),""),IF(N260&gt;N259," * CCC Sexual Violence Initiated Pep "&amp;$N$20&amp;" "&amp;$N$21&amp;" is more than CCC Sexual Violence Rape Survivors"&amp;CHAR(10),""),IF(O260&gt;O259," * CCC Sexual Violence Initiated Pep "&amp;$N$20&amp;" "&amp;$O$21&amp;" is more than CCC Sexual Violence Rape Survivors"&amp;CHAR(10),""),IF(P260&gt;P259," * CCC Sexual Violence Initiated Pep "&amp;$P$20&amp;" "&amp;$P$21&amp;" is more than CCC Sexual Violence Rape Survivors"&amp;CHAR(10),""),IF(Q260&gt;Q259," * CCC Sexual Violence Initiated Pep "&amp;$P$20&amp;" "&amp;$Q$21&amp;" is more than CCC Sexual Violence Rape Survivors"&amp;CHAR(10),""),IF(R260&gt;R259," * CCC Sexual Violence Initiated Pep "&amp;$R$20&amp;" "&amp;$R$21&amp;" is more than CCC Sexual Violence Rape Survivors"&amp;CHAR(10),""),IF(S260&gt;S259," * CCC Sexual Violence Initiated Pep "&amp;$R$20&amp;" "&amp;$S$21&amp;" is more than CCC Sexual Violence Rape Survivors"&amp;CHAR(10),""),IF(T260&gt;T259," * CCC Sexual Violence Initiated Pep "&amp;$T$20&amp;" "&amp;$T$21&amp;" is more than CCC Sexual Violence Rape Survivors"&amp;CHAR(10),""),IF(U260&gt;U259," * CCC Sexual Violence Initiated Pep "&amp;$T$20&amp;" "&amp;$U$21&amp;" is more than CCC Sexual Violence Rape Survivors"&amp;CHAR(10),""),IF(V260&gt;V259," * CCC Sexual Violence Initiated Pep "&amp;$V$20&amp;" "&amp;$V$21&amp;" is more than CCC Sexual Violence Rape Survivors"&amp;CHAR(10),""),IF(W260&gt;W259," * CCC Sexual Violence Initiated Pep "&amp;$V$20&amp;" "&amp;$W$21&amp;" is more than CCC Sexual Violence Rape Survivors"&amp;CHAR(10),""),IF(X260&gt;X259," * CCC Sexual Violence Initiated Pep "&amp;$X$20&amp;" "&amp;$X$21&amp;" is more than CCC Sexual Violence Rape Survivors"&amp;CHAR(10),""),IF(Y260&gt;Y259," * CCC Sexual Violence Initiated Pep "&amp;$X$20&amp;" "&amp;$Y$21&amp;" is more than CCC Sexual Violence Rape Survivors"&amp;CHAR(10),""),IF(Z260&gt;Z259," * CCC Sexual Violence Initiated Pep "&amp;$Z$20&amp;" "&amp;$Z$21&amp;" is more than CCC Sexual Violence Rape Survivors"&amp;CHAR(10),""),IF(AA260&gt;AA259," * CCC Sexual Violence Initiated Pep "&amp;$Z$20&amp;" "&amp;$AA$21&amp;" is more than CCC Sexual Violence Rape Survivors"&amp;CHAR(10),""))</f>
        <v/>
      </c>
      <c r="AL259" s="1205"/>
      <c r="AM259" s="31"/>
      <c r="AN259" s="1402"/>
      <c r="AO259" s="13">
        <v>163</v>
      </c>
      <c r="AP259" s="74"/>
      <c r="AQ259" s="75"/>
    </row>
    <row r="260" spans="1:43" ht="25.9" hidden="1" thickBot="1" x14ac:dyDescent="0.8">
      <c r="A260" s="1227"/>
      <c r="B260" s="169" t="s">
        <v>812</v>
      </c>
      <c r="C260" s="555" t="s">
        <v>840</v>
      </c>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c r="AA260" s="175"/>
      <c r="AB260" s="333"/>
      <c r="AC260" s="333"/>
      <c r="AD260" s="333"/>
      <c r="AE260" s="333"/>
      <c r="AF260" s="333"/>
      <c r="AG260" s="333"/>
      <c r="AH260" s="333"/>
      <c r="AI260" s="333"/>
      <c r="AJ260" s="52">
        <f t="shared" si="63"/>
        <v>0</v>
      </c>
      <c r="AK260" s="130"/>
      <c r="AL260" s="1205"/>
      <c r="AM260" s="31"/>
      <c r="AN260" s="1402"/>
      <c r="AO260" s="13">
        <v>164</v>
      </c>
      <c r="AP260" s="74"/>
      <c r="AQ260" s="75"/>
    </row>
    <row r="261" spans="1:43" ht="25.9" hidden="1" thickBot="1" x14ac:dyDescent="0.8">
      <c r="A261" s="1227"/>
      <c r="B261" s="169" t="s">
        <v>813</v>
      </c>
      <c r="C261" s="555" t="s">
        <v>841</v>
      </c>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333"/>
      <c r="AC261" s="333"/>
      <c r="AD261" s="333"/>
      <c r="AE261" s="333"/>
      <c r="AF261" s="333"/>
      <c r="AG261" s="333"/>
      <c r="AH261" s="333"/>
      <c r="AI261" s="333"/>
      <c r="AJ261" s="52">
        <f t="shared" si="63"/>
        <v>0</v>
      </c>
      <c r="AK261" s="30" t="str">
        <f>CONCATENATE(IF(D262&gt;D261," * CCC  Physical Violence Initiated Pep "&amp;$D$20&amp;" "&amp;$D$21&amp;" is more than CCC Physical Violence Rape Survivors"&amp;CHAR(10),""),IF(E262&gt;E261," * CCC  Physical Violence Initiated Pep "&amp;$D$20&amp;" "&amp;$E$21&amp;" is more than CCC Physical Violence Rape Survivors"&amp;CHAR(10),""),IF(F262&gt;F261," * CCC  Physical Violence Initiated Pep "&amp;$F$20&amp;" "&amp;$F$21&amp;" is more than CCC Physical Violence Rape Survivors"&amp;CHAR(10),""),IF(G262&gt;G261," * CCC  Physical Violence Initiated Pep "&amp;$F$20&amp;" "&amp;$G$21&amp;" is more than CCC Physical Violence Rape Survivors"&amp;CHAR(10),""),IF(H262&gt;H261," * CCC  Physical Violence Initiated Pep "&amp;$H$20&amp;" "&amp;$H$21&amp;" is more than CCC Physical Violence Rape Survivors"&amp;CHAR(10),""),IF(I262&gt;I261," * CCC  Physical Violence Initiated Pep "&amp;$H$20&amp;" "&amp;$I$21&amp;" is more than CCC Physical Violence Rape Survivors"&amp;CHAR(10),""),IF(J262&gt;J261," * CCC  Physical Violence Initiated Pep "&amp;$J$20&amp;" "&amp;$J$21&amp;" is more than CCC Physical Violence Rape Survivors"&amp;CHAR(10),""),IF(K262&gt;K261," * CCC  Physical Violence Initiated Pep "&amp;$J$20&amp;" "&amp;$K$21&amp;" is more than CCC Physical Violence Rape Survivors"&amp;CHAR(10),""),IF(L262&gt;L261," * CCC  Physical Violence Initiated Pep "&amp;$L$20&amp;" "&amp;$L$21&amp;" is more than CCC Physical Violence Rape Survivors"&amp;CHAR(10),""),IF(M262&gt;M261," * CCC  Physical Violence Initiated Pep "&amp;$L$20&amp;" "&amp;$M$21&amp;" is more than CCC Physical Violence Rape Survivors"&amp;CHAR(10),""),IF(N262&gt;N261," * CCC  Physical Violence Initiated Pep "&amp;$N$20&amp;" "&amp;$N$21&amp;" is more than CCC Physical Violence Rape Survivors"&amp;CHAR(10),""),IF(O262&gt;O261," * CCC  Physical Violence Initiated Pep "&amp;$N$20&amp;" "&amp;$O$21&amp;" is more than CCC Physical Violence Rape Survivors"&amp;CHAR(10),""),IF(P262&gt;P261," * CCC  Physical Violence Initiated Pep "&amp;$P$20&amp;" "&amp;$P$21&amp;" is more than CCC Physical Violence Rape Survivors"&amp;CHAR(10),""),IF(Q262&gt;Q261," * CCC  Physical Violence Initiated Pep "&amp;$P$20&amp;" "&amp;$Q$21&amp;" is more than CCC Physical Violence Rape Survivors"&amp;CHAR(10),""),IF(R262&gt;R261," * CCC  Physical Violence Initiated Pep "&amp;$R$20&amp;" "&amp;$R$21&amp;" is more than CCC Physical Violence Rape Survivors"&amp;CHAR(10),""),IF(S262&gt;S261," * CCC  Physical Violence Initiated Pep "&amp;$R$20&amp;" "&amp;$S$21&amp;" is more than CCC Physical Violence Rape Survivors"&amp;CHAR(10),""),IF(T262&gt;T261," * CCC  Physical Violence Initiated Pep "&amp;$T$20&amp;" "&amp;$T$21&amp;" is more than CCC Physical Violence Rape Survivors"&amp;CHAR(10),""),IF(U262&gt;U261," * CCC  Physical Violence Initiated Pep "&amp;$T$20&amp;" "&amp;$U$21&amp;" is more than CCC Physical Violence Rape Survivors"&amp;CHAR(10),""),IF(V262&gt;V261," * CCC  Physical Violence Initiated Pep "&amp;$V$20&amp;" "&amp;$V$21&amp;" is more than CCC Physical Violence Rape Survivors"&amp;CHAR(10),""),IF(W262&gt;W261," * CCC  Physical Violence Initiated Pep "&amp;$V$20&amp;" "&amp;$W$21&amp;" is more than CCC Physical Violence Rape Survivors"&amp;CHAR(10),""),IF(X262&gt;X261," * CCC  Physical Violence Initiated Pep "&amp;$X$20&amp;" "&amp;$X$21&amp;" is more than CCC Physical Violence Rape Survivors"&amp;CHAR(10),""),IF(Y262&gt;Y261," * CCC  Physical Violence Initiated Pep "&amp;$X$20&amp;" "&amp;$Y$21&amp;" is more than CCC Physical Violence Rape Survivors"&amp;CHAR(10),""),IF(Z262&gt;Z261," * CCC  Physical Violence Initiated Pep "&amp;$Z$20&amp;" "&amp;$Z$21&amp;" is more than CCC Physical Violence Rape Survivors"&amp;CHAR(10),""),IF(AA262&gt;AA261," * CCC  Physical Violence Initiated Pep "&amp;$Z$20&amp;" "&amp;$AA$21&amp;" is more than CCC Physical Violence Rape Survivors"&amp;CHAR(10),""))</f>
        <v/>
      </c>
      <c r="AL261" s="1205"/>
      <c r="AM261" s="31"/>
      <c r="AN261" s="1402"/>
      <c r="AO261" s="13">
        <v>165</v>
      </c>
      <c r="AP261" s="74"/>
      <c r="AQ261" s="75"/>
    </row>
    <row r="262" spans="1:43" ht="25.9" hidden="1" thickBot="1" x14ac:dyDescent="0.8">
      <c r="A262" s="1227"/>
      <c r="B262" s="169" t="s">
        <v>814</v>
      </c>
      <c r="C262" s="555" t="s">
        <v>842</v>
      </c>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A262" s="175"/>
      <c r="AB262" s="333"/>
      <c r="AC262" s="333"/>
      <c r="AD262" s="333"/>
      <c r="AE262" s="333"/>
      <c r="AF262" s="333"/>
      <c r="AG262" s="333"/>
      <c r="AH262" s="333"/>
      <c r="AI262" s="333"/>
      <c r="AJ262" s="52">
        <f t="shared" si="63"/>
        <v>0</v>
      </c>
      <c r="AK262" s="130"/>
      <c r="AL262" s="1205"/>
      <c r="AM262" s="31"/>
      <c r="AN262" s="1402"/>
      <c r="AO262" s="13">
        <v>166</v>
      </c>
      <c r="AP262" s="74"/>
      <c r="AQ262" s="75"/>
    </row>
    <row r="263" spans="1:43" ht="25.9" hidden="1" thickBot="1" x14ac:dyDescent="0.8">
      <c r="A263" s="1227"/>
      <c r="B263" s="169" t="s">
        <v>815</v>
      </c>
      <c r="C263" s="555" t="s">
        <v>843</v>
      </c>
      <c r="D263" s="176"/>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c r="AA263" s="177"/>
      <c r="AB263" s="333"/>
      <c r="AC263" s="333"/>
      <c r="AD263" s="333"/>
      <c r="AE263" s="333"/>
      <c r="AF263" s="333"/>
      <c r="AG263" s="333"/>
      <c r="AH263" s="333"/>
      <c r="AI263" s="333"/>
      <c r="AJ263" s="52">
        <f t="shared" si="63"/>
        <v>0</v>
      </c>
      <c r="AK263" s="130"/>
      <c r="AL263" s="1205"/>
      <c r="AM263" s="31"/>
      <c r="AN263" s="1402"/>
      <c r="AO263" s="13">
        <v>167</v>
      </c>
      <c r="AP263" s="74"/>
      <c r="AQ263" s="75"/>
    </row>
    <row r="264" spans="1:43" ht="25.9" hidden="1" thickBot="1" x14ac:dyDescent="0.8">
      <c r="A264" s="1228"/>
      <c r="B264" s="178" t="s">
        <v>850</v>
      </c>
      <c r="C264" s="556" t="s">
        <v>844</v>
      </c>
      <c r="D264" s="179"/>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1"/>
      <c r="AB264" s="333"/>
      <c r="AC264" s="333"/>
      <c r="AD264" s="333"/>
      <c r="AE264" s="333"/>
      <c r="AF264" s="333"/>
      <c r="AG264" s="333"/>
      <c r="AH264" s="333"/>
      <c r="AI264" s="333"/>
      <c r="AJ264" s="52">
        <f t="shared" si="63"/>
        <v>0</v>
      </c>
      <c r="AK264" s="130"/>
      <c r="AL264" s="1206"/>
      <c r="AM264" s="73"/>
      <c r="AN264" s="1402"/>
      <c r="AO264" s="13">
        <v>168</v>
      </c>
      <c r="AP264" s="74"/>
      <c r="AQ264" s="75"/>
    </row>
    <row r="265" spans="1:43" ht="25.9" hidden="1" thickBot="1" x14ac:dyDescent="0.8">
      <c r="A265" s="1226" t="s">
        <v>818</v>
      </c>
      <c r="B265" s="167" t="s">
        <v>863</v>
      </c>
      <c r="C265" s="557" t="s">
        <v>845</v>
      </c>
      <c r="D265" s="168">
        <f t="shared" ref="D265:AA265" si="110">D15</f>
        <v>0</v>
      </c>
      <c r="E265" s="168">
        <f t="shared" si="110"/>
        <v>0</v>
      </c>
      <c r="F265" s="168">
        <f t="shared" si="110"/>
        <v>0</v>
      </c>
      <c r="G265" s="168">
        <f t="shared" si="110"/>
        <v>0</v>
      </c>
      <c r="H265" s="168">
        <f t="shared" si="110"/>
        <v>0</v>
      </c>
      <c r="I265" s="168">
        <f t="shared" si="110"/>
        <v>0</v>
      </c>
      <c r="J265" s="168">
        <f t="shared" si="110"/>
        <v>0</v>
      </c>
      <c r="K265" s="168">
        <f t="shared" si="110"/>
        <v>0</v>
      </c>
      <c r="L265" s="168">
        <f t="shared" si="110"/>
        <v>0</v>
      </c>
      <c r="M265" s="168">
        <f t="shared" si="110"/>
        <v>0</v>
      </c>
      <c r="N265" s="168">
        <f t="shared" si="110"/>
        <v>0</v>
      </c>
      <c r="O265" s="168">
        <f t="shared" si="110"/>
        <v>0</v>
      </c>
      <c r="P265" s="168">
        <f t="shared" si="110"/>
        <v>0</v>
      </c>
      <c r="Q265" s="168">
        <f t="shared" si="110"/>
        <v>0</v>
      </c>
      <c r="R265" s="168">
        <f t="shared" si="110"/>
        <v>0</v>
      </c>
      <c r="S265" s="168">
        <f t="shared" si="110"/>
        <v>0</v>
      </c>
      <c r="T265" s="168">
        <f t="shared" si="110"/>
        <v>0</v>
      </c>
      <c r="U265" s="168">
        <f t="shared" si="110"/>
        <v>0</v>
      </c>
      <c r="V265" s="168">
        <f t="shared" si="110"/>
        <v>0</v>
      </c>
      <c r="W265" s="168">
        <f t="shared" si="110"/>
        <v>0</v>
      </c>
      <c r="X265" s="168">
        <f t="shared" si="110"/>
        <v>0</v>
      </c>
      <c r="Y265" s="168">
        <f t="shared" si="110"/>
        <v>0</v>
      </c>
      <c r="Z265" s="168">
        <f t="shared" si="110"/>
        <v>0</v>
      </c>
      <c r="AA265" s="168">
        <f t="shared" si="110"/>
        <v>0</v>
      </c>
      <c r="AB265" s="335"/>
      <c r="AC265" s="335"/>
      <c r="AD265" s="335"/>
      <c r="AE265" s="335"/>
      <c r="AF265" s="335"/>
      <c r="AG265" s="335"/>
      <c r="AH265" s="335"/>
      <c r="AI265" s="335"/>
      <c r="AJ265" s="52">
        <f t="shared" si="63"/>
        <v>0</v>
      </c>
      <c r="AK265" s="30" t="str">
        <f>CONCATENATE(IF(D266&gt;D265," * No Screened for GBV "&amp;$D$20&amp;" "&amp;$D$21&amp;" is more than Clients Seen at MCH"&amp;CHAR(10),""),IF(E266&gt;E265," * No Screened For GBV "&amp;$D$20&amp;" "&amp;$E$21&amp;" is more than Clients Seen at MCH"&amp;CHAR(10),""),IF(F266&gt;F265," * No Screened For GBV "&amp;$F$20&amp;" "&amp;$F$21&amp;" is more than Clients Seen at MCH"&amp;CHAR(10),""),IF(G266&gt;G265," * No Screened For GBV "&amp;$F$20&amp;" "&amp;$G$21&amp;" is more than Clients Seen at MCH"&amp;CHAR(10),""),IF(H266&gt;H265," * No Screened For GBV "&amp;$H$20&amp;" "&amp;$H$21&amp;" is more than Clients Seen at MCH"&amp;CHAR(10),""),IF(I266&gt;I265," * No Screened For GBV "&amp;$H$20&amp;" "&amp;$I$21&amp;" is more than Clients Seen at MCH"&amp;CHAR(10),""),IF(J266&gt;J265," * No Screened For GBV "&amp;$J$20&amp;" "&amp;$J$21&amp;" is more than Clients Seen at MCH"&amp;CHAR(10),""),IF(K266&gt;K265," * No Screened For GBV "&amp;$J$20&amp;" "&amp;$K$21&amp;" is more than Clients Seen at MCH"&amp;CHAR(10),""),IF(L266&gt;L265," * No Screened For GBV "&amp;$L$20&amp;" "&amp;$L$21&amp;" is more than Clients Seen at MCH"&amp;CHAR(10),""),IF(M266&gt;M265," * No Screened For GBV "&amp;$L$20&amp;" "&amp;$M$21&amp;" is more than Clients Seen at MCH"&amp;CHAR(10),""),IF(N266&gt;N265," * No Screened For GBV "&amp;$N$20&amp;" "&amp;$N$21&amp;" is more than Clients Seen at MCH"&amp;CHAR(10),""),IF(O266&gt;O265," * No Screened For GBV "&amp;$N$20&amp;" "&amp;$O$21&amp;" is more than Clients Seen at MCH"&amp;CHAR(10),""),IF(P266&gt;P265," * No Screened For GBV "&amp;$P$20&amp;" "&amp;$P$21&amp;" is more than Clients Seen at MCH"&amp;CHAR(10),""),IF(Q266&gt;Q265," * No Screened For GBV "&amp;$P$20&amp;" "&amp;$Q$21&amp;" is more than Clients Seen at MCH"&amp;CHAR(10),""),IF(R266&gt;R265," * No Screened For GBV "&amp;$R$20&amp;" "&amp;$R$21&amp;" is more than Clients Seen at MCH"&amp;CHAR(10),""),IF(S266&gt;S265," * No Screened For GBV "&amp;$R$20&amp;" "&amp;$S$21&amp;" is more than Clients Seen at MCH"&amp;CHAR(10),""),IF(T266&gt;T265," * No Screened For GBV "&amp;$T$20&amp;" "&amp;$T$21&amp;" is more than Clients Seen at MCH"&amp;CHAR(10),""),IF(U266&gt;U265," * No Screened For GBV "&amp;$T$20&amp;" "&amp;$U$21&amp;" is more than Clients Seen at MCH"&amp;CHAR(10),""),IF(V266&gt;V265," * No Screened For GBV "&amp;$V$20&amp;" "&amp;$V$21&amp;" is more than Clients Seen at MCH"&amp;CHAR(10),""),IF(W266&gt;W265," * No Screened For GBV "&amp;$V$20&amp;" "&amp;$W$21&amp;" is more than Clients Seen at MCH"&amp;CHAR(10),""),IF(X266&gt;X265," * No Screened For GBV "&amp;$X$20&amp;" "&amp;$X$21&amp;" is more than Clients Seen at MCH"&amp;CHAR(10),""),IF(Y266&gt;Y265," * No Screened For GBV "&amp;$X$20&amp;" "&amp;$Y$21&amp;" is more than Clients Seen at MCH"&amp;CHAR(10),""),IF(Z266&gt;Z265," * No Screened For GBV "&amp;$Z$20&amp;" "&amp;$Z$21&amp;" is more than Clients Seen at MCH"&amp;CHAR(10),""),IF(AA266&gt;AA265," * No Screened For GBV "&amp;$Z$20&amp;" "&amp;$AA$21&amp;" is more than Clients Seen at MCH"&amp;CHAR(10),""))</f>
        <v/>
      </c>
      <c r="AL265" s="1204" t="str">
        <f>CONCATENATE(AK265,AK266,AK267,AK268,AK269,AK270,AK271,AK272,AK273)</f>
        <v/>
      </c>
      <c r="AM265" s="73"/>
      <c r="AN265" s="1402"/>
      <c r="AO265" s="13">
        <v>169</v>
      </c>
      <c r="AP265" s="74"/>
      <c r="AQ265" s="75"/>
    </row>
    <row r="266" spans="1:43" ht="25.9" hidden="1" thickBot="1" x14ac:dyDescent="0.8">
      <c r="A266" s="1227"/>
      <c r="B266" s="169" t="s">
        <v>858</v>
      </c>
      <c r="C266" s="555" t="s">
        <v>846</v>
      </c>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c r="AB266" s="333"/>
      <c r="AC266" s="333"/>
      <c r="AD266" s="333"/>
      <c r="AE266" s="333"/>
      <c r="AF266" s="333"/>
      <c r="AG266" s="333"/>
      <c r="AH266" s="333"/>
      <c r="AI266" s="333"/>
      <c r="AJ266" s="52">
        <f t="shared" si="63"/>
        <v>0</v>
      </c>
      <c r="AK266" s="130"/>
      <c r="AL266" s="1205"/>
      <c r="AM266" s="31"/>
      <c r="AN266" s="1402"/>
      <c r="AO266" s="13">
        <v>170</v>
      </c>
      <c r="AP266" s="74"/>
      <c r="AQ266" s="75"/>
    </row>
    <row r="267" spans="1:43" ht="25.9" hidden="1" thickBot="1" x14ac:dyDescent="0.8">
      <c r="A267" s="1227"/>
      <c r="B267" s="171" t="s">
        <v>866</v>
      </c>
      <c r="C267" s="555" t="s">
        <v>847</v>
      </c>
      <c r="D267" s="172">
        <f>D268+D270+D272+D273</f>
        <v>0</v>
      </c>
      <c r="E267" s="172">
        <f t="shared" ref="E267" si="111">E268+E270+E272+E273</f>
        <v>0</v>
      </c>
      <c r="F267" s="172">
        <f t="shared" ref="F267" si="112">F268+F270+F272+F273</f>
        <v>0</v>
      </c>
      <c r="G267" s="172">
        <f t="shared" ref="G267" si="113">G268+G270+G272+G273</f>
        <v>0</v>
      </c>
      <c r="H267" s="172">
        <f t="shared" ref="H267" si="114">H268+H270+H272+H273</f>
        <v>0</v>
      </c>
      <c r="I267" s="172">
        <f t="shared" ref="I267" si="115">I268+I270+I272+I273</f>
        <v>0</v>
      </c>
      <c r="J267" s="172">
        <f t="shared" ref="J267" si="116">J268+J270+J272+J273</f>
        <v>0</v>
      </c>
      <c r="K267" s="172">
        <f t="shared" ref="K267" si="117">K268+K270+K272+K273</f>
        <v>0</v>
      </c>
      <c r="L267" s="172">
        <f t="shared" ref="L267" si="118">L268+L270+L272+L273</f>
        <v>0</v>
      </c>
      <c r="M267" s="172">
        <f t="shared" ref="M267" si="119">M268+M270+M272+M273</f>
        <v>0</v>
      </c>
      <c r="N267" s="172">
        <f t="shared" ref="N267" si="120">N268+N270+N272+N273</f>
        <v>0</v>
      </c>
      <c r="O267" s="172">
        <f t="shared" ref="O267" si="121">O268+O270+O272+O273</f>
        <v>0</v>
      </c>
      <c r="P267" s="172">
        <f t="shared" ref="P267" si="122">P268+P270+P272+P273</f>
        <v>0</v>
      </c>
      <c r="Q267" s="172">
        <f t="shared" ref="Q267" si="123">Q268+Q270+Q272+Q273</f>
        <v>0</v>
      </c>
      <c r="R267" s="172">
        <f t="shared" ref="R267" si="124">R268+R270+R272+R273</f>
        <v>0</v>
      </c>
      <c r="S267" s="172">
        <f t="shared" ref="S267" si="125">S268+S270+S272+S273</f>
        <v>0</v>
      </c>
      <c r="T267" s="172">
        <f t="shared" ref="T267" si="126">T268+T270+T272+T273</f>
        <v>0</v>
      </c>
      <c r="U267" s="172">
        <f t="shared" ref="U267" si="127">U268+U270+U272+U273</f>
        <v>0</v>
      </c>
      <c r="V267" s="172">
        <f t="shared" ref="V267" si="128">V268+V270+V272+V273</f>
        <v>0</v>
      </c>
      <c r="W267" s="172">
        <f t="shared" ref="W267" si="129">W268+W270+W272+W273</f>
        <v>0</v>
      </c>
      <c r="X267" s="172">
        <f t="shared" ref="X267" si="130">X268+X270+X272+X273</f>
        <v>0</v>
      </c>
      <c r="Y267" s="172">
        <f t="shared" ref="Y267" si="131">Y268+Y270+Y272+Y273</f>
        <v>0</v>
      </c>
      <c r="Z267" s="172">
        <f t="shared" ref="Z267" si="132">Z268+Z270+Z272+Z273</f>
        <v>0</v>
      </c>
      <c r="AA267" s="172">
        <f t="shared" ref="AA267" si="133">AA268+AA270+AA272+AA273</f>
        <v>0</v>
      </c>
      <c r="AB267" s="332"/>
      <c r="AC267" s="332"/>
      <c r="AD267" s="332"/>
      <c r="AE267" s="332"/>
      <c r="AF267" s="332"/>
      <c r="AG267" s="332"/>
      <c r="AH267" s="332"/>
      <c r="AI267" s="332"/>
      <c r="AJ267" s="52">
        <f t="shared" si="63"/>
        <v>0</v>
      </c>
      <c r="AK267" s="130"/>
      <c r="AL267" s="1205"/>
      <c r="AM267" s="31"/>
      <c r="AN267" s="1402"/>
      <c r="AO267" s="13">
        <v>171</v>
      </c>
      <c r="AP267" s="74"/>
      <c r="AQ267" s="75"/>
    </row>
    <row r="268" spans="1:43" ht="25.9" hidden="1" thickBot="1" x14ac:dyDescent="0.8">
      <c r="A268" s="1227"/>
      <c r="B268" s="169" t="s">
        <v>811</v>
      </c>
      <c r="C268" s="555" t="s">
        <v>848</v>
      </c>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333"/>
      <c r="AC268" s="333"/>
      <c r="AD268" s="333"/>
      <c r="AE268" s="333"/>
      <c r="AF268" s="333"/>
      <c r="AG268" s="333"/>
      <c r="AH268" s="333"/>
      <c r="AI268" s="333"/>
      <c r="AJ268" s="52">
        <f t="shared" si="63"/>
        <v>0</v>
      </c>
      <c r="AK268" s="30" t="str">
        <f>CONCATENATE(IF(D269&gt;D268," * OPD Sexual Violence Initiated Pep "&amp;$D$20&amp;" "&amp;$D$21&amp;" is more than OPD Sexual Violence Rape Survivors"&amp;CHAR(10),""),IF(E269&gt;E268," * OPD Sexual Violence Initiated Pep "&amp;$D$20&amp;" "&amp;$E$21&amp;" is more than OPD Sexual Violence Rape Survivors"&amp;CHAR(10),""),IF(F269&gt;F268," * OPD Sexual Violence Initiated Pep "&amp;$F$20&amp;" "&amp;$F$21&amp;" is more than OPD Sexual Violence Rape Survivors"&amp;CHAR(10),""),IF(G269&gt;G268," * OPD Sexual Violence Initiated Pep "&amp;$F$20&amp;" "&amp;$G$21&amp;" is more than OPD Sexual Violence Rape Survivors"&amp;CHAR(10),""),IF(H269&gt;H268," * OPD Sexual Violence Initiated Pep "&amp;$H$20&amp;" "&amp;$H$21&amp;" is more than OPD Sexual Violence Rape Survivors"&amp;CHAR(10),""),IF(I269&gt;I268," * OPD Sexual Violence Initiated Pep "&amp;$H$20&amp;" "&amp;$I$21&amp;" is more than OPD Sexual Violence Rape Survivors"&amp;CHAR(10),""),IF(J269&gt;J268," * OPD Sexual Violence Initiated Pep "&amp;$J$20&amp;" "&amp;$J$21&amp;" is more than OPD Sexual Violence Rape Survivors"&amp;CHAR(10),""),IF(K269&gt;K268," * OPD Sexual Violence Initiated Pep "&amp;$J$20&amp;" "&amp;$K$21&amp;" is more than OPD Sexual Violence Rape Survivors"&amp;CHAR(10),""),IF(L269&gt;L268," * OPD Sexual Violence Initiated Pep "&amp;$L$20&amp;" "&amp;$L$21&amp;" is more than OPD Sexual Violence Rape Survivors"&amp;CHAR(10),""),IF(M269&gt;M268," * OPD Sexual Violence Initiated Pep "&amp;$L$20&amp;" "&amp;$M$21&amp;" is more than OPD Sexual Violence Rape Survivors"&amp;CHAR(10),""),IF(N269&gt;N268," * OPD Sexual Violence Initiated Pep "&amp;$N$20&amp;" "&amp;$N$21&amp;" is more than OPD Sexual Violence Rape Survivors"&amp;CHAR(10),""),IF(O269&gt;O268," * OPD Sexual Violence Initiated Pep "&amp;$N$20&amp;" "&amp;$O$21&amp;" is more than OPD Sexual Violence Rape Survivors"&amp;CHAR(10),""),IF(P269&gt;P268," * OPD Sexual Violence Initiated Pep "&amp;$P$20&amp;" "&amp;$P$21&amp;" is more than OPD Sexual Violence Rape Survivors"&amp;CHAR(10),""),IF(Q269&gt;Q268," * OPD Sexual Violence Initiated Pep "&amp;$P$20&amp;" "&amp;$Q$21&amp;" is more than OPD Sexual Violence Rape Survivors"&amp;CHAR(10),""),IF(R269&gt;R268," * OPD Sexual Violence Initiated Pep "&amp;$R$20&amp;" "&amp;$R$21&amp;" is more than OPD Sexual Violence Rape Survivors"&amp;CHAR(10),""),IF(S269&gt;S268," * OPD Sexual Violence Initiated Pep "&amp;$R$20&amp;" "&amp;$S$21&amp;" is more than OPD Sexual Violence Rape Survivors"&amp;CHAR(10),""),IF(T269&gt;T268," * OPD Sexual Violence Initiated Pep "&amp;$T$20&amp;" "&amp;$T$21&amp;" is more than OPD Sexual Violence Rape Survivors"&amp;CHAR(10),""),IF(U269&gt;U268," * OPD Sexual Violence Initiated Pep "&amp;$T$20&amp;" "&amp;$U$21&amp;" is more than OPD Sexual Violence Rape Survivors"&amp;CHAR(10),""),IF(V269&gt;V268," * OPD Sexual Violence Initiated Pep "&amp;$V$20&amp;" "&amp;$V$21&amp;" is more than OPD Sexual Violence Rape Survivors"&amp;CHAR(10),""),IF(W269&gt;W268," * OPD Sexual Violence Initiated Pep "&amp;$V$20&amp;" "&amp;$W$21&amp;" is more than OPD Sexual Violence Rape Survivors"&amp;CHAR(10),""),IF(X269&gt;X268," * OPD Sexual Violence Initiated Pep "&amp;$X$20&amp;" "&amp;$X$21&amp;" is more than OPD Sexual Violence Rape Survivors"&amp;CHAR(10),""),IF(Y269&gt;Y268," * OPD Sexual Violence Initiated Pep "&amp;$X$20&amp;" "&amp;$Y$21&amp;" is more than OPD Sexual Violence Rape Survivors"&amp;CHAR(10),""),IF(Z269&gt;Z268," * OPD Sexual Violence Initiated Pep "&amp;$Z$20&amp;" "&amp;$Z$21&amp;" is more than OPD Sexual Violence Rape Survivors"&amp;CHAR(10),""),IF(AA269&gt;AA268," * OPD Sexual Violence Initiated Pep "&amp;$Z$20&amp;" "&amp;$AA$21&amp;" is more than OPD Sexual Violence Rape Survivors"&amp;CHAR(10),""))</f>
        <v/>
      </c>
      <c r="AL268" s="1205"/>
      <c r="AM268" s="31"/>
      <c r="AN268" s="1402"/>
      <c r="AO268" s="13">
        <v>172</v>
      </c>
      <c r="AP268" s="74"/>
      <c r="AQ268" s="75"/>
    </row>
    <row r="269" spans="1:43" ht="25.9" hidden="1" thickBot="1" x14ac:dyDescent="0.8">
      <c r="A269" s="1227"/>
      <c r="B269" s="169" t="s">
        <v>812</v>
      </c>
      <c r="C269" s="555" t="s">
        <v>849</v>
      </c>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c r="AA269" s="175"/>
      <c r="AB269" s="333"/>
      <c r="AC269" s="333"/>
      <c r="AD269" s="333"/>
      <c r="AE269" s="333"/>
      <c r="AF269" s="333"/>
      <c r="AG269" s="333"/>
      <c r="AH269" s="333"/>
      <c r="AI269" s="333"/>
      <c r="AJ269" s="52">
        <f t="shared" si="63"/>
        <v>0</v>
      </c>
      <c r="AK269" s="130"/>
      <c r="AL269" s="1205"/>
      <c r="AM269" s="31"/>
      <c r="AN269" s="1402"/>
      <c r="AO269" s="13">
        <v>173</v>
      </c>
      <c r="AP269" s="74"/>
      <c r="AQ269" s="75"/>
    </row>
    <row r="270" spans="1:43" ht="25.9" hidden="1" thickBot="1" x14ac:dyDescent="0.8">
      <c r="A270" s="1227"/>
      <c r="B270" s="169" t="s">
        <v>813</v>
      </c>
      <c r="C270" s="555" t="s">
        <v>851</v>
      </c>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333"/>
      <c r="AC270" s="333"/>
      <c r="AD270" s="333"/>
      <c r="AE270" s="333"/>
      <c r="AF270" s="333"/>
      <c r="AG270" s="333"/>
      <c r="AH270" s="333"/>
      <c r="AI270" s="333"/>
      <c r="AJ270" s="52">
        <f t="shared" si="63"/>
        <v>0</v>
      </c>
      <c r="AK270" s="30" t="str">
        <f>CONCATENATE(IF(D271&gt;D270," * MCH  Physical Violence Initiated Pep "&amp;$D$20&amp;" "&amp;$D$21&amp;" is more than MCH Physical Violence Rape Survivors"&amp;CHAR(10),""),IF(E271&gt;E270," * MCH  Physical Violence Initiated Pep "&amp;$D$20&amp;" "&amp;$E$21&amp;" is more than MCH Physical Violence Rape Survivors"&amp;CHAR(10),""),IF(F271&gt;F270," * MCH  Physical Violence Initiated Pep "&amp;$F$20&amp;" "&amp;$F$21&amp;" is more than MCH Physical Violence Rape Survivors"&amp;CHAR(10),""),IF(G271&gt;G270," * MCH  Physical Violence Initiated Pep "&amp;$F$20&amp;" "&amp;$G$21&amp;" is more than MCH Physical Violence Rape Survivors"&amp;CHAR(10),""),IF(H271&gt;H270," * MCH  Physical Violence Initiated Pep "&amp;$H$20&amp;" "&amp;$H$21&amp;" is more than MCH Physical Violence Rape Survivors"&amp;CHAR(10),""),IF(I271&gt;I270," * MCH  Physical Violence Initiated Pep "&amp;$H$20&amp;" "&amp;$I$21&amp;" is more than MCH Physical Violence Rape Survivors"&amp;CHAR(10),""),IF(J271&gt;J270," * MCH  Physical Violence Initiated Pep "&amp;$J$20&amp;" "&amp;$J$21&amp;" is more than MCH Physical Violence Rape Survivors"&amp;CHAR(10),""),IF(K271&gt;K270," * MCH  Physical Violence Initiated Pep "&amp;$J$20&amp;" "&amp;$K$21&amp;" is more than MCH Physical Violence Rape Survivors"&amp;CHAR(10),""),IF(L271&gt;L270," * MCH  Physical Violence Initiated Pep "&amp;$L$20&amp;" "&amp;$L$21&amp;" is more than MCH Physical Violence Rape Survivors"&amp;CHAR(10),""),IF(M271&gt;M270," * MCH  Physical Violence Initiated Pep "&amp;$L$20&amp;" "&amp;$M$21&amp;" is more than MCH Physical Violence Rape Survivors"&amp;CHAR(10),""),IF(N271&gt;N270," * MCH  Physical Violence Initiated Pep "&amp;$N$20&amp;" "&amp;$N$21&amp;" is more than MCH Physical Violence Rape Survivors"&amp;CHAR(10),""),IF(O271&gt;O270," * MCH  Physical Violence Initiated Pep "&amp;$N$20&amp;" "&amp;$O$21&amp;" is more than MCH Physical Violence Rape Survivors"&amp;CHAR(10),""),IF(P271&gt;P270," * MCH  Physical Violence Initiated Pep "&amp;$P$20&amp;" "&amp;$P$21&amp;" is more than MCH Physical Violence Rape Survivors"&amp;CHAR(10),""),IF(Q271&gt;Q270," * MCH  Physical Violence Initiated Pep "&amp;$P$20&amp;" "&amp;$Q$21&amp;" is more than MCH Physical Violence Rape Survivors"&amp;CHAR(10),""),IF(R271&gt;R270," * MCH  Physical Violence Initiated Pep "&amp;$R$20&amp;" "&amp;$R$21&amp;" is more than MCH Physical Violence Rape Survivors"&amp;CHAR(10),""),IF(S271&gt;S270," * MCH  Physical Violence Initiated Pep "&amp;$R$20&amp;" "&amp;$S$21&amp;" is more than MCH Physical Violence Rape Survivors"&amp;CHAR(10),""),IF(T271&gt;T270," * MCH  Physical Violence Initiated Pep "&amp;$T$20&amp;" "&amp;$T$21&amp;" is more than MCH Physical Violence Rape Survivors"&amp;CHAR(10),""),IF(U271&gt;U270," * MCH  Physical Violence Initiated Pep "&amp;$T$20&amp;" "&amp;$U$21&amp;" is more than MCH Physical Violence Rape Survivors"&amp;CHAR(10),""),IF(V271&gt;V270," * MCH  Physical Violence Initiated Pep "&amp;$V$20&amp;" "&amp;$V$21&amp;" is more than MCH Physical Violence Rape Survivors"&amp;CHAR(10),""),IF(W271&gt;W270," * MCH  Physical Violence Initiated Pep "&amp;$V$20&amp;" "&amp;$W$21&amp;" is more than MCH Physical Violence Rape Survivors"&amp;CHAR(10),""),IF(X271&gt;X270," * MCH  Physical Violence Initiated Pep "&amp;$X$20&amp;" "&amp;$X$21&amp;" is more than MCH Physical Violence Rape Survivors"&amp;CHAR(10),""),IF(Y271&gt;Y270," * MCH  Physical Violence Initiated Pep "&amp;$X$20&amp;" "&amp;$Y$21&amp;" is more than MCH Physical Violence Rape Survivors"&amp;CHAR(10),""),IF(Z271&gt;Z270," * MCH  Physical Violence Initiated Pep "&amp;$Z$20&amp;" "&amp;$Z$21&amp;" is more than MCH Physical Violence Rape Survivors"&amp;CHAR(10),""),IF(AA271&gt;AA270," * MCH  Physical Violence Initiated Pep "&amp;$Z$20&amp;" "&amp;$AA$21&amp;" is more than MCH Physical Violence Rape Survivors"&amp;CHAR(10),""))</f>
        <v/>
      </c>
      <c r="AL270" s="1205"/>
      <c r="AM270" s="31"/>
      <c r="AN270" s="1402"/>
      <c r="AO270" s="13">
        <v>174</v>
      </c>
      <c r="AP270" s="74"/>
      <c r="AQ270" s="75"/>
    </row>
    <row r="271" spans="1:43" ht="25.9" hidden="1" thickBot="1" x14ac:dyDescent="0.8">
      <c r="A271" s="1227"/>
      <c r="B271" s="169" t="s">
        <v>814</v>
      </c>
      <c r="C271" s="555" t="s">
        <v>852</v>
      </c>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c r="AA271" s="175"/>
      <c r="AB271" s="333"/>
      <c r="AC271" s="333"/>
      <c r="AD271" s="333"/>
      <c r="AE271" s="333"/>
      <c r="AF271" s="333"/>
      <c r="AG271" s="333"/>
      <c r="AH271" s="333"/>
      <c r="AI271" s="333"/>
      <c r="AJ271" s="52">
        <f t="shared" si="63"/>
        <v>0</v>
      </c>
      <c r="AK271" s="130"/>
      <c r="AL271" s="1205"/>
      <c r="AM271" s="31"/>
      <c r="AN271" s="1402"/>
      <c r="AO271" s="13">
        <v>175</v>
      </c>
      <c r="AP271" s="74"/>
      <c r="AQ271" s="75"/>
    </row>
    <row r="272" spans="1:43" ht="25.9" hidden="1" thickBot="1" x14ac:dyDescent="0.8">
      <c r="A272" s="1227"/>
      <c r="B272" s="169" t="s">
        <v>815</v>
      </c>
      <c r="C272" s="555" t="s">
        <v>853</v>
      </c>
      <c r="D272" s="176"/>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c r="AA272" s="177"/>
      <c r="AB272" s="333"/>
      <c r="AC272" s="333"/>
      <c r="AD272" s="333"/>
      <c r="AE272" s="333"/>
      <c r="AF272" s="333"/>
      <c r="AG272" s="333"/>
      <c r="AH272" s="333"/>
      <c r="AI272" s="333"/>
      <c r="AJ272" s="52">
        <f t="shared" si="63"/>
        <v>0</v>
      </c>
      <c r="AK272" s="130"/>
      <c r="AL272" s="1205"/>
      <c r="AM272" s="31"/>
      <c r="AN272" s="1402"/>
      <c r="AO272" s="13">
        <v>176</v>
      </c>
      <c r="AP272" s="74"/>
      <c r="AQ272" s="75"/>
    </row>
    <row r="273" spans="1:43" ht="25.9" hidden="1" thickBot="1" x14ac:dyDescent="0.8">
      <c r="A273" s="1228"/>
      <c r="B273" s="183" t="s">
        <v>850</v>
      </c>
      <c r="C273" s="555" t="s">
        <v>854</v>
      </c>
      <c r="D273" s="179"/>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c r="AA273" s="181"/>
      <c r="AB273" s="333"/>
      <c r="AC273" s="333"/>
      <c r="AD273" s="333"/>
      <c r="AE273" s="333"/>
      <c r="AF273" s="333"/>
      <c r="AG273" s="333"/>
      <c r="AH273" s="333"/>
      <c r="AI273" s="333"/>
      <c r="AJ273" s="184">
        <f t="shared" si="63"/>
        <v>0</v>
      </c>
      <c r="AK273" s="130"/>
      <c r="AL273" s="1206"/>
      <c r="AM273" s="31"/>
      <c r="AN273" s="1402"/>
      <c r="AO273" s="13">
        <v>177</v>
      </c>
      <c r="AP273" s="74"/>
      <c r="AQ273" s="75"/>
    </row>
    <row r="274" spans="1:43" ht="25.5" hidden="1" x14ac:dyDescent="0.75">
      <c r="A274" s="1225" t="s">
        <v>908</v>
      </c>
      <c r="B274" s="185" t="s">
        <v>907</v>
      </c>
      <c r="C274" s="558" t="s">
        <v>171</v>
      </c>
      <c r="D274" s="186"/>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381"/>
      <c r="AB274" s="373"/>
      <c r="AC274" s="374"/>
      <c r="AD274" s="374"/>
      <c r="AE274" s="374"/>
      <c r="AF274" s="374"/>
      <c r="AG274" s="374"/>
      <c r="AH274" s="374"/>
      <c r="AI274" s="305"/>
      <c r="AJ274" s="188">
        <f>SUM(D274:AA274)</f>
        <v>0</v>
      </c>
      <c r="AK274" s="130" t="str">
        <f>CONCATENATE(IF(D275&gt;D274," * Initiated Pep for Age "&amp;D20&amp;" "&amp;D21&amp;" is more than Rape survivors"&amp;CHAR(10),""),IF(E275&gt;E274," * Initiated Pep for Age "&amp;D20&amp;" "&amp;E21&amp;" is more than Rape survivors"&amp;CHAR(10),""),IF(F275&gt;F274," * Initiated Pep for Age "&amp;F20&amp;" "&amp;F21&amp;" is more than Rape survivors"&amp;CHAR(10),""),IF(G275&gt;G274," * Initiated Pep for Age "&amp;F20&amp;" "&amp;G21&amp;" is more than Rape survivors"&amp;CHAR(10),""),IF(H275&gt;H274," * Initiated Pep for Age "&amp;H20&amp;" "&amp;H21&amp;" is more than Rape survivors"&amp;CHAR(10),""),IF(I275&gt;I274," * Initiated Pep for Age "&amp;H20&amp;" "&amp;I21&amp;" is more than Rape survivors"&amp;CHAR(10),""),IF(J275&gt;J274," * Initiated Pep for Age "&amp;J20&amp;" "&amp;J21&amp;" is more than Rape survivors"&amp;CHAR(10),""),IF(K275&gt;K274," * Initiated Pep for Age "&amp;J20&amp;" "&amp;K21&amp;" is more than Rape survivors"&amp;CHAR(10),""),IF(L275&gt;L274," * Initiated Pep for Age "&amp;L20&amp;" "&amp;L21&amp;" is more than Rape survivors"&amp;CHAR(10),""),IF(M275&gt;M274," * Initiated Pep for Age "&amp;L20&amp;" "&amp;M21&amp;" is more than Rape survivors"&amp;CHAR(10),""),IF(N275&gt;N274," * Initiated Pep for Age "&amp;N20&amp;" "&amp;N21&amp;" is more than Rape survivors"&amp;CHAR(10),""),IF(O275&gt;O274," * Initiated Pep for Age "&amp;N20&amp;" "&amp;O21&amp;" is more than Rape survivors"&amp;CHAR(10),""),IF(P275&gt;P274," * Initiated Pep for Age "&amp;P20&amp;" "&amp;P21&amp;" is more than Rape survivors"&amp;CHAR(10),""),IF(Q275&gt;Q274," * Initiated Pep for Age "&amp;P20&amp;" "&amp;Q21&amp;" is more than Rape survivors"&amp;CHAR(10),""),IF(R275&gt;R274," * Initiated Pep for Age "&amp;R20&amp;" "&amp;R21&amp;" is more than Rape survivors"&amp;CHAR(10),""),IF(S275&gt;S274," * Initiated Pep for Age "&amp;R20&amp;" "&amp;S21&amp;" is more than Rape survivors"&amp;CHAR(10),""),IF(T275&gt;T274," * Initiated Pep for Age "&amp;T20&amp;" "&amp;T21&amp;" is more than Rape survivors"&amp;CHAR(10),""),IF(U275&gt;U274," * Initiated Pep for Age "&amp;T20&amp;" "&amp;U21&amp;" is more than Rape survivors"&amp;CHAR(10),""),IF(V275&gt;V274," * Initiated Pep for Age "&amp;V20&amp;" "&amp;V21&amp;" is more than Rape survivors"&amp;CHAR(10),""),IF(W275&gt;W274," * Initiated Pep for Age "&amp;V20&amp;" "&amp;W21&amp;" is more than Rape survivors"&amp;CHAR(10),""),IF(X275&gt;X274," * Initiated Pep for Age "&amp;X20&amp;" "&amp;X21&amp;" is more than Rape survivors"&amp;CHAR(10),""),IF(Y275&gt;Y274," * Initiated Pep for Age "&amp;X20&amp;" "&amp;Y21&amp;" is more than Rape survivors"&amp;CHAR(10),""),IF(Z275&gt;Z274," * Initiated Pep for Age "&amp;Z20&amp;" "&amp;Z21&amp;" is more than Rape survivors"&amp;CHAR(10),""),IF(AA275&gt;AA274," * Initiated Pep for Age "&amp;Z20&amp;" "&amp;AA21&amp;" is more than Rape survivors"&amp;CHAR(10),""))</f>
        <v/>
      </c>
      <c r="AL274" s="1405" t="str">
        <f>CONCATENATE(AK238,AK276,AK277,AK278,AK279,AK281,AK283,AK285,AK287,AK288,AK275,AK280,AK274,AK282)</f>
        <v/>
      </c>
      <c r="AM274" s="31"/>
      <c r="AN274" s="1402"/>
      <c r="AO274" s="13">
        <v>178</v>
      </c>
      <c r="AP274" s="74"/>
      <c r="AQ274" s="75"/>
    </row>
    <row r="275" spans="1:43" ht="25.9" hidden="1" thickBot="1" x14ac:dyDescent="0.8">
      <c r="A275" s="1130"/>
      <c r="B275" s="189" t="s">
        <v>867</v>
      </c>
      <c r="C275" s="578" t="s">
        <v>170</v>
      </c>
      <c r="D275" s="190"/>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382"/>
      <c r="AB275" s="375"/>
      <c r="AC275" s="345"/>
      <c r="AD275" s="345"/>
      <c r="AE275" s="345"/>
      <c r="AF275" s="345"/>
      <c r="AG275" s="345"/>
      <c r="AH275" s="345"/>
      <c r="AI275" s="302"/>
      <c r="AJ275" s="192">
        <f t="shared" ref="AJ275:AJ288" si="134">SUM(D275:AA275)</f>
        <v>0</v>
      </c>
      <c r="AK275" s="130"/>
      <c r="AL275" s="1348"/>
      <c r="AM275" s="31"/>
      <c r="AN275" s="1402"/>
      <c r="AO275" s="13">
        <v>179</v>
      </c>
      <c r="AP275" s="74"/>
      <c r="AQ275" s="75"/>
    </row>
    <row r="276" spans="1:43" ht="25.9" hidden="1" thickBot="1" x14ac:dyDescent="0.8">
      <c r="A276" s="1132" t="s">
        <v>909</v>
      </c>
      <c r="B276" s="185" t="s">
        <v>639</v>
      </c>
      <c r="C276" s="578" t="s">
        <v>229</v>
      </c>
      <c r="D276" s="193"/>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c r="AA276" s="337"/>
      <c r="AB276" s="375"/>
      <c r="AC276" s="345"/>
      <c r="AD276" s="345"/>
      <c r="AE276" s="345"/>
      <c r="AF276" s="345"/>
      <c r="AG276" s="345"/>
      <c r="AH276" s="345"/>
      <c r="AI276" s="302"/>
      <c r="AJ276" s="383">
        <f>SUM(D276:AA276)</f>
        <v>0</v>
      </c>
      <c r="AK276" s="116" t="str">
        <f>CONCATENATE(IF(D277&gt;D276," * Initiated Pep for Age "&amp;D19&amp;" "&amp;D20&amp;" is more than No of Clients"&amp;CHAR(10),""),IF(E277&gt;E276," * Initiated Pep for Age "&amp;D19&amp;" "&amp;E20&amp;" is more than No of Clients"&amp;CHAR(10),""),IF(F277&gt;F276," * Initiated Pep for Age "&amp;F19&amp;" "&amp;F20&amp;" is more than No of Clients"&amp;CHAR(10),""),IF(G277&gt;G276," * Initiated Pep for Age "&amp;F19&amp;" "&amp;G20&amp;" is more than No of Clients"&amp;CHAR(10),""),IF(H277&gt;H276," * Initiated Pep for Age "&amp;H19&amp;" "&amp;H20&amp;" is more than No of Clients"&amp;CHAR(10),""),IF(I277&gt;I276," * Initiated Pep for Age "&amp;H19&amp;" "&amp;I20&amp;" is more than No of Clients"&amp;CHAR(10),""),IF(J277&gt;J276," * Initiated Pep for Age "&amp;J19&amp;" "&amp;J20&amp;" is more than No of Clients"&amp;CHAR(10),""),IF(K277&gt;K276," * Initiated Pep for Age "&amp;J19&amp;" "&amp;K20&amp;" is more than No of Clients"&amp;CHAR(10),""),IF(L277&gt;L276," * Initiated Pep for Age "&amp;L19&amp;" "&amp;L20&amp;" is more than No of Clients"&amp;CHAR(10),""),IF(M277&gt;M276," * Initiated Pep for Age "&amp;L19&amp;" "&amp;M20&amp;" is more than No of Clients"&amp;CHAR(10),""),IF(N277&gt;N276," * Initiated Pep for Age "&amp;N19&amp;" "&amp;N20&amp;" is more than No of Clients"&amp;CHAR(10),""),IF(O277&gt;O276," * Initiated Pep for Age "&amp;N19&amp;" "&amp;O20&amp;" is more than No of Clients"&amp;CHAR(10),""),IF(P277&gt;P276," * Initiated Pep for Age "&amp;P19&amp;" "&amp;P20&amp;" is more than No of Clients"&amp;CHAR(10),""),IF(Q277&gt;Q276," * Initiated Pep for Age "&amp;P19&amp;" "&amp;Q20&amp;" is more than No of Clients"&amp;CHAR(10),""),IF(R277&gt;R276," * Initiated Pep for Age "&amp;R19&amp;" "&amp;R20&amp;" is more than No of Clients"&amp;CHAR(10),""),IF(S277&gt;S276," * Initiated Pep for Age "&amp;R19&amp;" "&amp;S20&amp;" is more than No of Clients"&amp;CHAR(10),""),IF(T277&gt;T276," * Initiated Pep for Age "&amp;T19&amp;" "&amp;T20&amp;" is more than No of Clients"&amp;CHAR(10),""),IF(U277&gt;U276," * Initiated Pep for Age "&amp;T19&amp;" "&amp;U20&amp;" is more than No of Clients"&amp;CHAR(10),""),IF(V277&gt;V276," * Initiated Pep for Age "&amp;V19&amp;" "&amp;V20&amp;" is more than No of Clients"&amp;CHAR(10),""),IF(W277&gt;W276," * Initiated Pep for Age "&amp;V19&amp;" "&amp;W20&amp;" is more than No of Clients"&amp;CHAR(10),""),IF(X277&gt;X276," * Initiated Pep for Age "&amp;X19&amp;" "&amp;X20&amp;" is more than No of Clients"&amp;CHAR(10),""),IF(Y277&gt;Y276," * Initiated Pep for Age "&amp;X19&amp;" "&amp;Y20&amp;" is more than No of Clients"&amp;CHAR(10),""),IF(Z277&gt;Z276," * Initiated Pep for Age "&amp;Z19&amp;" "&amp;Z20&amp;" is more than No of Clients"&amp;CHAR(10),""),IF(AA277&gt;AA276," * Initiated Pep for Age "&amp;Z19&amp;" "&amp;AA20&amp;" is more than No of Clients"&amp;CHAR(10),""))</f>
        <v/>
      </c>
      <c r="AL276" s="1348"/>
      <c r="AM276" s="31"/>
      <c r="AN276" s="1402"/>
      <c r="AO276" s="13">
        <v>180</v>
      </c>
      <c r="AP276" s="74"/>
      <c r="AQ276" s="75"/>
    </row>
    <row r="277" spans="1:43" ht="25.9" hidden="1" thickBot="1" x14ac:dyDescent="0.8">
      <c r="A277" s="1134"/>
      <c r="B277" s="189" t="s">
        <v>638</v>
      </c>
      <c r="C277" s="569" t="s">
        <v>233</v>
      </c>
      <c r="D277" s="195"/>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c r="AA277" s="336"/>
      <c r="AB277" s="375"/>
      <c r="AC277" s="345"/>
      <c r="AD277" s="345"/>
      <c r="AE277" s="345"/>
      <c r="AF277" s="345"/>
      <c r="AG277" s="345"/>
      <c r="AH277" s="345"/>
      <c r="AI277" s="302"/>
      <c r="AJ277" s="56">
        <f t="shared" si="134"/>
        <v>0</v>
      </c>
      <c r="AK277" s="116"/>
      <c r="AL277" s="1348"/>
      <c r="AM277" s="31"/>
      <c r="AN277" s="1402"/>
      <c r="AO277" s="13">
        <v>181</v>
      </c>
      <c r="AP277" s="74"/>
      <c r="AQ277" s="75"/>
    </row>
    <row r="278" spans="1:43" s="14" customFormat="1" ht="25.5" hidden="1" x14ac:dyDescent="0.75">
      <c r="A278" s="1178" t="s">
        <v>26</v>
      </c>
      <c r="B278" s="136" t="s">
        <v>640</v>
      </c>
      <c r="C278" s="578" t="s">
        <v>234</v>
      </c>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c r="AA278" s="338"/>
      <c r="AB278" s="375"/>
      <c r="AC278" s="345"/>
      <c r="AD278" s="345"/>
      <c r="AE278" s="345"/>
      <c r="AF278" s="345"/>
      <c r="AG278" s="345"/>
      <c r="AH278" s="345"/>
      <c r="AI278" s="302"/>
      <c r="AJ278" s="52">
        <f t="shared" si="134"/>
        <v>0</v>
      </c>
      <c r="AK278" s="116" t="str">
        <f>CONCATENATE(IF(D278&gt;D274," * Total Rape Survivors for Age "&amp;D20&amp;" "&amp;D21&amp;" is less than Screened For STI"&amp;CHAR(10),""),IF(E278&gt;E274," * Total Rape Survivors for Age "&amp;D20&amp;" "&amp;E21&amp;" is less than Screened For STI"&amp;CHAR(10),""),IF(F278&gt;F274," * Total Rape Survivors for Age "&amp;F20&amp;" "&amp;F21&amp;" is less than Screened For STI"&amp;CHAR(10),""),IF(G278&gt;G274," * Total Rape Survivors for Age "&amp;F20&amp;" "&amp;G21&amp;" is less than Screened For STI"&amp;CHAR(10),""),IF(H278&gt;H274," * Total Rape Survivors for Age "&amp;H20&amp;" "&amp;H21&amp;" is less than Screened For STI"&amp;CHAR(10),""),IF(I278&gt;I274," * Total Rape Survivors for Age "&amp;H20&amp;" "&amp;I21&amp;" is less than Screened For STI"&amp;CHAR(10),""),IF(J278&gt;J274," * Total Rape Survivors for Age "&amp;J20&amp;" "&amp;J21&amp;" is less than Screened For STI"&amp;CHAR(10),""),IF(K278&gt;K274," * Total Rape Survivors for Age "&amp;J20&amp;" "&amp;K21&amp;" is less than Screened For STI"&amp;CHAR(10),""),IF(L278&gt;L274," * Total Rape Survivors for Age "&amp;L20&amp;" "&amp;L21&amp;" is less than Screened For STI"&amp;CHAR(10),""),IF(M278&gt;M274," * Total Rape Survivors for Age "&amp;L20&amp;" "&amp;M21&amp;" is less than Screened For STI"&amp;CHAR(10),""),IF(N278&gt;N274," * Total Rape Survivors for Age "&amp;N20&amp;" "&amp;N21&amp;" is less than Screened For STI"&amp;CHAR(10),""),IF(O278&gt;O274," * Total Rape Survivors for Age "&amp;N20&amp;" "&amp;O21&amp;" is less than Screened For STI"&amp;CHAR(10),""),IF(P278&gt;P274," * Total Rape Survivors for Age "&amp;P20&amp;" "&amp;P21&amp;" is less than Screened For STI"&amp;CHAR(10),""),IF(Q278&gt;Q274," * Total Rape Survivors for Age "&amp;P20&amp;" "&amp;Q21&amp;" is less than Screened For STI"&amp;CHAR(10),""),IF(R278&gt;R274," * Total Rape Survivors for Age "&amp;R20&amp;" "&amp;R21&amp;" is less than Screened For STI"&amp;CHAR(10),""),IF(S278&gt;S274," * Total Rape Survivors for Age "&amp;R20&amp;" "&amp;S21&amp;" is less than Screened For STI"&amp;CHAR(10),""),IF(T278&gt;T274," * Total Rape Survivors for Age "&amp;T20&amp;" "&amp;T21&amp;" is less than Screened For STI"&amp;CHAR(10),""),IF(U278&gt;U274," * Total Rape Survivors for Age "&amp;T20&amp;" "&amp;U21&amp;" is less than Screened For STI"&amp;CHAR(10),""),IF(V278&gt;V274," * Total Rape Survivors for Age "&amp;V20&amp;" "&amp;V21&amp;" is less than Screened For STI"&amp;CHAR(10),""),IF(W278&gt;W274," * Total Rape Survivors for Age "&amp;V20&amp;" "&amp;W21&amp;" is less than Screened For STI"&amp;CHAR(10),""),IF(X278&gt;X274," * Total Rape Survivors for Age "&amp;X20&amp;" "&amp;X21&amp;" is less than Screened For STI"&amp;CHAR(10),""),IF(Y278&gt;Y274," * Total Rape Survivors for Age "&amp;X20&amp;" "&amp;Y21&amp;" is less than Screened For STI"&amp;CHAR(10),""),IF(Z278&gt;Z274," * Total Rape Survivors for Age "&amp;Z20&amp;" "&amp;Z21&amp;" is less than Screened For STI"&amp;CHAR(10),""),IF(AA278&gt;AA274," * Total Rape Survivors for Age "&amp;Z20&amp;" "&amp;AA21&amp;" is less than Screened For STI"&amp;CHAR(10),""),IF(AJ278&gt;AJ274," * Total Total Rape Survivors is less than Total Screened For STI"&amp;CHAR(10),""))</f>
        <v/>
      </c>
      <c r="AL278" s="1348"/>
      <c r="AM278" s="31"/>
      <c r="AN278" s="1402"/>
      <c r="AO278" s="13">
        <v>182</v>
      </c>
      <c r="AP278" s="74"/>
      <c r="AQ278" s="149"/>
    </row>
    <row r="279" spans="1:43" s="14" customFormat="1" ht="25.5" hidden="1" x14ac:dyDescent="0.75">
      <c r="A279" s="1179"/>
      <c r="B279" s="198" t="s">
        <v>641</v>
      </c>
      <c r="C279" s="559" t="s">
        <v>235</v>
      </c>
      <c r="D279" s="199"/>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339"/>
      <c r="AB279" s="375"/>
      <c r="AC279" s="345"/>
      <c r="AD279" s="345"/>
      <c r="AE279" s="345"/>
      <c r="AF279" s="345"/>
      <c r="AG279" s="345"/>
      <c r="AH279" s="345"/>
      <c r="AI279" s="302"/>
      <c r="AJ279" s="173">
        <f t="shared" si="134"/>
        <v>0</v>
      </c>
      <c r="AK279" s="130" t="str">
        <f>CONCATENATE(IF(D279&gt;D278," * Screened For STI for Age "&amp;D20&amp;" "&amp;D21&amp;" is more than Tested For STI"&amp;CHAR(10),""),IF(E279&gt;E278," * Screened For STI for Age "&amp;D20&amp;" "&amp;E21&amp;" is more than Tested For STI"&amp;CHAR(10),""),IF(F279&gt;F278," * Screened For STI for Age "&amp;F20&amp;" "&amp;F21&amp;" is more than Tested For STI"&amp;CHAR(10),""),IF(G279&gt;G278," * Screened For STI for Age "&amp;F20&amp;" "&amp;G21&amp;" is more than Tested For STI"&amp;CHAR(10),""),IF(H279&gt;H278," * Screened For STI for Age "&amp;H20&amp;" "&amp;H21&amp;" is more than Tested For STI"&amp;CHAR(10),""),IF(I279&gt;I278," * Screened For STI for Age "&amp;H20&amp;" "&amp;I21&amp;" is more than Tested For STI"&amp;CHAR(10),""),IF(J279&gt;J278," * Screened For STI for Age "&amp;J20&amp;" "&amp;J21&amp;" is more than Tested For STI"&amp;CHAR(10),""),IF(K279&gt;K278," * Screened For STI for Age "&amp;J20&amp;" "&amp;K21&amp;" is more than Tested For STI"&amp;CHAR(10),""),IF(L279&gt;L278," * Screened For STI for Age "&amp;L20&amp;" "&amp;L21&amp;" is more than Tested For STI"&amp;CHAR(10),""),IF(M279&gt;M278," * Screened For STI for Age "&amp;L20&amp;" "&amp;M21&amp;" is more than Tested For STI"&amp;CHAR(10),""),IF(N279&gt;N278," * Screened For STI for Age "&amp;N20&amp;" "&amp;N21&amp;" is more than Tested For STI"&amp;CHAR(10),""),IF(O279&gt;O278," * Screened For STI for Age "&amp;N20&amp;" "&amp;O21&amp;" is more than Tested For STI"&amp;CHAR(10),""),IF(P279&gt;P278," * Screened For STI for Age "&amp;P20&amp;" "&amp;P21&amp;" is more than Tested For STI"&amp;CHAR(10),""),IF(Q279&gt;Q278," * Screened For STI for Age "&amp;P20&amp;" "&amp;Q21&amp;" is more than Tested For STI"&amp;CHAR(10),""),IF(R279&gt;R278," * Screened For STI for Age "&amp;R20&amp;" "&amp;R21&amp;" is more than Tested For STI"&amp;CHAR(10),""),IF(S279&gt;S278," * Screened For STI for Age "&amp;R20&amp;" "&amp;S21&amp;" is more than Tested For STI"&amp;CHAR(10),""),IF(T279&gt;T278," * Screened For STI for Age "&amp;T20&amp;" "&amp;T21&amp;" is more than Tested For STI"&amp;CHAR(10),""),IF(U279&gt;U278," * Screened For STI for Age "&amp;T20&amp;" "&amp;U21&amp;" is more than Tested For STI"&amp;CHAR(10),""),IF(V279&gt;V278," * Screened For STI for Age "&amp;V20&amp;" "&amp;V21&amp;" is more than Tested For STI"&amp;CHAR(10),""),IF(W279&gt;W278," * Screened For STI for Age "&amp;V20&amp;" "&amp;W21&amp;" is more than Tested For STI"&amp;CHAR(10),""),IF(X279&gt;X278," * Screened For STI for Age "&amp;X20&amp;" "&amp;X21&amp;" is more than Tested For STI"&amp;CHAR(10),""),IF(Y279&gt;Y278," * Screened For STI for Age "&amp;X20&amp;" "&amp;Y21&amp;" is more than Tested For STI"&amp;CHAR(10),""),IF(Z279&gt;Z278," * Screened For STI for Age "&amp;Z20&amp;" "&amp;Z21&amp;" is more than Tested For STI"&amp;CHAR(10),""),IF(AA279&gt;AA278," * Screened For STI for Age "&amp;AA20&amp;" "&amp;AA21&amp;" is more than Tested For STI"&amp;CHAR(10),""))</f>
        <v/>
      </c>
      <c r="AL279" s="1348"/>
      <c r="AM279" s="31"/>
      <c r="AN279" s="1402"/>
      <c r="AO279" s="13">
        <v>183</v>
      </c>
      <c r="AP279" s="74"/>
      <c r="AQ279" s="149"/>
    </row>
    <row r="280" spans="1:43" s="14" customFormat="1" ht="25.5" hidden="1" x14ac:dyDescent="0.75">
      <c r="A280" s="1179"/>
      <c r="B280" s="198" t="s">
        <v>642</v>
      </c>
      <c r="C280" s="559" t="s">
        <v>236</v>
      </c>
      <c r="D280" s="201"/>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320"/>
      <c r="AB280" s="375"/>
      <c r="AC280" s="345"/>
      <c r="AD280" s="345"/>
      <c r="AE280" s="345"/>
      <c r="AF280" s="345"/>
      <c r="AG280" s="345"/>
      <c r="AH280" s="345"/>
      <c r="AI280" s="302"/>
      <c r="AJ280" s="173">
        <f t="shared" si="134"/>
        <v>0</v>
      </c>
      <c r="AK280" s="130" t="str">
        <f>CONCATENATE(IF(D280&gt;D279," * F05-07 for Age "&amp;D20&amp;" "&amp;D21&amp;" is more than F05-06"&amp;CHAR(10),""),IF(E280&gt;E279," * F05-07 for Age "&amp;D20&amp;" "&amp;E21&amp;" is more than F05-06"&amp;CHAR(10),""),IF(F280&gt;F279," * F05-07 for Age "&amp;F20&amp;" "&amp;F21&amp;" is more than F05-06"&amp;CHAR(10),""),IF(G280&gt;G279," * F05-07 for Age "&amp;F20&amp;" "&amp;G21&amp;" is more than F05-06"&amp;CHAR(10),""),IF(H280&gt;H279," * F05-07 for Age "&amp;H20&amp;" "&amp;H21&amp;" is more than F05-06"&amp;CHAR(10),""),IF(I280&gt;I279," * F05-07 for Age "&amp;H20&amp;" "&amp;I21&amp;" is more than F05-06"&amp;CHAR(10),""),IF(J280&gt;J279," * F05-07 for Age "&amp;J20&amp;" "&amp;J21&amp;" is more than F05-06"&amp;CHAR(10),""),IF(K280&gt;K279," * F05-07 for Age "&amp;J20&amp;" "&amp;K21&amp;" is more than F05-06"&amp;CHAR(10),""),IF(L280&gt;L279," * F05-07 for Age "&amp;L20&amp;" "&amp;L21&amp;" is more than F05-06"&amp;CHAR(10),""),IF(M280&gt;M279," * F05-07 for Age "&amp;L20&amp;" "&amp;M21&amp;" is more than F05-06"&amp;CHAR(10),""),IF(N280&gt;N279," * F05-07 for Age "&amp;N20&amp;" "&amp;N21&amp;" is more than F05-06"&amp;CHAR(10),""),IF(O280&gt;O279," * F05-07 for Age "&amp;N20&amp;" "&amp;O21&amp;" is more than F05-06"&amp;CHAR(10),""),IF(P280&gt;P279," * F05-07 for Age "&amp;P20&amp;" "&amp;P21&amp;" is more than F05-06"&amp;CHAR(10),""),IF(Q280&gt;Q279," * F05-07 for Age "&amp;P20&amp;" "&amp;Q21&amp;" is more than F05-06"&amp;CHAR(10),""),IF(R280&gt;R279," * F05-07 for Age "&amp;R20&amp;" "&amp;R21&amp;" is more than F05-06"&amp;CHAR(10),""),IF(S280&gt;S279," * F05-07 for Age "&amp;R20&amp;" "&amp;S21&amp;" is more than F05-06"&amp;CHAR(10),""),IF(T280&gt;T279," * F05-07 for Age "&amp;T20&amp;" "&amp;T21&amp;" is more than F05-06"&amp;CHAR(10),""),IF(U280&gt;U279," * F05-07 for Age "&amp;T20&amp;" "&amp;U21&amp;" is more than F05-06"&amp;CHAR(10),""),IF(V280&gt;V279," * F05-07 for Age "&amp;V20&amp;" "&amp;V21&amp;" is more than F05-06"&amp;CHAR(10),""),IF(W280&gt;W279," * F05-07 for Age "&amp;V20&amp;" "&amp;W21&amp;" is more than F05-06"&amp;CHAR(10),""),IF(X280&gt;X279," * F05-07 for Age "&amp;X20&amp;" "&amp;X21&amp;" is more than F05-06"&amp;CHAR(10),""),IF(Y280&gt;Y279," * F05-07 for Age "&amp;X20&amp;" "&amp;Y21&amp;" is more than F05-06"&amp;CHAR(10),""),IF(Z280&gt;Z279," * F05-07 for Age "&amp;Z20&amp;" "&amp;Z21&amp;" is more than F05-06"&amp;CHAR(10),""),IF(AA280&gt;AA279," * F05-07 for Age "&amp;Z20&amp;" "&amp;AA21&amp;" is more than F05-06"&amp;CHAR(10),""),IF(AJ280&gt;AJ279," * Total F05-07 is more than Total F05-06"&amp;CHAR(10),""))</f>
        <v/>
      </c>
      <c r="AL280" s="1348"/>
      <c r="AM280" s="31"/>
      <c r="AN280" s="1402"/>
      <c r="AO280" s="13">
        <v>184</v>
      </c>
      <c r="AP280" s="74"/>
      <c r="AQ280" s="149"/>
    </row>
    <row r="281" spans="1:43" s="14" customFormat="1" ht="25.5" hidden="1" x14ac:dyDescent="0.75">
      <c r="A281" s="1179"/>
      <c r="B281" s="198" t="s">
        <v>643</v>
      </c>
      <c r="C281" s="559" t="s">
        <v>237</v>
      </c>
      <c r="D281" s="120"/>
      <c r="E281" s="120"/>
      <c r="F281" s="120"/>
      <c r="G281" s="120"/>
      <c r="H281" s="120"/>
      <c r="I281" s="120"/>
      <c r="J281" s="120"/>
      <c r="K281" s="200"/>
      <c r="L281" s="120"/>
      <c r="M281" s="200"/>
      <c r="N281" s="120"/>
      <c r="O281" s="200"/>
      <c r="P281" s="120"/>
      <c r="Q281" s="200"/>
      <c r="R281" s="120"/>
      <c r="S281" s="200"/>
      <c r="T281" s="120"/>
      <c r="U281" s="200"/>
      <c r="V281" s="120"/>
      <c r="W281" s="200"/>
      <c r="X281" s="120"/>
      <c r="Y281" s="200"/>
      <c r="Z281" s="120"/>
      <c r="AA281" s="339"/>
      <c r="AB281" s="375"/>
      <c r="AC281" s="345"/>
      <c r="AD281" s="345"/>
      <c r="AE281" s="345"/>
      <c r="AF281" s="345"/>
      <c r="AG281" s="345"/>
      <c r="AH281" s="345"/>
      <c r="AI281" s="302"/>
      <c r="AJ281" s="173">
        <f t="shared" si="134"/>
        <v>0</v>
      </c>
      <c r="AK281" s="130" t="str">
        <f>CONCATENATE(IF(D281&gt;D274," * Given Emergency Contraceptive Pill for Age "&amp;D20&amp;" "&amp;D21&amp;" is more than Sexual Violence Rape Survivors"&amp;CHAR(10),""),IF(E281&gt;E274," * Given Emergency Contraceptive Pill for Age "&amp;D20&amp;" "&amp;E21&amp;" is more than Sexual Violence Rape Survivors"&amp;CHAR(10),""),IF(F281&gt;F274," * Given Emergency Contraceptive Pill for Age "&amp;F20&amp;" "&amp;F21&amp;" is more than Sexual Violence Rape Survivors"&amp;CHAR(10),""),IF(G281&gt;G274," * Given Emergency Contraceptive Pill for Age "&amp;F20&amp;" "&amp;G21&amp;" is more than Sexual Violence Rape Survivors"&amp;CHAR(10),""),IF(H281&gt;H274," * Given Emergency Contraceptive Pill for Age "&amp;H20&amp;" "&amp;H21&amp;" is more than Sexual Violence Rape Survivors"&amp;CHAR(10),""),IF(I281&gt;I274," * Given Emergency Contraceptive Pill for Age "&amp;H20&amp;" "&amp;I21&amp;" is more than Sexual Violence Rape Survivors"&amp;CHAR(10),""),IF(J281&gt;J274," * Given Emergency Contraceptive Pill for Age "&amp;J20&amp;" "&amp;J21&amp;" is more than Sexual Violence Rape Survivors"&amp;CHAR(10),""),IF(K281&gt;K274," * Given Emergency Contraceptive Pill for Age "&amp;J20&amp;" "&amp;K21&amp;" is more than Sexual Violence Rape Survivors"&amp;CHAR(10),""),IF(L281&gt;L274," * Given Emergency Contraceptive Pill for Age "&amp;L20&amp;" "&amp;L21&amp;" is more than Sexual Violence Rape Survivors"&amp;CHAR(10),""),IF(M281&gt;M274," * Given Emergency Contraceptive Pill for Age "&amp;L20&amp;" "&amp;M21&amp;" is more than Sexual Violence Rape Survivors"&amp;CHAR(10),""),IF(N281&gt;N274," * Given Emergency Contraceptive Pill for Age "&amp;N20&amp;" "&amp;N21&amp;" is more than Sexual Violence Rape Survivors"&amp;CHAR(10),""),IF(O281&gt;O274," * Given Emergency Contraceptive Pill for Age "&amp;N20&amp;" "&amp;O21&amp;" is more than Sexual Violence Rape Survivors"&amp;CHAR(10),""),IF(P281&gt;P274," * Given Emergency Contraceptive Pill for Age "&amp;P20&amp;" "&amp;P21&amp;" is more than Sexual Violence Rape Survivors"&amp;CHAR(10),""),IF(Q281&gt;Q274," * Given Emergency Contraceptive Pill for Age "&amp;P20&amp;" "&amp;Q21&amp;" is more than Sexual Violence Rape Survivors"&amp;CHAR(10),""),IF(R281&gt;R274," * Given Emergency Contraceptive Pill for Age "&amp;R20&amp;" "&amp;R21&amp;" is more than Sexual Violence Rape Survivors"&amp;CHAR(10),""),IF(S281&gt;S274," * Given Emergency Contraceptive Pill for Age "&amp;R20&amp;" "&amp;S21&amp;" is more than Sexual Violence Rape Survivors"&amp;CHAR(10),""),IF(T281&gt;T274," * Given Emergency Contraceptive Pill for Age "&amp;T20&amp;" "&amp;T21&amp;" is more than Sexual Violence Rape Survivors"&amp;CHAR(10),""),IF(U281&gt;U274," * Given Emergency Contraceptive Pill for Age "&amp;T20&amp;" "&amp;U21&amp;" is more than Sexual Violence Rape Survivors"&amp;CHAR(10),""),IF(V281&gt;V274," * Given Emergency Contraceptive Pill for Age "&amp;V20&amp;" "&amp;V21&amp;" is more than Sexual Violence Rape Survivors"&amp;CHAR(10),""),IF(W281&gt;W274," * Given Emergency Contraceptive Pill for Age "&amp;V20&amp;" "&amp;W21&amp;" is more than Sexual Violence Rape Survivors"&amp;CHAR(10),""),IF(X281&gt;X274," * Given Emergency Contraceptive Pill for Age "&amp;X20&amp;" "&amp;X21&amp;" is more than Sexual Violence Rape Survivors"&amp;CHAR(10),""),IF(Y281&gt;Y274," * Given Emergency Contraceptive Pill for Age "&amp;X20&amp;" "&amp;Y21&amp;" is more than Sexual Violence Rape Survivors"&amp;CHAR(10),""),IF(Z281&gt;Z274," * Given Emergency Contraceptive Pill for Age "&amp;Z20&amp;" "&amp;Z21&amp;" is more than Sexual Violence Rape Survivors"&amp;CHAR(10),""),IF(AA281&gt;AA274," * Given Emergency Contraceptive Pill for Age "&amp;Z20&amp;" "&amp;AA21&amp;" is more than Sexual Violence Rape Survivors"&amp;CHAR(10),""))</f>
        <v/>
      </c>
      <c r="AL281" s="1348"/>
      <c r="AM281" s="31"/>
      <c r="AN281" s="1402"/>
      <c r="AO281" s="13">
        <v>185</v>
      </c>
      <c r="AP281" s="74"/>
      <c r="AQ281" s="149"/>
    </row>
    <row r="282" spans="1:43" s="14" customFormat="1" ht="25.5" hidden="1" x14ac:dyDescent="0.75">
      <c r="A282" s="1179"/>
      <c r="B282" s="198" t="s">
        <v>644</v>
      </c>
      <c r="C282" s="559" t="s">
        <v>238</v>
      </c>
      <c r="D282" s="120"/>
      <c r="E282" s="120"/>
      <c r="F282" s="120"/>
      <c r="G282" s="120"/>
      <c r="H282" s="120"/>
      <c r="I282" s="120"/>
      <c r="J282" s="120"/>
      <c r="K282" s="201"/>
      <c r="L282" s="120"/>
      <c r="M282" s="201"/>
      <c r="N282" s="120"/>
      <c r="O282" s="201"/>
      <c r="P282" s="120"/>
      <c r="Q282" s="201"/>
      <c r="R282" s="120"/>
      <c r="S282" s="201"/>
      <c r="T282" s="120"/>
      <c r="U282" s="201"/>
      <c r="V282" s="120"/>
      <c r="W282" s="201"/>
      <c r="X282" s="120"/>
      <c r="Y282" s="201"/>
      <c r="Z282" s="120"/>
      <c r="AA282" s="340"/>
      <c r="AB282" s="375"/>
      <c r="AC282" s="345"/>
      <c r="AD282" s="345"/>
      <c r="AE282" s="345"/>
      <c r="AF282" s="345"/>
      <c r="AG282" s="345"/>
      <c r="AH282" s="345"/>
      <c r="AI282" s="302"/>
      <c r="AJ282" s="173">
        <f t="shared" si="134"/>
        <v>0</v>
      </c>
      <c r="AK282" s="130" t="str">
        <f>CONCATENATE(IF(D282&gt;D281," * Given Emergency Contraceptive Pill for Age "&amp;D20&amp;" "&amp;D21&amp;" is more than Eligible for Emergency Contraceptive Pill"&amp;CHAR(10),""),IF(E282&gt;E281," * Given Emergency Contraceptive Pill for Age "&amp;D20&amp;" "&amp;E21&amp;" is more than Eligible for Emergency Contraceptive Pill"&amp;CHAR(10),""),IF(F282&gt;F281," * Given Emergency Contraceptive Pill for Age "&amp;F20&amp;" "&amp;F21&amp;" is more than Eligible for Emergency Contraceptive Pill"&amp;CHAR(10),""),IF(G282&gt;G281," * Given Emergency Contraceptive Pill for Age "&amp;F20&amp;" "&amp;G21&amp;" is more than Eligible for Emergency Contraceptive Pill"&amp;CHAR(10),""),IF(H282&gt;H281," * Given Emergency Contraceptive Pill for Age "&amp;H20&amp;" "&amp;H21&amp;" is more than Eligible for Emergency Contraceptive Pill"&amp;CHAR(10),""),IF(I282&gt;I281," * Given Emergency Contraceptive Pill for Age "&amp;H20&amp;" "&amp;I21&amp;" is more than Eligible for Emergency Contraceptive Pill"&amp;CHAR(10),""),IF(J282&gt;J281," * Given Emergency Contraceptive Pill for Age "&amp;J20&amp;" "&amp;J21&amp;" is more than Eligible for Emergency Contraceptive Pill"&amp;CHAR(10),""),IF(K282&gt;K281," * Given Emergency Contraceptive Pill for Age "&amp;J20&amp;" "&amp;K21&amp;" is more than Eligible for Emergency Contraceptive Pill"&amp;CHAR(10),""),IF(L282&gt;L281," * Given Emergency Contraceptive Pill for Age "&amp;L20&amp;" "&amp;L21&amp;" is more than Eligible for Emergency Contraceptive Pill"&amp;CHAR(10),""),IF(M282&gt;M281," * Given Emergency Contraceptive Pill for Age "&amp;L20&amp;" "&amp;M21&amp;" is more than Eligible for Emergency Contraceptive Pill"&amp;CHAR(10),""),IF(N282&gt;N281," * Given Emergency Contraceptive Pill for Age "&amp;N20&amp;" "&amp;N21&amp;" is more than Eligible for Emergency Contraceptive Pill"&amp;CHAR(10),""),IF(O282&gt;O281," * Given Emergency Contraceptive Pill for Age "&amp;N20&amp;" "&amp;O21&amp;" is more than Eligible for Emergency Contraceptive Pill"&amp;CHAR(10),""),IF(P282&gt;P281," * Given Emergency Contraceptive Pill for Age "&amp;P20&amp;" "&amp;P21&amp;" is more than Eligible for Emergency Contraceptive Pill"&amp;CHAR(10),""),IF(Q282&gt;Q281," * Given Emergency Contraceptive Pill for Age "&amp;P20&amp;" "&amp;Q21&amp;" is more than Eligible for Emergency Contraceptive Pill"&amp;CHAR(10),""),IF(R282&gt;R281," * Given Emergency Contraceptive Pill for Age "&amp;R20&amp;" "&amp;R21&amp;" is more than Eligible for Emergency Contraceptive Pill"&amp;CHAR(10),""),IF(S282&gt;S281," * Given Emergency Contraceptive Pill for Age "&amp;R20&amp;" "&amp;S21&amp;" is more than Eligible for Emergency Contraceptive Pill"&amp;CHAR(10),""),IF(T282&gt;T281," * Given Emergency Contraceptive Pill for Age "&amp;T20&amp;" "&amp;T21&amp;" is more than Eligible for Emergency Contraceptive Pill"&amp;CHAR(10),""),IF(U282&gt;U281," * Given Emergency Contraceptive Pill for Age "&amp;T20&amp;" "&amp;U21&amp;" is more than Eligible for Emergency Contraceptive Pill"&amp;CHAR(10),""),IF(V282&gt;V281," * Given Emergency Contraceptive Pill for Age "&amp;V20&amp;" "&amp;V21&amp;" is more than Eligible for Emergency Contraceptive Pill"&amp;CHAR(10),""),IF(W282&gt;W281," * Given Emergency Contraceptive Pill for Age "&amp;V20&amp;" "&amp;W21&amp;" is more than Eligible for Emergency Contraceptive Pill"&amp;CHAR(10),""),IF(X282&gt;X281," * Given Emergency Contraceptive Pill for Age "&amp;X20&amp;" "&amp;X21&amp;" is more than Eligible for Emergency Contraceptive Pill"&amp;CHAR(10),""),IF(Y282&gt;Y281," * Given Emergency Contraceptive Pill for Age "&amp;X20&amp;" "&amp;Y21&amp;" is more than Eligible for Emergency Contraceptive Pill"&amp;CHAR(10),""),IF(Z282&gt;Z281," * Given Emergency Contraceptive Pill for Age "&amp;Z20&amp;" "&amp;Z21&amp;" is more than Eligible for Emergency Contraceptive Pill"&amp;CHAR(10),""),IF(AA282&gt;AA281," * Given Emergency Contraceptive Pill for Age "&amp;Z20&amp;" "&amp;AA21&amp;" is more than Eligible for Emergency Contraceptive Pill"&amp;CHAR(10),""))</f>
        <v/>
      </c>
      <c r="AL282" s="1348"/>
      <c r="AM282" s="31"/>
      <c r="AN282" s="1402"/>
      <c r="AO282" s="13">
        <v>186</v>
      </c>
      <c r="AP282" s="74"/>
      <c r="AQ282" s="149"/>
    </row>
    <row r="283" spans="1:43" s="14" customFormat="1" ht="25.5" hidden="1" x14ac:dyDescent="0.75">
      <c r="A283" s="1179"/>
      <c r="B283" s="198" t="s">
        <v>645</v>
      </c>
      <c r="C283" s="559" t="s">
        <v>239</v>
      </c>
      <c r="D283" s="199"/>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339"/>
      <c r="AB283" s="375"/>
      <c r="AC283" s="345"/>
      <c r="AD283" s="345"/>
      <c r="AE283" s="345"/>
      <c r="AF283" s="345"/>
      <c r="AG283" s="345"/>
      <c r="AH283" s="345"/>
      <c r="AI283" s="302"/>
      <c r="AJ283" s="173">
        <f t="shared" si="134"/>
        <v>0</v>
      </c>
      <c r="AK283" s="1304" t="str">
        <f>CONCATENATE(IF(D284&gt;D283," * F05-11 for Age "&amp;D20&amp;" "&amp;D21&amp;" is more than F05-10"&amp;CHAR(10),""),IF(E284&gt;E283," * F05-11 for Age "&amp;D20&amp;" "&amp;E21&amp;" is more than F05-10"&amp;CHAR(10),""),IF(F284&gt;F283," * F05-11 for Age "&amp;F20&amp;" "&amp;F21&amp;" is more than F05-10"&amp;CHAR(10),""),IF(G284&gt;G283," * F05-11 for Age "&amp;F20&amp;" "&amp;G21&amp;" is more than F05-10"&amp;CHAR(10),""),IF(H284&gt;H283," * F05-11 for Age "&amp;H20&amp;" "&amp;H21&amp;" is more than F05-10"&amp;CHAR(10),""),IF(I284&gt;I283," * F05-11 for Age "&amp;H20&amp;" "&amp;I21&amp;" is more than F05-10"&amp;CHAR(10),""),IF(J284&gt;J283," * F05-11 for Age "&amp;J20&amp;" "&amp;J21&amp;" is more than F05-10"&amp;CHAR(10),""),IF(K284&gt;K283," * F05-11 for Age "&amp;J20&amp;" "&amp;K21&amp;" is more than F05-10"&amp;CHAR(10),""),IF(L284&gt;L283," * F05-11 for Age "&amp;L20&amp;" "&amp;L21&amp;" is more than F05-10"&amp;CHAR(10),""),IF(M284&gt;M283," * F05-11 for Age "&amp;L20&amp;" "&amp;M21&amp;" is more than F05-10"&amp;CHAR(10),""),IF(N284&gt;N283," * F05-11 for Age "&amp;N20&amp;" "&amp;N21&amp;" is more than F05-10"&amp;CHAR(10),""),IF(O284&gt;O283," * F05-11 for Age "&amp;N20&amp;" "&amp;O21&amp;" is more than F05-10"&amp;CHAR(10),""),IF(P284&gt;P283," * F05-11 for Age "&amp;P20&amp;" "&amp;P21&amp;" is more than F05-10"&amp;CHAR(10),""),IF(Q284&gt;Q283," * F05-11 for Age "&amp;P20&amp;" "&amp;Q21&amp;" is more than F05-10"&amp;CHAR(10),""),IF(R284&gt;R283," * F05-11 for Age "&amp;R20&amp;" "&amp;R21&amp;" is more than F05-10"&amp;CHAR(10),""),IF(S284&gt;S283," * F05-11 for Age "&amp;R20&amp;" "&amp;S21&amp;" is more than F05-10"&amp;CHAR(10),""),IF(T284&gt;T283," * F05-11 for Age "&amp;T20&amp;" "&amp;T21&amp;" is more than F05-10"&amp;CHAR(10),""),IF(U284&gt;U283," * F05-11 for Age "&amp;T20&amp;" "&amp;U21&amp;" is more than F05-10"&amp;CHAR(10),""),IF(V284&gt;V283," * F05-11 for Age "&amp;V20&amp;" "&amp;V21&amp;" is more than F05-10"&amp;CHAR(10),""),IF(W284&gt;W283," * F05-11 for Age "&amp;V20&amp;" "&amp;W21&amp;" is more than F05-10"&amp;CHAR(10),""),IF(X284&gt;X283," * F05-11 for Age "&amp;X20&amp;" "&amp;X21&amp;" is more than F05-10"&amp;CHAR(10),""),IF(Y284&gt;Y283," * F05-11 for Age "&amp;X20&amp;" "&amp;Y21&amp;" is more than F05-10"&amp;CHAR(10),""),IF(Z284&gt;Z283," * F05-11 for Age "&amp;Z20&amp;" "&amp;Z21&amp;" is more than F05-10"&amp;CHAR(10),""),IF(AA284&gt;AA283," * F05-11 for Age "&amp;Z20&amp;" "&amp;AA21&amp;" is more than F05-10"&amp;CHAR(10),""),IF(AJ284&gt;AJ283," * Total F05-11 is more than Total F05-10"&amp;CHAR(10),""))</f>
        <v/>
      </c>
      <c r="AL283" s="1348"/>
      <c r="AM283" s="31"/>
      <c r="AN283" s="1402"/>
      <c r="AO283" s="13">
        <v>187</v>
      </c>
      <c r="AP283" s="74"/>
      <c r="AQ283" s="149"/>
    </row>
    <row r="284" spans="1:43" s="14" customFormat="1" ht="29.25" hidden="1" thickBot="1" x14ac:dyDescent="0.8">
      <c r="A284" s="1180"/>
      <c r="B284" s="202" t="s">
        <v>951</v>
      </c>
      <c r="C284" s="560" t="s">
        <v>240</v>
      </c>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341"/>
      <c r="AB284" s="375"/>
      <c r="AC284" s="345"/>
      <c r="AD284" s="345"/>
      <c r="AE284" s="345"/>
      <c r="AF284" s="345"/>
      <c r="AG284" s="345"/>
      <c r="AH284" s="345"/>
      <c r="AI284" s="302"/>
      <c r="AJ284" s="192">
        <f t="shared" si="134"/>
        <v>0</v>
      </c>
      <c r="AK284" s="1304"/>
      <c r="AL284" s="1348"/>
      <c r="AM284" s="31"/>
      <c r="AN284" s="1402"/>
      <c r="AO284" s="13">
        <v>188</v>
      </c>
      <c r="AP284" s="74"/>
      <c r="AQ284" s="149"/>
    </row>
    <row r="285" spans="1:43" s="14" customFormat="1" ht="25.5" hidden="1" x14ac:dyDescent="0.75">
      <c r="A285" s="1178" t="s">
        <v>99</v>
      </c>
      <c r="B285" s="136" t="s">
        <v>646</v>
      </c>
      <c r="C285" s="558" t="s">
        <v>241</v>
      </c>
      <c r="D285" s="142"/>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324"/>
      <c r="AB285" s="375"/>
      <c r="AC285" s="345"/>
      <c r="AD285" s="345"/>
      <c r="AE285" s="345"/>
      <c r="AF285" s="345"/>
      <c r="AG285" s="345"/>
      <c r="AH285" s="345"/>
      <c r="AI285" s="302"/>
      <c r="AJ285" s="188">
        <f t="shared" si="134"/>
        <v>0</v>
      </c>
      <c r="AK285" s="1304" t="str">
        <f>CONCATENATE(IF(D286&gt;D285," * F05-13 for Age "&amp;D20&amp;" "&amp;D21&amp;" is more than F05-12"&amp;CHAR(10),""),IF(E286&gt;E285," * F05-13 for Age "&amp;D20&amp;" "&amp;E21&amp;" is more than F05-12"&amp;CHAR(10),""),IF(F286&gt;F285," * F05-13 for Age "&amp;F20&amp;" "&amp;F21&amp;" is more than F05-12"&amp;CHAR(10),""),IF(G286&gt;G285," * F05-13 for Age "&amp;F20&amp;" "&amp;G21&amp;" is more than F05-12"&amp;CHAR(10),""),IF(H286&gt;H285," * F05-13 for Age "&amp;H20&amp;" "&amp;H21&amp;" is more than F05-12"&amp;CHAR(10),""),IF(I286&gt;I285," * F05-13 for Age "&amp;H20&amp;" "&amp;I21&amp;" is more than F05-12"&amp;CHAR(10),""),IF(J286&gt;J285," * F05-13 for Age "&amp;J20&amp;" "&amp;J21&amp;" is more than F05-12"&amp;CHAR(10),""),IF(K286&gt;K285," * F05-13 for Age "&amp;J20&amp;" "&amp;K21&amp;" is more than F05-12"&amp;CHAR(10),""),IF(L286&gt;L285," * F05-13 for Age "&amp;L20&amp;" "&amp;L21&amp;" is more than F05-12"&amp;CHAR(10),""),IF(M286&gt;M285," * F05-13 for Age "&amp;L20&amp;" "&amp;M21&amp;" is more than F05-12"&amp;CHAR(10),""),IF(N286&gt;N285," * F05-13 for Age "&amp;N20&amp;" "&amp;N21&amp;" is more than F05-12"&amp;CHAR(10),""),IF(O286&gt;O285," * F05-13 for Age "&amp;N20&amp;" "&amp;O21&amp;" is more than F05-12"&amp;CHAR(10),""),IF(P286&gt;P285," * F05-13 for Age "&amp;P20&amp;" "&amp;P21&amp;" is more than F05-12"&amp;CHAR(10),""),IF(Q286&gt;Q285," * F05-13 for Age "&amp;P20&amp;" "&amp;Q21&amp;" is more than F05-12"&amp;CHAR(10),""),IF(R286&gt;R285," * F05-13 for Age "&amp;R20&amp;" "&amp;R21&amp;" is more than F05-12"&amp;CHAR(10),""),IF(S286&gt;S285," * F05-13 for Age "&amp;R20&amp;" "&amp;S21&amp;" is more than F05-12"&amp;CHAR(10),""),IF(T286&gt;T285," * F05-13 for Age "&amp;T20&amp;" "&amp;T21&amp;" is more than F05-12"&amp;CHAR(10),""),IF(U286&gt;U285," * F05-13 for Age "&amp;T20&amp;" "&amp;U21&amp;" is more than F05-12"&amp;CHAR(10),""),IF(V286&gt;V285," * F05-13 for Age "&amp;V20&amp;" "&amp;V21&amp;" is more than F05-12"&amp;CHAR(10),""),IF(W286&gt;W285," * F05-13 for Age "&amp;V20&amp;" "&amp;W21&amp;" is more than F05-12"&amp;CHAR(10),""),IF(X286&gt;X285," * F05-13 for Age "&amp;X20&amp;" "&amp;X21&amp;" is more than F05-12"&amp;CHAR(10),""),IF(Y286&gt;Y285," * F05-13 for Age "&amp;X20&amp;" "&amp;Y21&amp;" is more than F05-12"&amp;CHAR(10),""),IF(Z286&gt;Z285," * F05-13 for Age "&amp;Z20&amp;" "&amp;Z21&amp;" is more than F05-12"&amp;CHAR(10),""),IF(AA286&gt;AA285," * F05-13 for Age "&amp;Z20&amp;" "&amp;AA21&amp;" is more than F05-12"&amp;CHAR(10),""),IF(AJ286&gt;AJ285," * Total F05-13 is more than Total F05-12"&amp;CHAR(10),""))</f>
        <v/>
      </c>
      <c r="AL285" s="1348"/>
      <c r="AM285" s="31"/>
      <c r="AN285" s="1402"/>
      <c r="AO285" s="13">
        <v>189</v>
      </c>
      <c r="AP285" s="74"/>
      <c r="AQ285" s="149"/>
    </row>
    <row r="286" spans="1:43" s="14" customFormat="1" ht="25.5" hidden="1" x14ac:dyDescent="0.75">
      <c r="A286" s="1179"/>
      <c r="B286" s="198" t="s">
        <v>647</v>
      </c>
      <c r="C286" s="559" t="s">
        <v>242</v>
      </c>
      <c r="D286" s="199"/>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339"/>
      <c r="AB286" s="375"/>
      <c r="AC286" s="345"/>
      <c r="AD286" s="345"/>
      <c r="AE286" s="345"/>
      <c r="AF286" s="345"/>
      <c r="AG286" s="345"/>
      <c r="AH286" s="345"/>
      <c r="AI286" s="302"/>
      <c r="AJ286" s="173">
        <f t="shared" si="134"/>
        <v>0</v>
      </c>
      <c r="AK286" s="1304"/>
      <c r="AL286" s="1348"/>
      <c r="AM286" s="31"/>
      <c r="AN286" s="1402"/>
      <c r="AO286" s="13">
        <v>190</v>
      </c>
      <c r="AP286" s="74"/>
      <c r="AQ286" s="149"/>
    </row>
    <row r="287" spans="1:43" s="14" customFormat="1" ht="25.5" hidden="1" x14ac:dyDescent="0.75">
      <c r="A287" s="1179"/>
      <c r="B287" s="198" t="s">
        <v>648</v>
      </c>
      <c r="C287" s="559" t="s">
        <v>299</v>
      </c>
      <c r="D287" s="201"/>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320"/>
      <c r="AB287" s="375"/>
      <c r="AC287" s="345"/>
      <c r="AD287" s="345"/>
      <c r="AE287" s="345"/>
      <c r="AF287" s="345"/>
      <c r="AG287" s="345"/>
      <c r="AH287" s="345"/>
      <c r="AI287" s="302"/>
      <c r="AJ287" s="173">
        <f t="shared" si="134"/>
        <v>0</v>
      </c>
      <c r="AK287" s="116" t="str">
        <f>CONCATENATE(IF(D287&gt;D285," * F05-14 for Age "&amp;D20&amp;" "&amp;D21&amp;" is more than F05-12"&amp;CHAR(10),""),IF(E287&gt;E285," * F05-14 for Age "&amp;D20&amp;" "&amp;E21&amp;" is more than F05-12"&amp;CHAR(10),""),IF(F287&gt;F285," * F05-14 for Age "&amp;F20&amp;" "&amp;F21&amp;" is more than F05-12"&amp;CHAR(10),""),IF(G287&gt;G285," * F05-14 for Age "&amp;F20&amp;" "&amp;G21&amp;" is more than F05-12"&amp;CHAR(10),""),IF(H287&gt;H285," * F05-14 for Age "&amp;H20&amp;" "&amp;H21&amp;" is more than F05-12"&amp;CHAR(10),""),IF(I287&gt;I285," * F05-14 for Age "&amp;H20&amp;" "&amp;I21&amp;" is more than F05-12"&amp;CHAR(10),""),IF(J287&gt;J285," * F05-14 for Age "&amp;J20&amp;" "&amp;J21&amp;" is more than F05-12"&amp;CHAR(10),""),IF(K287&gt;K285," * F05-14 for Age "&amp;J20&amp;" "&amp;K21&amp;" is more than F05-12"&amp;CHAR(10),""),IF(L287&gt;L285," * F05-14 for Age "&amp;L20&amp;" "&amp;L21&amp;" is more than F05-12"&amp;CHAR(10),""),IF(M287&gt;M285," * F05-14 for Age "&amp;L20&amp;" "&amp;M21&amp;" is more than F05-12"&amp;CHAR(10),""),IF(N287&gt;N285," * F05-14 for Age "&amp;N20&amp;" "&amp;N21&amp;" is more than F05-12"&amp;CHAR(10),""),IF(O287&gt;O285," * F05-14 for Age "&amp;N20&amp;" "&amp;O21&amp;" is more than F05-12"&amp;CHAR(10),""),IF(P287&gt;P285," * F05-14 for Age "&amp;P20&amp;" "&amp;P21&amp;" is more than F05-12"&amp;CHAR(10),""),IF(Q287&gt;Q285," * F05-14 for Age "&amp;P20&amp;" "&amp;Q21&amp;" is more than F05-12"&amp;CHAR(10),""),IF(R287&gt;R285," * F05-14 for Age "&amp;R20&amp;" "&amp;R21&amp;" is more than F05-12"&amp;CHAR(10),""),IF(S287&gt;S285," * F05-14 for Age "&amp;R20&amp;" "&amp;S21&amp;" is more than F05-12"&amp;CHAR(10),""),IF(T287&gt;T285," * F05-14 for Age "&amp;T20&amp;" "&amp;T21&amp;" is more than F05-12"&amp;CHAR(10),""),IF(U287&gt;U285," * F05-14 for Age "&amp;T20&amp;" "&amp;U21&amp;" is more than F05-12"&amp;CHAR(10),""),IF(V287&gt;V285," * F05-14 for Age "&amp;V20&amp;" "&amp;V21&amp;" is more than F05-12"&amp;CHAR(10),""),IF(W287&gt;W285," * F05-14 for Age "&amp;V20&amp;" "&amp;W21&amp;" is more than F05-12"&amp;CHAR(10),""),IF(X287&gt;X285," * F05-14 for Age "&amp;X20&amp;" "&amp;X21&amp;" is more than F05-12"&amp;CHAR(10),""),IF(Y287&gt;Y285," * F05-14 for Age "&amp;X20&amp;" "&amp;Y21&amp;" is more than F05-12"&amp;CHAR(10),""),IF(Z287&gt;Z285," * F05-14 for Age "&amp;Z20&amp;" "&amp;Z21&amp;" is more than F05-12"&amp;CHAR(10),""),IF(AA287&gt;AA285," * F05-14 for Age "&amp;Z20&amp;" "&amp;AA21&amp;" is more than F05-12"&amp;CHAR(10),""),IF(AJ287&gt;AJ285," * Total F05-14 is more than Total F05-12"&amp;CHAR(10),""))</f>
        <v/>
      </c>
      <c r="AL287" s="1348"/>
      <c r="AM287" s="31"/>
      <c r="AN287" s="1402"/>
      <c r="AO287" s="13">
        <v>191</v>
      </c>
      <c r="AP287" s="74"/>
      <c r="AQ287" s="149"/>
    </row>
    <row r="288" spans="1:43" s="14" customFormat="1" ht="25.9" hidden="1" thickBot="1" x14ac:dyDescent="0.8">
      <c r="A288" s="1190"/>
      <c r="B288" s="137" t="s">
        <v>649</v>
      </c>
      <c r="C288" s="560" t="s">
        <v>300</v>
      </c>
      <c r="D288" s="133"/>
      <c r="E288" s="120"/>
      <c r="F288" s="120"/>
      <c r="G288" s="120"/>
      <c r="H288" s="120"/>
      <c r="I288" s="120"/>
      <c r="J288" s="120"/>
      <c r="K288" s="129"/>
      <c r="L288" s="120"/>
      <c r="M288" s="129"/>
      <c r="N288" s="120"/>
      <c r="O288" s="129"/>
      <c r="P288" s="120"/>
      <c r="Q288" s="129"/>
      <c r="R288" s="120"/>
      <c r="S288" s="129"/>
      <c r="T288" s="120"/>
      <c r="U288" s="129"/>
      <c r="V288" s="120"/>
      <c r="W288" s="129"/>
      <c r="X288" s="120"/>
      <c r="Y288" s="129"/>
      <c r="Z288" s="120"/>
      <c r="AA288" s="320"/>
      <c r="AB288" s="376"/>
      <c r="AC288" s="377"/>
      <c r="AD288" s="377"/>
      <c r="AE288" s="377"/>
      <c r="AF288" s="377"/>
      <c r="AG288" s="377"/>
      <c r="AH288" s="377"/>
      <c r="AI288" s="303"/>
      <c r="AJ288" s="380">
        <f t="shared" si="134"/>
        <v>0</v>
      </c>
      <c r="AK288" s="122" t="str">
        <f>CONCATENATE(IF(D288&gt;D285," * F05-15 for Age "&amp;D20&amp;" "&amp;D21&amp;" is more than F05-12"&amp;CHAR(10),""),IF(E288&gt;E285," * F05-15 for Age "&amp;D20&amp;" "&amp;E21&amp;" is more than F05-12"&amp;CHAR(10),""),IF(F288&gt;F285," * F05-15 for Age "&amp;F20&amp;" "&amp;F21&amp;" is more than F05-12"&amp;CHAR(10),""),IF(G288&gt;G285," * F05-15 for Age "&amp;F20&amp;" "&amp;G21&amp;" is more than F05-12"&amp;CHAR(10),""),IF(H288&gt;H285," * F05-15 for Age "&amp;H20&amp;" "&amp;H21&amp;" is more than F05-12"&amp;CHAR(10),""),IF(I288&gt;I285," * F05-15 for Age "&amp;H20&amp;" "&amp;I21&amp;" is more than F05-12"&amp;CHAR(10),""),IF(J288&gt;J285," * F05-15 for Age "&amp;J20&amp;" "&amp;J21&amp;" is more than F05-12"&amp;CHAR(10),""),IF(K288&gt;K285," * F05-15 for Age "&amp;J20&amp;" "&amp;K21&amp;" is more than F05-12"&amp;CHAR(10),""),IF(L288&gt;L285," * F05-15 for Age "&amp;L20&amp;" "&amp;L21&amp;" is more than F05-12"&amp;CHAR(10),""),IF(M288&gt;M285," * F05-15 for Age "&amp;L20&amp;" "&amp;M21&amp;" is more than F05-12"&amp;CHAR(10),""),IF(N288&gt;N285," * F05-15 for Age "&amp;N20&amp;" "&amp;N21&amp;" is more than F05-12"&amp;CHAR(10),""),IF(O288&gt;O285," * F05-15 for Age "&amp;N20&amp;" "&amp;O21&amp;" is more than F05-12"&amp;CHAR(10),""),IF(P288&gt;P285," * F05-15 for Age "&amp;P20&amp;" "&amp;P21&amp;" is more than F05-12"&amp;CHAR(10),""),IF(Q288&gt;Q285," * F05-15 for Age "&amp;P20&amp;" "&amp;Q21&amp;" is more than F05-12"&amp;CHAR(10),""),IF(R288&gt;R285," * F05-15 for Age "&amp;R20&amp;" "&amp;R21&amp;" is more than F05-12"&amp;CHAR(10),""),IF(S288&gt;S285," * F05-15 for Age "&amp;R20&amp;" "&amp;S21&amp;" is more than F05-12"&amp;CHAR(10),""),IF(T288&gt;T285," * F05-15 for Age "&amp;T20&amp;" "&amp;T21&amp;" is more than F05-12"&amp;CHAR(10),""),IF(U288&gt;U285," * F05-15 for Age "&amp;T20&amp;" "&amp;U21&amp;" is more than F05-12"&amp;CHAR(10),""),IF(V288&gt;V285," * F05-15 for Age "&amp;V20&amp;" "&amp;V21&amp;" is more than F05-12"&amp;CHAR(10),""),IF(W288&gt;W285," * F05-15 for Age "&amp;V20&amp;" "&amp;W21&amp;" is more than F05-12"&amp;CHAR(10),""),IF(X288&gt;X285," * F05-15 for Age "&amp;X20&amp;" "&amp;X21&amp;" is more than F05-12"&amp;CHAR(10),""),IF(Y288&gt;Y285," * F05-15 for Age "&amp;X20&amp;" "&amp;Y21&amp;" is more than F05-12"&amp;CHAR(10),""),IF(Z288&gt;Z285," * F05-15 for Age "&amp;Z20&amp;" "&amp;Z21&amp;" is more than F05-12"&amp;CHAR(10),""),IF(AA288&gt;AA285," * F05-15 for Age "&amp;Z20&amp;" "&amp;AA21&amp;" is more than F05-12"&amp;CHAR(10),""),IF(AJ288&gt;AJ285," * Total F05-12 is more than Total F05-12"&amp;CHAR(10),""))</f>
        <v/>
      </c>
      <c r="AL288" s="1349"/>
      <c r="AM288" s="123"/>
      <c r="AN288" s="1403"/>
      <c r="AO288" s="13">
        <v>192</v>
      </c>
      <c r="AP288" s="74"/>
      <c r="AQ288" s="149"/>
    </row>
    <row r="289" spans="1:43" ht="25.9" hidden="1" thickBot="1" x14ac:dyDescent="0.8">
      <c r="A289" s="1143" t="s">
        <v>116</v>
      </c>
      <c r="B289" s="1144"/>
      <c r="C289" s="1144"/>
      <c r="D289" s="1144"/>
      <c r="E289" s="1144"/>
      <c r="F289" s="1144"/>
      <c r="G289" s="1144"/>
      <c r="H289" s="1144"/>
      <c r="I289" s="1144"/>
      <c r="J289" s="1144"/>
      <c r="K289" s="1144"/>
      <c r="L289" s="1144"/>
      <c r="M289" s="1144"/>
      <c r="N289" s="1144"/>
      <c r="O289" s="1144"/>
      <c r="P289" s="1144"/>
      <c r="Q289" s="1144"/>
      <c r="R289" s="1144"/>
      <c r="S289" s="1144"/>
      <c r="T289" s="1144"/>
      <c r="U289" s="1144"/>
      <c r="V289" s="1144"/>
      <c r="W289" s="1144"/>
      <c r="X289" s="1144"/>
      <c r="Y289" s="1144"/>
      <c r="Z289" s="1144"/>
      <c r="AA289" s="1144"/>
      <c r="AB289" s="1194"/>
      <c r="AC289" s="1194"/>
      <c r="AD289" s="1194"/>
      <c r="AE289" s="1194"/>
      <c r="AF289" s="1194"/>
      <c r="AG289" s="1194"/>
      <c r="AH289" s="1194"/>
      <c r="AI289" s="1194"/>
      <c r="AJ289" s="1144"/>
      <c r="AK289" s="1144"/>
      <c r="AL289" s="1144"/>
      <c r="AM289" s="1144"/>
      <c r="AN289" s="1146"/>
      <c r="AO289" s="13">
        <v>193</v>
      </c>
      <c r="AP289" s="74"/>
      <c r="AQ289" s="75"/>
    </row>
    <row r="290" spans="1:43" ht="26.25" hidden="1" customHeight="1" x14ac:dyDescent="0.75">
      <c r="A290" s="1122" t="s">
        <v>36</v>
      </c>
      <c r="B290" s="1306" t="s">
        <v>321</v>
      </c>
      <c r="C290" s="1155" t="s">
        <v>305</v>
      </c>
      <c r="D290" s="1116" t="s">
        <v>0</v>
      </c>
      <c r="E290" s="1131"/>
      <c r="F290" s="1131" t="s">
        <v>1</v>
      </c>
      <c r="G290" s="1131"/>
      <c r="H290" s="1131" t="s">
        <v>2</v>
      </c>
      <c r="I290" s="1131"/>
      <c r="J290" s="1131" t="s">
        <v>3</v>
      </c>
      <c r="K290" s="1131"/>
      <c r="L290" s="1131" t="s">
        <v>4</v>
      </c>
      <c r="M290" s="1131"/>
      <c r="N290" s="1131" t="s">
        <v>5</v>
      </c>
      <c r="O290" s="1131"/>
      <c r="P290" s="1131" t="s">
        <v>6</v>
      </c>
      <c r="Q290" s="1131"/>
      <c r="R290" s="1131" t="s">
        <v>7</v>
      </c>
      <c r="S290" s="1131"/>
      <c r="T290" s="1131" t="s">
        <v>8</v>
      </c>
      <c r="U290" s="1131"/>
      <c r="V290" s="1131" t="s">
        <v>23</v>
      </c>
      <c r="W290" s="1131"/>
      <c r="X290" s="1131" t="s">
        <v>24</v>
      </c>
      <c r="Y290" s="1131"/>
      <c r="Z290" s="1131" t="s">
        <v>9</v>
      </c>
      <c r="AA290" s="1115"/>
      <c r="AB290" s="1341"/>
      <c r="AC290" s="1117"/>
      <c r="AD290" s="1117"/>
      <c r="AE290" s="1117"/>
      <c r="AF290" s="1117"/>
      <c r="AG290" s="1117"/>
      <c r="AH290" s="1117"/>
      <c r="AI290" s="1118"/>
      <c r="AJ290" s="1302" t="s">
        <v>19</v>
      </c>
      <c r="AK290" s="1300" t="s">
        <v>354</v>
      </c>
      <c r="AL290" s="1292" t="s">
        <v>360</v>
      </c>
      <c r="AM290" s="1150" t="s">
        <v>361</v>
      </c>
      <c r="AN290" s="1229" t="s">
        <v>361</v>
      </c>
      <c r="AO290" s="13">
        <v>194</v>
      </c>
      <c r="AP290" s="74"/>
      <c r="AQ290" s="75"/>
    </row>
    <row r="291" spans="1:43" ht="27" hidden="1" customHeight="1" thickBot="1" x14ac:dyDescent="0.8">
      <c r="A291" s="1123"/>
      <c r="B291" s="1307"/>
      <c r="C291" s="1156"/>
      <c r="D291" s="285" t="s">
        <v>10</v>
      </c>
      <c r="E291" s="68" t="s">
        <v>11</v>
      </c>
      <c r="F291" s="68" t="s">
        <v>10</v>
      </c>
      <c r="G291" s="68" t="s">
        <v>11</v>
      </c>
      <c r="H291" s="68" t="s">
        <v>10</v>
      </c>
      <c r="I291" s="68" t="s">
        <v>11</v>
      </c>
      <c r="J291" s="68" t="s">
        <v>10</v>
      </c>
      <c r="K291" s="68" t="s">
        <v>11</v>
      </c>
      <c r="L291" s="68" t="s">
        <v>10</v>
      </c>
      <c r="M291" s="68" t="s">
        <v>11</v>
      </c>
      <c r="N291" s="68" t="s">
        <v>10</v>
      </c>
      <c r="O291" s="68" t="s">
        <v>11</v>
      </c>
      <c r="P291" s="68" t="s">
        <v>10</v>
      </c>
      <c r="Q291" s="68" t="s">
        <v>11</v>
      </c>
      <c r="R291" s="68" t="s">
        <v>10</v>
      </c>
      <c r="S291" s="68" t="s">
        <v>11</v>
      </c>
      <c r="T291" s="68" t="s">
        <v>10</v>
      </c>
      <c r="U291" s="68" t="s">
        <v>11</v>
      </c>
      <c r="V291" s="68" t="s">
        <v>10</v>
      </c>
      <c r="W291" s="68" t="s">
        <v>11</v>
      </c>
      <c r="X291" s="68" t="s">
        <v>10</v>
      </c>
      <c r="Y291" s="68" t="s">
        <v>11</v>
      </c>
      <c r="Z291" s="68" t="s">
        <v>10</v>
      </c>
      <c r="AA291" s="357" t="s">
        <v>11</v>
      </c>
      <c r="AB291" s="359"/>
      <c r="AC291" s="360"/>
      <c r="AD291" s="360"/>
      <c r="AE291" s="360"/>
      <c r="AF291" s="360"/>
      <c r="AG291" s="360"/>
      <c r="AH291" s="360"/>
      <c r="AI291" s="361"/>
      <c r="AJ291" s="1305"/>
      <c r="AK291" s="1301"/>
      <c r="AL291" s="1236"/>
      <c r="AM291" s="1150"/>
      <c r="AN291" s="1148"/>
      <c r="AO291" s="13">
        <v>195</v>
      </c>
      <c r="AP291" s="74"/>
      <c r="AQ291" s="75"/>
    </row>
    <row r="292" spans="1:43" ht="31.15" hidden="1" customHeight="1" x14ac:dyDescent="0.75">
      <c r="A292" s="1218" t="s">
        <v>103</v>
      </c>
      <c r="B292" s="203" t="s">
        <v>650</v>
      </c>
      <c r="C292" s="578" t="s">
        <v>342</v>
      </c>
      <c r="D292" s="70"/>
      <c r="E292" s="71"/>
      <c r="F292" s="71"/>
      <c r="G292" s="71"/>
      <c r="H292" s="71"/>
      <c r="I292" s="71"/>
      <c r="J292" s="71"/>
      <c r="K292" s="127"/>
      <c r="L292" s="71"/>
      <c r="M292" s="127"/>
      <c r="N292" s="71"/>
      <c r="O292" s="127"/>
      <c r="P292" s="71"/>
      <c r="Q292" s="127"/>
      <c r="R292" s="71"/>
      <c r="S292" s="127"/>
      <c r="T292" s="71"/>
      <c r="U292" s="127"/>
      <c r="V292" s="71"/>
      <c r="W292" s="127"/>
      <c r="X292" s="71"/>
      <c r="Y292" s="127"/>
      <c r="Z292" s="71"/>
      <c r="AA292" s="342"/>
      <c r="AB292" s="373"/>
      <c r="AC292" s="374"/>
      <c r="AD292" s="374"/>
      <c r="AE292" s="374"/>
      <c r="AF292" s="374"/>
      <c r="AG292" s="374"/>
      <c r="AH292" s="374"/>
      <c r="AI292" s="305"/>
      <c r="AJ292" s="384">
        <f>SUM(D292:AA292)</f>
        <v>0</v>
      </c>
      <c r="AK292" s="139" t="str">
        <f>CONCATENATE(IF(D292&lt;SUM(D293,D294)," * Sum of (KP at ANC1 and initial test at ANC1) for Age "&amp;D20&amp;" "&amp;D21&amp;" is more than New 1st ANC Clients"&amp;CHAR(10),""),IF(E292&lt;SUM(E293,E294,E234)," * Sum of (KP at ANC1 and initial test at ANC1) for Age "&amp;D20&amp;" "&amp;E21&amp;" is more than New 1st ANC Clients"&amp;CHAR(10),""),IF(F292&lt;SUM(F293,F294)," * Sum of (KP at ANC1 and initial test at ANC1) for Age "&amp;F20&amp;" "&amp;F21&amp;" is more than New 1st ANC Clients"&amp;CHAR(10),""),IF(G292&lt;SUM(G293,G294,G234)," * Sum of (KP at ANC1 and initial test at ANC1) for Age "&amp;F20&amp;" "&amp;G21&amp;" is more than New 1st ANC Clients"&amp;CHAR(10),""),IF(H292&lt;SUM(H293,H294)," * Sum of (KP at ANC1 and initial test at ANC1) for Age "&amp;H20&amp;" "&amp;H21&amp;" is more than New 1st ANC Clients"&amp;CHAR(10),""),IF(I292&lt;SUM(I293,I294,I234)," * Sum of (KP at ANC1 and initial test at ANC1) for Age "&amp;H20&amp;" "&amp;I21&amp;" is more than New 1st ANC Clients"&amp;CHAR(10),""),IF(J292&lt;SUM(J293,J294)," * Sum of (KP at ANC1 and initial test at ANC1) for Age "&amp;J20&amp;" "&amp;J21&amp;" is more than New 1st ANC Clients"&amp;CHAR(10),""),IF(K292&lt;SUM(K293,K294,K234)," * Sum of (KP at ANC1 and initial test at ANC1) for Age "&amp;J20&amp;" "&amp;K21&amp;" is more than New 1st ANC Clients"&amp;CHAR(10),""),IF(L292&lt;SUM(L293,L294)," * Sum of (KP at ANC1 and initial test at ANC1) for Age "&amp;L20&amp;" "&amp;L21&amp;" is more than New 1st ANC Clients"&amp;CHAR(10),""),IF(M292&lt;SUM(M293,M294,M234)," * Sum of (KP at ANC1 and initial test at ANC1) for Age "&amp;L20&amp;" "&amp;M21&amp;" is more than New 1st ANC Clients"&amp;CHAR(10),""),IF(N292&lt;SUM(N293,N294)," * Sum of (KP at ANC1 and initial test at ANC1) for Age "&amp;N20&amp;" "&amp;N21&amp;" is more than New 1st ANC Clients"&amp;CHAR(10),""),IF(O292&lt;SUM(O293,O294,O234)," * Sum of (KP at ANC1 and initial test at ANC1) for Age "&amp;N20&amp;" "&amp;O21&amp;" is more than New 1st ANC Clients"&amp;CHAR(10),""),IF(P292&lt;SUM(P293,P294)," * Sum of (KP at ANC1 and initial test at ANC1) for Age "&amp;P20&amp;" "&amp;P21&amp;" is more than New 1st ANC Clients"&amp;CHAR(10),""),IF(Q292&lt;SUM(Q293,Q294,Q234)," * Sum of (KP at ANC1 and initial test at ANC1) for Age "&amp;P20&amp;" "&amp;Q21&amp;" is more than New 1st ANC Clients"&amp;CHAR(10),""),IF(R292&lt;SUM(R293,R294)," * Sum of (KP at ANC1 and initial test at ANC1) for Age "&amp;R20&amp;" "&amp;R21&amp;" is more than New 1st ANC Clients"&amp;CHAR(10),""),IF(S292&lt;SUM(S293,S294,S234)," * Sum of (KP at ANC1 and initial test at ANC1) for Age "&amp;R20&amp;" "&amp;S21&amp;" is more than New 1st ANC Clients"&amp;CHAR(10),""),IF(T292&lt;SUM(T293,T294)," * Sum of (KP at ANC1 and initial test at ANC1) for Age "&amp;T20&amp;" "&amp;T21&amp;" is more than New 1st ANC Clients"&amp;CHAR(10),""),IF(U292&lt;SUM(U293,U294,U234)," * Sum of (KP at ANC1 and initial test at ANC1) for Age "&amp;T20&amp;" "&amp;U21&amp;" is more than New 1st ANC Clients"&amp;CHAR(10),""),IF(V292&lt;SUM(V293,V294)," * Sum of (KP at ANC1 and initial test at ANC1) for Age "&amp;V20&amp;" "&amp;V21&amp;" is more than New 1st ANC Clients"&amp;CHAR(10),""),IF(W292&lt;SUM(W293,W294,W234)," * Sum of (KP at ANC1 and initial test at ANC1) for Age "&amp;V20&amp;" "&amp;W21&amp;" is more than New 1st ANC Clients"&amp;CHAR(10),""),IF(X292&lt;SUM(X293,X294)," * Sum of (KP at ANC1 and initial test at ANC1) for Age "&amp;X20&amp;" "&amp;X21&amp;" is more than New 1st ANC Clients"&amp;CHAR(10),""),IF(Y292&lt;SUM(Y293,Y294,Y234)," * Sum of (KP at ANC1 and initial test at ANC1) for Age "&amp;X20&amp;" "&amp;Y21&amp;" is more than New 1st ANC Clients"&amp;CHAR(10),""),IF(Z292&lt;SUM(Z293,Z294)," * Sum of (KP at ANC1 and initial test at ANC1) for Age "&amp;Z20&amp;" "&amp;Z21&amp;" is more than New 1st ANC Clients"&amp;CHAR(10),""),IF(AA292&lt;SUM(AA293,AA294,AA234)," * Sum of (KP at ANC1 and initial test at ANC1) for Age "&amp;Z20&amp;" "&amp;AA21&amp;" is more than New 1st ANC Clients"&amp;CHAR(10),""),IF(AJ292&lt;SUM(AJ293,AJ294)," * Total Sum of (KP at ANC1 and initial test at ANC1) is more than New 1st ANC Clients"&amp;CHAR(10),""))</f>
        <v/>
      </c>
      <c r="AL292" s="1204" t="str">
        <f>CONCATENATE(AK292,AK293,AK294,AK295,AK298,AK302,AK306,AK314,AK305,AK304,AK296,AK297,AK301,AK308,AK309,AK310,AK311,AK313,AK312,AK300)</f>
        <v/>
      </c>
      <c r="AM292" s="204"/>
      <c r="AN292" s="1202" t="str">
        <f>CONCATENATE(AM292,AM293,AM294,AM295,AM298,AM299,AM302,AM303,AM306,AM307,AM314,AM315,AM296,AM297,AM300,AM301,AM304,AM305,AM308,AM309,AM310,AM311)</f>
        <v/>
      </c>
      <c r="AO292" s="13">
        <v>196</v>
      </c>
      <c r="AP292" s="74"/>
      <c r="AQ292" s="75"/>
    </row>
    <row r="293" spans="1:43" ht="31.15" hidden="1" customHeight="1" x14ac:dyDescent="0.75">
      <c r="A293" s="1192"/>
      <c r="B293" s="205" t="s">
        <v>651</v>
      </c>
      <c r="C293" s="559" t="s">
        <v>253</v>
      </c>
      <c r="D293" s="77"/>
      <c r="E293" s="78"/>
      <c r="F293" s="78"/>
      <c r="G293" s="78"/>
      <c r="H293" s="78"/>
      <c r="I293" s="78"/>
      <c r="J293" s="78"/>
      <c r="K293" s="206"/>
      <c r="L293" s="207"/>
      <c r="M293" s="206"/>
      <c r="N293" s="207"/>
      <c r="O293" s="206"/>
      <c r="P293" s="207"/>
      <c r="Q293" s="206"/>
      <c r="R293" s="207"/>
      <c r="S293" s="206"/>
      <c r="T293" s="207"/>
      <c r="U293" s="206"/>
      <c r="V293" s="207"/>
      <c r="W293" s="206"/>
      <c r="X293" s="207"/>
      <c r="Y293" s="206"/>
      <c r="Z293" s="78"/>
      <c r="AA293" s="343"/>
      <c r="AB293" s="375"/>
      <c r="AC293" s="345"/>
      <c r="AD293" s="345"/>
      <c r="AE293" s="345"/>
      <c r="AF293" s="345"/>
      <c r="AG293" s="345"/>
      <c r="AH293" s="345"/>
      <c r="AI293" s="302"/>
      <c r="AJ293" s="385">
        <f t="shared" ref="AJ293:AJ323" si="135">SUM(D293:AA293)</f>
        <v>0</v>
      </c>
      <c r="AK293" s="116" t="str">
        <f>CONCATENATE(IF(D328&gt;D293," * ON HAART at 1st ANC for Age "&amp;D20&amp;" "&amp;D21&amp;" is more than KP at 1st ANC "&amp;CHAR(10),""),IF(E328&gt;E293," * ON HAART at 1st ANC for Age "&amp;D20&amp;" "&amp;E21&amp;" is more than KP at 1st ANC "&amp;CHAR(10),""),IF(F328&gt;F293," * ON HAART at 1st ANC for Age "&amp;F20&amp;" "&amp;F21&amp;" is more than KP at 1st ANC "&amp;CHAR(10),""),IF(G328&gt;G293," * ON HAART at 1st ANC for Age "&amp;F20&amp;" "&amp;G21&amp;" is more than KP at 1st ANC "&amp;CHAR(10),""),IF(H328&gt;H293," * ON HAART at 1st ANC for Age "&amp;H20&amp;" "&amp;H21&amp;" is more than KP at 1st ANC "&amp;CHAR(10),""),IF(I328&gt;I293," * ON HAART at 1st ANC for Age "&amp;H20&amp;" "&amp;I21&amp;" is more than KP at 1st ANC "&amp;CHAR(10),""),IF(J328&gt;J293," * ON HAART at 1st ANC for Age "&amp;J20&amp;" "&amp;J21&amp;" is more than KP at 1st ANC "&amp;CHAR(10),""),IF(K328&gt;K293," * ON HAART at 1st ANC for Age "&amp;J20&amp;" "&amp;K21&amp;" is more than KP at 1st ANC "&amp;CHAR(10),""),IF(L328&gt;L293," * ON HAART at 1st ANC for Age "&amp;L20&amp;" "&amp;L21&amp;" is more than KP at 1st ANC "&amp;CHAR(10),""),IF(M328&gt;M293," * ON HAART at 1st ANC for Age "&amp;L20&amp;" "&amp;M21&amp;" is more than KP at 1st ANC "&amp;CHAR(10),""),IF(N328&gt;N293," * ON HAART at 1st ANC for Age "&amp;N20&amp;" "&amp;N21&amp;" is more than KP at 1st ANC "&amp;CHAR(10),""),IF(O328&gt;O293," * ON HAART at 1st ANC for Age "&amp;N20&amp;" "&amp;O21&amp;" is more than KP at 1st ANC "&amp;CHAR(10),""),IF(P328&gt;P293," * ON HAART at 1st ANC for Age "&amp;P20&amp;" "&amp;P21&amp;" is more than KP at 1st ANC "&amp;CHAR(10),""),IF(Q328&gt;Q293," * ON HAART at 1st ANC for Age "&amp;P20&amp;" "&amp;Q21&amp;" is more than KP at 1st ANC "&amp;CHAR(10),""),IF(R328&gt;R293," * ON HAART at 1st ANC for Age "&amp;R20&amp;" "&amp;R21&amp;" is more than KP at 1st ANC "&amp;CHAR(10),""),IF(S328&gt;S293," * ON HAART at 1st ANC for Age "&amp;R20&amp;" "&amp;S21&amp;" is more than KP at 1st ANC "&amp;CHAR(10),""),IF(T328&gt;T293," * ON HAART at 1st ANC for Age "&amp;T20&amp;" "&amp;T21&amp;" is more than KP at 1st ANC "&amp;CHAR(10),""),IF(U328&gt;U293," * ON HAART at 1st ANC for Age "&amp;T20&amp;" "&amp;U21&amp;" is more than KP at 1st ANC "&amp;CHAR(10),""),IF(V328&gt;V293," * ON HAART at 1st ANC for Age "&amp;V20&amp;" "&amp;V21&amp;" is more than KP at 1st ANC "&amp;CHAR(10),""),IF(W328&gt;W293," * ON HAART at 1st ANC for Age "&amp;V20&amp;" "&amp;W21&amp;" is more than KP at 1st ANC "&amp;CHAR(10),""),IF(X328&gt;X293," * ON HAART at 1st ANC for Age "&amp;X20&amp;" "&amp;X21&amp;" is more than KP at 1st ANC "&amp;CHAR(10),""),IF(Y328&gt;Y293," * ON HAART at 1st ANC for Age "&amp;X20&amp;" "&amp;Y21&amp;" is more than KP at 1st ANC "&amp;CHAR(10),""),IF(Z328&gt;Z293," * ON HAART at 1st ANC for Age "&amp;Z20&amp;" "&amp;Z21&amp;" is more than KP at 1st ANC "&amp;CHAR(10),""),IF(AA328&gt;AA293," * ON HAART at 1st ANC for Age "&amp;Z20&amp;" "&amp;AA21&amp;" is more than KP at 1st ANC "&amp;CHAR(10),""))</f>
        <v/>
      </c>
      <c r="AL293" s="1205"/>
      <c r="AM293" s="208" t="str">
        <f>CONCATENATE(IF(D292&gt;SUM(D293,D294)," * Sum of (KP at ANC1 and initial test at ANC1) for Age "&amp;D20&amp;" "&amp;D21&amp;" is less than New 1st ANC Clients"&amp;CHAR(10),""),IF(E292&gt;SUM(E293,E294,E234)," * Sum of (KP at ANC1 and initial test at ANC1) for Age "&amp;D20&amp;" "&amp;E21&amp;" is less than New 1st ANC Clients"&amp;CHAR(10),""),IF(F292&gt;SUM(F293,F294)," * Sum of (KP at ANC1 and initial test at ANC1) for Age "&amp;F20&amp;" "&amp;F21&amp;" is less than New 1st ANC Clients"&amp;CHAR(10),""),IF(G292&gt;SUM(G293,G294,G234)," * Sum of (KP at ANC1 and initial test at ANC1) for Age "&amp;F20&amp;" "&amp;G21&amp;" is less than New 1st ANC Clients"&amp;CHAR(10),""),IF(H292&gt;SUM(H293,H294)," * Sum of (KP at ANC1 and initial test at ANC1) for Age "&amp;H20&amp;" "&amp;H21&amp;" is less than New 1st ANC Clients"&amp;CHAR(10),""),IF(I292&gt;SUM(I293,I294,I234)," * Sum of (KP at ANC1 and initial test at ANC1) for Age "&amp;H20&amp;" "&amp;I21&amp;" is less than New 1st ANC Clients"&amp;CHAR(10),""),IF(J292&gt;SUM(J293,J294)," * Sum of (KP at ANC1 and initial test at ANC1) for Age "&amp;J20&amp;" "&amp;J21&amp;" is less than New 1st ANC Clients"&amp;CHAR(10),""),IF(K292&gt;SUM(K293,K294,K234)," * Sum of (KP at ANC1 and initial test at ANC1) for Age "&amp;J20&amp;" "&amp;K21&amp;" is less than New 1st ANC Clients"&amp;CHAR(10),""),IF(L292&gt;SUM(L293,L294)," * Sum of (KP at ANC1 and initial test at ANC1) for Age "&amp;L20&amp;" "&amp;L21&amp;" is less than New 1st ANC Clients"&amp;CHAR(10),""),IF(M292&gt;SUM(M293,M294,M234)," * Sum of (KP at ANC1 and initial test at ANC1) for Age "&amp;L20&amp;" "&amp;M21&amp;" is less than New 1st ANC Clients"&amp;CHAR(10),""),IF(N292&gt;SUM(N293,N294)," * Sum of (KP at ANC1 and initial test at ANC1) for Age "&amp;N20&amp;" "&amp;N21&amp;" is less than New 1st ANC Clients"&amp;CHAR(10),""),IF(O292&gt;SUM(O293,O294,O234)," * Sum of (KP at ANC1 and initial test at ANC1) for Age "&amp;N20&amp;" "&amp;O21&amp;" is less than New 1st ANC Clients"&amp;CHAR(10),""),IF(P292&gt;SUM(P293,P294)," * Sum of (KP at ANC1 and initial test at ANC1) for Age "&amp;P20&amp;" "&amp;P21&amp;" is less than New 1st ANC Clients"&amp;CHAR(10),""),IF(Q292&gt;SUM(Q293,Q294,Q234)," * Sum of (KP at ANC1 and initial test at ANC1) for Age "&amp;P20&amp;" "&amp;Q21&amp;" is less than New 1st ANC Clients"&amp;CHAR(10),""),IF(R292&gt;SUM(R293,R294)," * Sum of (KP at ANC1 and initial test at ANC1) for Age "&amp;R20&amp;" "&amp;R21&amp;" is less than New 1st ANC Clients"&amp;CHAR(10),""),IF(S292&gt;SUM(S293,S294,S234)," * Sum of (KP at ANC1 and initial test at ANC1) for Age "&amp;R20&amp;" "&amp;S21&amp;" is less than New 1st ANC Clients"&amp;CHAR(10),""),IF(T292&gt;SUM(T293,T294)," * Sum of (KP at ANC1 and initial test at ANC1) for Age "&amp;T20&amp;" "&amp;T21&amp;" is less than New 1st ANC Clients"&amp;CHAR(10),""),IF(U292&gt;SUM(U293,U294,U234)," * Sum of (KP at ANC1 and initial test at ANC1) for Age "&amp;T20&amp;" "&amp;U21&amp;" is less than New 1st ANC Clients"&amp;CHAR(10),""),IF(V292&gt;SUM(V293,V294)," * Sum of (KP at ANC1 and initial test at ANC1) for Age "&amp;V20&amp;" "&amp;V21&amp;" is less than New 1st ANC Clients"&amp;CHAR(10),""),IF(W292&gt;SUM(W293,W294,W234)," * Sum of (KP at ANC1 and initial test at ANC1) for Age "&amp;V20&amp;" "&amp;W21&amp;" is less than New 1st ANC Clients"&amp;CHAR(10),""),IF(X292&gt;SUM(X293,X294)," * Sum of (KP at ANC1 and initial test at ANC1) for Age "&amp;X20&amp;" "&amp;X21&amp;" is less than New 1st ANC Clients"&amp;CHAR(10),""),IF(Y292&gt;SUM(Y293,Y294,Y234)," * Sum of (KP at ANC1 and initial test at ANC1) for Age "&amp;X20&amp;" "&amp;Y21&amp;" is less than New 1st ANC Clients"&amp;CHAR(10),""),IF(Z292&gt;SUM(Z293,Z294)," * Sum of (KP at ANC1 and initial test at ANC1) for Age "&amp;Z20&amp;" "&amp;Z21&amp;" is less than New 1st ANC Clients"&amp;CHAR(10),""),IF(AA292&gt;SUM(AA293,AA294,AA234)," * Sum of (KP at ANC1 and initial test at ANC1) for Age "&amp;Z20&amp;" "&amp;AA21&amp;" is less than New 1st ANC Clients"&amp;CHAR(10),""))</f>
        <v/>
      </c>
      <c r="AN293" s="1165"/>
      <c r="AO293" s="13">
        <v>197</v>
      </c>
      <c r="AP293" s="74"/>
      <c r="AQ293" s="75"/>
    </row>
    <row r="294" spans="1:43" ht="25.5" hidden="1" x14ac:dyDescent="0.75">
      <c r="A294" s="1192"/>
      <c r="B294" s="76" t="s">
        <v>652</v>
      </c>
      <c r="C294" s="559" t="s">
        <v>254</v>
      </c>
      <c r="D294" s="77"/>
      <c r="E294" s="78"/>
      <c r="F294" s="78"/>
      <c r="G294" s="78"/>
      <c r="H294" s="78"/>
      <c r="I294" s="78"/>
      <c r="J294" s="78"/>
      <c r="K294" s="79"/>
      <c r="L294" s="78"/>
      <c r="M294" s="79"/>
      <c r="N294" s="78"/>
      <c r="O294" s="79"/>
      <c r="P294" s="78"/>
      <c r="Q294" s="79"/>
      <c r="R294" s="78"/>
      <c r="S294" s="79"/>
      <c r="T294" s="78"/>
      <c r="U294" s="79"/>
      <c r="V294" s="78"/>
      <c r="W294" s="79"/>
      <c r="X294" s="78"/>
      <c r="Y294" s="79"/>
      <c r="Z294" s="78"/>
      <c r="AA294" s="343"/>
      <c r="AB294" s="375"/>
      <c r="AC294" s="345"/>
      <c r="AD294" s="345"/>
      <c r="AE294" s="345"/>
      <c r="AF294" s="345"/>
      <c r="AG294" s="345"/>
      <c r="AH294" s="345"/>
      <c r="AI294" s="302"/>
      <c r="AJ294" s="385">
        <f t="shared" si="135"/>
        <v>0</v>
      </c>
      <c r="AK294" s="116" t="str">
        <f>CONCATENATE(IF(D294&gt;D292," * F06-03 for Age "&amp;D20&amp;" "&amp;D21&amp;" is more than F06-01"&amp;CHAR(10),""),IF(E294&gt;E292," * F06-03 for Age "&amp;D20&amp;" "&amp;E21&amp;" is more than F06-01"&amp;CHAR(10),""),IF(F294&gt;F292," * F06-03 for Age "&amp;F20&amp;" "&amp;F21&amp;" is more than F06-01"&amp;CHAR(10),""),IF(G294&gt;G292," * F06-03 for Age "&amp;F20&amp;" "&amp;G21&amp;" is more than F06-01"&amp;CHAR(10),""),IF(H294&gt;H292," * F06-03 for Age "&amp;H20&amp;" "&amp;H21&amp;" is more than F06-01"&amp;CHAR(10),""),IF(I294&gt;I292," * F06-03 for Age "&amp;H20&amp;" "&amp;I21&amp;" is more than F06-01"&amp;CHAR(10),""),IF(J294&gt;J292," * F06-03 for Age "&amp;J20&amp;" "&amp;J21&amp;" is more than F06-01"&amp;CHAR(10),""),IF(K294&gt;K292," * F06-03 for Age "&amp;J20&amp;" "&amp;K21&amp;" is more than F06-01"&amp;CHAR(10),""),IF(L294&gt;L292," * F06-03 for Age "&amp;L20&amp;" "&amp;L21&amp;" is more than F06-01"&amp;CHAR(10),""),IF(M294&gt;M292," * F06-03 for Age "&amp;L20&amp;" "&amp;M21&amp;" is more than F06-01"&amp;CHAR(10),""),IF(N294&gt;N292," * F06-03 for Age "&amp;N20&amp;" "&amp;N21&amp;" is more than F06-01"&amp;CHAR(10),""),IF(O294&gt;O292," * F06-03 for Age "&amp;N20&amp;" "&amp;O21&amp;" is more than F06-01"&amp;CHAR(10),""),IF(P294&gt;P292," * F06-03 for Age "&amp;P20&amp;" "&amp;P21&amp;" is more than F06-01"&amp;CHAR(10),""),IF(Q294&gt;Q292," * F06-03 for Age "&amp;P20&amp;" "&amp;Q21&amp;" is more than F06-01"&amp;CHAR(10),""),IF(R294&gt;R292," * F06-03 for Age "&amp;R20&amp;" "&amp;R21&amp;" is more than F06-01"&amp;CHAR(10),""),IF(S294&gt;S292," * F06-03 for Age "&amp;R20&amp;" "&amp;S21&amp;" is more than F06-01"&amp;CHAR(10),""),IF(T294&gt;T292," * F06-03 for Age "&amp;T20&amp;" "&amp;T21&amp;" is more than F06-01"&amp;CHAR(10),""),IF(U294&gt;U292," * F06-03 for Age "&amp;T20&amp;" "&amp;U21&amp;" is more than F06-01"&amp;CHAR(10),""),IF(V294&gt;V292," * F06-03 for Age "&amp;V20&amp;" "&amp;V21&amp;" is more than F06-01"&amp;CHAR(10),""),IF(W294&gt;W292," * F06-03 for Age "&amp;V20&amp;" "&amp;W21&amp;" is more than F06-01"&amp;CHAR(10),""),IF(X294&gt;X292," * F06-03 for Age "&amp;X20&amp;" "&amp;X21&amp;" is more than F06-01"&amp;CHAR(10),""),IF(Y294&gt;Y292," * F06-03 for Age "&amp;X20&amp;" "&amp;Y21&amp;" is more than F06-01"&amp;CHAR(10),""),IF(Z294&gt;Z292," * F06-03 for Age "&amp;Z20&amp;" "&amp;Z21&amp;" is more than F06-01"&amp;CHAR(10),""),IF(AA294&gt;AA292," * F06-03 for Age "&amp;Z20&amp;" "&amp;AA21&amp;" is more than F06-01"&amp;CHAR(10),""),IF(AJ294&gt;AJ292," * Total F06-03 is more than Total F06-01"&amp;CHAR(10),""))</f>
        <v/>
      </c>
      <c r="AL294" s="1205"/>
      <c r="AM294" s="31"/>
      <c r="AN294" s="1165"/>
      <c r="AO294" s="13">
        <v>198</v>
      </c>
      <c r="AP294" s="74"/>
      <c r="AQ294" s="75"/>
    </row>
    <row r="295" spans="1:43" ht="25.5" hidden="1" x14ac:dyDescent="0.75">
      <c r="A295" s="1192"/>
      <c r="B295" s="163" t="s">
        <v>653</v>
      </c>
      <c r="C295" s="559" t="s">
        <v>343</v>
      </c>
      <c r="D295" s="77"/>
      <c r="E295" s="78"/>
      <c r="F295" s="78"/>
      <c r="G295" s="78"/>
      <c r="H295" s="78"/>
      <c r="I295" s="78"/>
      <c r="J295" s="78"/>
      <c r="K295" s="206"/>
      <c r="L295" s="78"/>
      <c r="M295" s="206"/>
      <c r="N295" s="78"/>
      <c r="O295" s="206"/>
      <c r="P295" s="78"/>
      <c r="Q295" s="206"/>
      <c r="R295" s="78"/>
      <c r="S295" s="206"/>
      <c r="T295" s="78"/>
      <c r="U295" s="206"/>
      <c r="V295" s="78"/>
      <c r="W295" s="206"/>
      <c r="X295" s="78"/>
      <c r="Y295" s="206"/>
      <c r="Z295" s="78"/>
      <c r="AA295" s="343"/>
      <c r="AB295" s="375"/>
      <c r="AC295" s="345"/>
      <c r="AD295" s="345"/>
      <c r="AE295" s="345"/>
      <c r="AF295" s="345"/>
      <c r="AG295" s="345"/>
      <c r="AH295" s="345"/>
      <c r="AI295" s="302"/>
      <c r="AJ295" s="385">
        <f t="shared" si="135"/>
        <v>0</v>
      </c>
      <c r="AK295" s="116" t="str">
        <f>CONCATENATE(IF(D295&gt;D294," * New positive at ANC1 for Age "&amp;D20&amp;" "&amp;D21&amp;" is more than initial test at ANC1"&amp;CHAR(10),""),IF(E295&gt;E294," * New positive at ANC1 for Age "&amp;D20&amp;" "&amp;E21&amp;" is more than initial test at ANC1"&amp;CHAR(10),""),IF(F295&gt;F294," * New positive at ANC1 for Age "&amp;F20&amp;" "&amp;F21&amp;" is more than initial test at ANC1"&amp;CHAR(10),""),IF(G295&gt;G294," * New positive at ANC1 for Age "&amp;F20&amp;" "&amp;G21&amp;" is more than initial test at ANC1"&amp;CHAR(10),""),IF(H295&gt;H294," * New positive at ANC1 for Age "&amp;H20&amp;" "&amp;H21&amp;" is more than initial test at ANC1"&amp;CHAR(10),""),IF(I295&gt;I294," * New positive at ANC1 for Age "&amp;H20&amp;" "&amp;I21&amp;" is more than initial test at ANC1"&amp;CHAR(10),""),IF(J295&gt;J294," * New positive at ANC1 for Age "&amp;J20&amp;" "&amp;J21&amp;" is more than initial test at ANC1"&amp;CHAR(10),""),IF(K295&gt;K294," * New positive at ANC1 for Age "&amp;J20&amp;" "&amp;K21&amp;" is more than initial test at ANC1"&amp;CHAR(10),""),IF(L295&gt;L294," * New positive at ANC1 for Age "&amp;L20&amp;" "&amp;L21&amp;" is more than initial test at ANC1"&amp;CHAR(10),""),IF(M295&gt;M294," * New positive at ANC1 for Age "&amp;L20&amp;" "&amp;M21&amp;" is more than initial test at ANC1"&amp;CHAR(10),""),IF(N295&gt;N294," * New positive at ANC1 for Age "&amp;N20&amp;" "&amp;N21&amp;" is more than initial test at ANC1"&amp;CHAR(10),""),IF(O295&gt;O294," * New positive at ANC1 for Age "&amp;N20&amp;" "&amp;O21&amp;" is more than initial test at ANC1"&amp;CHAR(10),""),IF(P295&gt;P294," * New positive at ANC1 for Age "&amp;P20&amp;" "&amp;P21&amp;" is more than initial test at ANC1"&amp;CHAR(10),""),IF(Q295&gt;Q294," * New positive at ANC1 for Age "&amp;P20&amp;" "&amp;Q21&amp;" is more than initial test at ANC1"&amp;CHAR(10),""),IF(R295&gt;R294," * New positive at ANC1 for Age "&amp;R20&amp;" "&amp;R21&amp;" is more than initial test at ANC1"&amp;CHAR(10),""),IF(S295&gt;S294," * New positive at ANC1 for Age "&amp;R20&amp;" "&amp;S21&amp;" is more than initial test at ANC1"&amp;CHAR(10),""),IF(T295&gt;T294," * New positive at ANC1 for Age "&amp;T20&amp;" "&amp;T21&amp;" is more than initial test at ANC1"&amp;CHAR(10),""),IF(U295&gt;U294," * New positive at ANC1 for Age "&amp;T20&amp;" "&amp;U21&amp;" is more than initial test at ANC1"&amp;CHAR(10),""),IF(V295&gt;V294," * New positive at ANC1 for Age "&amp;V20&amp;" "&amp;V21&amp;" is more than initial test at ANC1"&amp;CHAR(10),""),IF(W295&gt;W294," * New positive at ANC1 for Age "&amp;V20&amp;" "&amp;W21&amp;" is more than initial test at ANC1"&amp;CHAR(10),""),IF(X295&gt;X294," * New positive at ANC1 for Age "&amp;X20&amp;" "&amp;X21&amp;" is more than initial test at ANC1"&amp;CHAR(10),""),IF(Y295&gt;Y294," * New positive at ANC1 for Age "&amp;X20&amp;" "&amp;Y21&amp;" is more than initial test at ANC1"&amp;CHAR(10),""),IF(Z295&gt;Z294," * New positive at ANC1 for Age "&amp;Z20&amp;" "&amp;Z21&amp;" is more than initial test at ANC1"&amp;CHAR(10),""),IF(AA295&gt;AA294," * New positive at ANC1 for Age "&amp;Z20&amp;" "&amp;AA21&amp;" is more than initial test at ANC1"&amp;CHAR(10),""),IF(AJ295&gt;AJ294," * Total New positive at ANC1 is more than Total initial test at ANC1"&amp;CHAR(10),""))</f>
        <v/>
      </c>
      <c r="AL295" s="1205"/>
      <c r="AM295" s="31"/>
      <c r="AN295" s="1165"/>
      <c r="AO295" s="13">
        <v>199</v>
      </c>
      <c r="AP295" s="74"/>
      <c r="AQ295" s="75"/>
    </row>
    <row r="296" spans="1:43" ht="25.5" hidden="1" x14ac:dyDescent="0.75">
      <c r="A296" s="1192"/>
      <c r="B296" s="209" t="s">
        <v>450</v>
      </c>
      <c r="C296" s="559" t="s">
        <v>454</v>
      </c>
      <c r="D296" s="77"/>
      <c r="E296" s="78"/>
      <c r="F296" s="78"/>
      <c r="G296" s="78"/>
      <c r="H296" s="78"/>
      <c r="I296" s="78"/>
      <c r="J296" s="78"/>
      <c r="K296" s="210">
        <f>K294+K293</f>
        <v>0</v>
      </c>
      <c r="L296" s="78"/>
      <c r="M296" s="210">
        <f>M294+M293</f>
        <v>0</v>
      </c>
      <c r="N296" s="78"/>
      <c r="O296" s="210">
        <f>O294+O293</f>
        <v>0</v>
      </c>
      <c r="P296" s="78"/>
      <c r="Q296" s="210">
        <f>Q294+Q293</f>
        <v>0</v>
      </c>
      <c r="R296" s="78"/>
      <c r="S296" s="210">
        <f>S294+S293</f>
        <v>0</v>
      </c>
      <c r="T296" s="78"/>
      <c r="U296" s="210">
        <f>U294+U293</f>
        <v>0</v>
      </c>
      <c r="V296" s="78"/>
      <c r="W296" s="210">
        <f>W294+W293</f>
        <v>0</v>
      </c>
      <c r="X296" s="78"/>
      <c r="Y296" s="210">
        <f>Y294+Y293</f>
        <v>0</v>
      </c>
      <c r="Z296" s="78"/>
      <c r="AA296" s="343"/>
      <c r="AB296" s="375"/>
      <c r="AC296" s="345"/>
      <c r="AD296" s="345"/>
      <c r="AE296" s="345"/>
      <c r="AF296" s="345"/>
      <c r="AG296" s="345"/>
      <c r="AH296" s="345"/>
      <c r="AI296" s="302"/>
      <c r="AJ296" s="385">
        <f t="shared" si="135"/>
        <v>0</v>
      </c>
      <c r="AK296" s="116"/>
      <c r="AL296" s="1205"/>
      <c r="AM296" s="31"/>
      <c r="AN296" s="1165"/>
      <c r="AO296" s="13">
        <v>200</v>
      </c>
      <c r="AP296" s="74"/>
      <c r="AQ296" s="75"/>
    </row>
    <row r="297" spans="1:43" ht="25.9" hidden="1" thickBot="1" x14ac:dyDescent="0.8">
      <c r="A297" s="1193"/>
      <c r="B297" s="211" t="s">
        <v>455</v>
      </c>
      <c r="C297" s="560" t="s">
        <v>469</v>
      </c>
      <c r="D297" s="103"/>
      <c r="E297" s="102"/>
      <c r="F297" s="102"/>
      <c r="G297" s="102"/>
      <c r="H297" s="102"/>
      <c r="I297" s="102"/>
      <c r="J297" s="102"/>
      <c r="K297" s="212">
        <f>K295+K293</f>
        <v>0</v>
      </c>
      <c r="L297" s="102"/>
      <c r="M297" s="212">
        <f>M295+M293</f>
        <v>0</v>
      </c>
      <c r="N297" s="102"/>
      <c r="O297" s="212">
        <f>O295+O293</f>
        <v>0</v>
      </c>
      <c r="P297" s="102"/>
      <c r="Q297" s="212">
        <f>Q295+Q293</f>
        <v>0</v>
      </c>
      <c r="R297" s="102"/>
      <c r="S297" s="212">
        <f>S295+S293</f>
        <v>0</v>
      </c>
      <c r="T297" s="102"/>
      <c r="U297" s="212">
        <f>U295+U293</f>
        <v>0</v>
      </c>
      <c r="V297" s="102"/>
      <c r="W297" s="212">
        <f>W295+W293</f>
        <v>0</v>
      </c>
      <c r="X297" s="102"/>
      <c r="Y297" s="212">
        <f>Y295+Y293</f>
        <v>0</v>
      </c>
      <c r="Z297" s="102"/>
      <c r="AA297" s="313"/>
      <c r="AB297" s="375"/>
      <c r="AC297" s="345"/>
      <c r="AD297" s="345"/>
      <c r="AE297" s="345"/>
      <c r="AF297" s="345"/>
      <c r="AG297" s="345"/>
      <c r="AH297" s="345"/>
      <c r="AI297" s="302"/>
      <c r="AJ297" s="386">
        <f t="shared" si="135"/>
        <v>0</v>
      </c>
      <c r="AK297" s="116"/>
      <c r="AL297" s="1205"/>
      <c r="AM297" s="31"/>
      <c r="AN297" s="1165"/>
      <c r="AO297" s="13">
        <v>201</v>
      </c>
      <c r="AP297" s="74"/>
      <c r="AQ297" s="75"/>
    </row>
    <row r="298" spans="1:43" ht="25.5" hidden="1" x14ac:dyDescent="0.75">
      <c r="A298" s="1132" t="s">
        <v>952</v>
      </c>
      <c r="B298" s="213" t="s">
        <v>654</v>
      </c>
      <c r="C298" s="558" t="s">
        <v>259</v>
      </c>
      <c r="D298" s="98"/>
      <c r="E298" s="99"/>
      <c r="F298" s="99"/>
      <c r="G298" s="99"/>
      <c r="H298" s="99"/>
      <c r="I298" s="99"/>
      <c r="J298" s="99"/>
      <c r="K298" s="94"/>
      <c r="L298" s="99"/>
      <c r="M298" s="94"/>
      <c r="N298" s="99"/>
      <c r="O298" s="94"/>
      <c r="P298" s="99"/>
      <c r="Q298" s="94"/>
      <c r="R298" s="99"/>
      <c r="S298" s="94"/>
      <c r="T298" s="99"/>
      <c r="U298" s="94"/>
      <c r="V298" s="99"/>
      <c r="W298" s="94"/>
      <c r="X298" s="99"/>
      <c r="Y298" s="94"/>
      <c r="Z298" s="99"/>
      <c r="AA298" s="312"/>
      <c r="AB298" s="375"/>
      <c r="AC298" s="345"/>
      <c r="AD298" s="345"/>
      <c r="AE298" s="345"/>
      <c r="AF298" s="345"/>
      <c r="AG298" s="345"/>
      <c r="AH298" s="345"/>
      <c r="AI298" s="302"/>
      <c r="AJ298" s="387">
        <f t="shared" si="135"/>
        <v>0</v>
      </c>
      <c r="AK298" s="1304" t="str">
        <f>CONCATENATE(IF(D299&gt;D298," * Initial positive results at ANC 2 and above for Age "&amp;D20&amp;" "&amp;D21&amp;" is more than Initial test at ANC 2 and above"&amp;CHAR(10),""),IF(E299&gt;E298," * Initial positive results at ANC 2 and above for Age "&amp;D20&amp;" "&amp;E21&amp;" is more than Initial test at ANC 2 and above"&amp;CHAR(10),""),IF(F299&gt;F298," * Initial positive results at ANC 2 and above for Age "&amp;F20&amp;" "&amp;F21&amp;" is more than Initial test at ANC 2 and above"&amp;CHAR(10),""),IF(G299&gt;G298," * Initial positive results at ANC 2 and above for Age "&amp;F20&amp;" "&amp;G21&amp;" is more than Initial test at ANC 2 and above"&amp;CHAR(10),""),IF(H299&gt;H298," * Initial positive results at ANC 2 and above for Age "&amp;H20&amp;" "&amp;H21&amp;" is more than Initial test at ANC 2 and above"&amp;CHAR(10),""),IF(I299&gt;I298," * Initial positive results at ANC 2 and above for Age "&amp;H20&amp;" "&amp;I21&amp;" is more than Initial test at ANC 2 and above"&amp;CHAR(10),""),IF(J299&gt;J298," * Initial positive results at ANC 2 and above for Age "&amp;J20&amp;" "&amp;J21&amp;" is more than Initial test at ANC 2 and above"&amp;CHAR(10),""),IF(K299&gt;K298," * Initial positive results at ANC 2 and above for Age "&amp;J20&amp;" "&amp;K21&amp;" is more than Initial test at ANC 2 and above"&amp;CHAR(10),""),IF(L299&gt;L298," * Initial positive results at ANC 2 and above for Age "&amp;L20&amp;" "&amp;L21&amp;" is more than Initial test at ANC 2 and above"&amp;CHAR(10),""),IF(M299&gt;M298," * Initial positive results at ANC 2 and above for Age "&amp;L20&amp;" "&amp;M21&amp;" is more than Initial test at ANC 2 and above"&amp;CHAR(10),""),IF(N299&gt;N298," * Initial positive results at ANC 2 and above for Age "&amp;N20&amp;" "&amp;N21&amp;" is more than Initial test at ANC 2 and above"&amp;CHAR(10),""),IF(O299&gt;O298," * Initial positive results at ANC 2 and above for Age "&amp;N20&amp;" "&amp;O21&amp;" is more than Initial test at ANC 2 and above"&amp;CHAR(10),""),IF(P299&gt;P298," * Initial positive results at ANC 2 and above for Age "&amp;P20&amp;" "&amp;P21&amp;" is more than Initial test at ANC 2 and above"&amp;CHAR(10),""),IF(Q299&gt;Q298," * Initial positive results at ANC 2 and above for Age "&amp;P20&amp;" "&amp;Q21&amp;" is more than Initial test at ANC 2 and above"&amp;CHAR(10),""),IF(R299&gt;R298," * Initial positive results at ANC 2 and above for Age "&amp;R20&amp;" "&amp;R21&amp;" is more than Initial test at ANC 2 and above"&amp;CHAR(10),""),IF(S299&gt;S298," * Initial positive results at ANC 2 and above for Age "&amp;R20&amp;" "&amp;S21&amp;" is more than Initial test at ANC 2 and above"&amp;CHAR(10),""),IF(T299&gt;T298," * Initial positive results at ANC 2 and above for Age "&amp;T20&amp;" "&amp;T21&amp;" is more than Initial test at ANC 2 and above"&amp;CHAR(10),""),IF(U299&gt;U298," * Initial positive results at ANC 2 and above for Age "&amp;T20&amp;" "&amp;U21&amp;" is more than Initial test at ANC 2 and above"&amp;CHAR(10),""),IF(V299&gt;V298," * Initial positive results at ANC 2 and above for Age "&amp;V20&amp;" "&amp;V21&amp;" is more than Initial test at ANC 2 and above"&amp;CHAR(10),""),IF(W299&gt;W298," * Initial positive results at ANC 2 and above for Age "&amp;V20&amp;" "&amp;W21&amp;" is more than Initial test at ANC 2 and above"&amp;CHAR(10),""),IF(X299&gt;X298," * Initial positive results at ANC 2 and above for Age "&amp;X20&amp;" "&amp;X21&amp;" is more than Initial test at ANC 2 and above"&amp;CHAR(10),""),IF(Y299&gt;Y298," * Initial positive results at ANC 2 and above for Age "&amp;X20&amp;" "&amp;Y21&amp;" is more than Initial test at ANC 2 and above"&amp;CHAR(10),""),IF(Z299&gt;Z298," * Initial positive results at ANC 2 and above for Age "&amp;Z20&amp;" "&amp;Z21&amp;" is more than Initial test at ANC 2 and above"&amp;CHAR(10),""),IF(AA299&gt;AA298," * Initial positive results at ANC 2 and above for Age "&amp;Z20&amp;" "&amp;AA21&amp;" is more than Initial test at ANC 2 and above"&amp;CHAR(10),""))</f>
        <v/>
      </c>
      <c r="AL298" s="1205"/>
      <c r="AM298" s="31"/>
      <c r="AN298" s="1165"/>
      <c r="AO298" s="13">
        <v>202</v>
      </c>
      <c r="AP298" s="74"/>
      <c r="AQ298" s="75"/>
    </row>
    <row r="299" spans="1:43" ht="25.5" hidden="1" x14ac:dyDescent="0.75">
      <c r="A299" s="1133"/>
      <c r="B299" s="214" t="s">
        <v>452</v>
      </c>
      <c r="C299" s="559" t="s">
        <v>260</v>
      </c>
      <c r="D299" s="77"/>
      <c r="E299" s="78"/>
      <c r="F299" s="78"/>
      <c r="G299" s="78"/>
      <c r="H299" s="78"/>
      <c r="I299" s="78"/>
      <c r="J299" s="78"/>
      <c r="K299" s="206"/>
      <c r="L299" s="207"/>
      <c r="M299" s="206"/>
      <c r="N299" s="207"/>
      <c r="O299" s="206"/>
      <c r="P299" s="207"/>
      <c r="Q299" s="206"/>
      <c r="R299" s="207"/>
      <c r="S299" s="206"/>
      <c r="T299" s="207"/>
      <c r="U299" s="206"/>
      <c r="V299" s="207"/>
      <c r="W299" s="206"/>
      <c r="X299" s="207"/>
      <c r="Y299" s="206"/>
      <c r="Z299" s="78"/>
      <c r="AA299" s="343"/>
      <c r="AB299" s="375"/>
      <c r="AC299" s="345"/>
      <c r="AD299" s="345"/>
      <c r="AE299" s="345"/>
      <c r="AF299" s="345"/>
      <c r="AG299" s="345"/>
      <c r="AH299" s="345"/>
      <c r="AI299" s="302"/>
      <c r="AJ299" s="385">
        <f t="shared" si="135"/>
        <v>0</v>
      </c>
      <c r="AK299" s="1304"/>
      <c r="AL299" s="1205"/>
      <c r="AM299" s="31"/>
      <c r="AN299" s="1165"/>
      <c r="AO299" s="13">
        <v>203</v>
      </c>
      <c r="AP299" s="74"/>
      <c r="AQ299" s="75"/>
    </row>
    <row r="300" spans="1:43" ht="31.15" hidden="1" customHeight="1" x14ac:dyDescent="0.75">
      <c r="A300" s="1133"/>
      <c r="B300" s="76" t="s">
        <v>457</v>
      </c>
      <c r="C300" s="559" t="s">
        <v>459</v>
      </c>
      <c r="D300" s="77"/>
      <c r="E300" s="78"/>
      <c r="F300" s="78"/>
      <c r="G300" s="78"/>
      <c r="H300" s="78"/>
      <c r="I300" s="78"/>
      <c r="J300" s="78"/>
      <c r="K300" s="79"/>
      <c r="L300" s="78"/>
      <c r="M300" s="79"/>
      <c r="N300" s="78"/>
      <c r="O300" s="79"/>
      <c r="P300" s="78"/>
      <c r="Q300" s="79"/>
      <c r="R300" s="78"/>
      <c r="S300" s="79"/>
      <c r="T300" s="78"/>
      <c r="U300" s="79"/>
      <c r="V300" s="78"/>
      <c r="W300" s="79"/>
      <c r="X300" s="78"/>
      <c r="Y300" s="79"/>
      <c r="Z300" s="78"/>
      <c r="AA300" s="343"/>
      <c r="AB300" s="375"/>
      <c r="AC300" s="345"/>
      <c r="AD300" s="345"/>
      <c r="AE300" s="345"/>
      <c r="AF300" s="345"/>
      <c r="AG300" s="345"/>
      <c r="AH300" s="345"/>
      <c r="AI300" s="302"/>
      <c r="AJ300" s="385">
        <f t="shared" si="135"/>
        <v>0</v>
      </c>
      <c r="AK300" s="30" t="str">
        <f>CONCATENATE(IF(D301&gt;D300," * Retesting at ANC 2 and above For age "&amp;$D$20&amp;" "&amp;$D$21&amp;" is less than  than Retesting positive result at ANC 2 and above"&amp;CHAR(10),""),IF(E301&gt;E300," * Retesting at ANC 2 and above For age "&amp;$D$20&amp;" "&amp;$E$21&amp;" is less than  than Retesting positive result at ANC 2 and above"&amp;CHAR(10),""),IF(F301&gt;F300," * Retesting at ANC 2 and above For age "&amp;$F$20&amp;" "&amp;$F$21&amp;" is less than  than Retesting positive result at ANC 2 and above"&amp;CHAR(10),""),IF(G301&gt;G300," * Retesting at ANC 2 and above For age "&amp;$F$20&amp;" "&amp;$G$21&amp;" is less than  than Retesting positive result at ANC 2 and above"&amp;CHAR(10),""),IF(H301&gt;H300," * Retesting at ANC 2 and above For age "&amp;$H$20&amp;" "&amp;$H$21&amp;" is less than  than Retesting positive result at ANC 2 and above"&amp;CHAR(10),""),IF(I301&gt;I300," * Retesting at ANC 2 and above For age "&amp;$H$20&amp;" "&amp;$I$21&amp;" is less than  than Retesting positive result at ANC 2 and above"&amp;CHAR(10),""),IF(J301&gt;J300," * Retesting at ANC 2 and above For age "&amp;$J$20&amp;" "&amp;$J$21&amp;" is less than  than Retesting positive result at ANC 2 and above"&amp;CHAR(10),""),IF(K301&gt;K300," * Retesting at ANC 2 and above For age "&amp;$J$20&amp;" "&amp;$K$21&amp;" is less than  than Retesting positive result at ANC 2 and above"&amp;CHAR(10),""),IF(L301&gt;L300," * Retesting at ANC 2 and above For age "&amp;$L$20&amp;" "&amp;$L$21&amp;" is less than  than Retesting positive result at ANC 2 and above"&amp;CHAR(10),""),IF(M301&gt;M300," * Retesting at ANC 2 and above For age "&amp;$L$20&amp;" "&amp;$M$21&amp;" is less than  than Retesting positive result at ANC 2 and above"&amp;CHAR(10),""),IF(N301&gt;N300," * Retesting at ANC 2 and above For age "&amp;$N$20&amp;" "&amp;$N$21&amp;" is less than  than Retesting positive result at ANC 2 and above"&amp;CHAR(10),""),IF(O301&gt;O300," * Retesting at ANC 2 and above For age "&amp;$N$20&amp;" "&amp;$O$21&amp;" is less than  than Retesting positive result at ANC 2 and above"&amp;CHAR(10),""),IF(P301&gt;P300," * Retesting at ANC 2 and above For age "&amp;$P$20&amp;" "&amp;$P$21&amp;" is less than  than Retesting positive result at ANC 2 and above"&amp;CHAR(10),""),IF(Q301&gt;Q300," * Retesting at ANC 2 and above For age "&amp;$P$20&amp;" "&amp;$Q$21&amp;" is less than  than Retesting positive result at ANC 2 and above"&amp;CHAR(10),""),IF(R301&gt;R300," * Retesting at ANC 2 and above For age "&amp;$R$20&amp;" "&amp;$R$21&amp;" is less than  than Retesting positive result at ANC 2 and above"&amp;CHAR(10),""),IF(S301&gt;S300," * Retesting at ANC 2 and above For age "&amp;$R$20&amp;" "&amp;$S$21&amp;" is less than  than Retesting positive result at ANC 2 and above"&amp;CHAR(10),""),IF(T301&gt;T300," * Retesting at ANC 2 and above For age "&amp;$T$20&amp;" "&amp;$T$21&amp;" is less than  than Retesting positive result at ANC 2 and above"&amp;CHAR(10),""),IF(U301&gt;U300," * Retesting at ANC 2 and above For age "&amp;$T$20&amp;" "&amp;$U$21&amp;" is less than  than Retesting positive result at ANC 2 and above"&amp;CHAR(10),""),IF(V301&gt;V300," * Retesting at ANC 2 and above For age "&amp;$V$20&amp;" "&amp;$V$21&amp;" is less than  than Retesting positive result at ANC 2 and above"&amp;CHAR(10),""),IF(W301&gt;W300," * Retesting at ANC 2 and above For age "&amp;$V$20&amp;" "&amp;$W$21&amp;" is less than  than Retesting positive result at ANC 2 and above"&amp;CHAR(10),""),IF(X301&gt;X300," * Retesting at ANC 2 and above For age "&amp;$X$20&amp;" "&amp;$X$21&amp;" is less than  than Retesting positive result at ANC 2 and above"&amp;CHAR(10),""),IF(Y301&gt;Y300," * Retesting at ANC 2 and above For age "&amp;$X$20&amp;" "&amp;$Y$21&amp;" is less than  than Retesting positive result at ANC 2 and above"&amp;CHAR(10),""),IF(Z301&gt;Z300," * Retesting at ANC 2 and above For age "&amp;$Z$20&amp;" "&amp;$Z$21&amp;" is less than  than Retesting positive result at ANC 2 and above"&amp;CHAR(10),""),IF(AA301&gt;AA300," * Retesting at ANC 2 and above For age "&amp;$Z$20&amp;" "&amp;$AA$21&amp;" is less than  than Retesting positive result at ANC 2 and above"&amp;CHAR(10),""))</f>
        <v/>
      </c>
      <c r="AL300" s="1205"/>
      <c r="AM300" s="31"/>
      <c r="AN300" s="1165"/>
      <c r="AO300" s="13">
        <v>204</v>
      </c>
      <c r="AP300" s="74"/>
      <c r="AQ300" s="75"/>
    </row>
    <row r="301" spans="1:43" ht="25.9" hidden="1" thickBot="1" x14ac:dyDescent="0.8">
      <c r="A301" s="1134"/>
      <c r="B301" s="95" t="s">
        <v>458</v>
      </c>
      <c r="C301" s="560" t="s">
        <v>460</v>
      </c>
      <c r="D301" s="103"/>
      <c r="E301" s="102"/>
      <c r="F301" s="102"/>
      <c r="G301" s="102"/>
      <c r="H301" s="102"/>
      <c r="I301" s="102"/>
      <c r="J301" s="215"/>
      <c r="K301" s="97"/>
      <c r="L301" s="215"/>
      <c r="M301" s="97"/>
      <c r="N301" s="215"/>
      <c r="O301" s="97"/>
      <c r="P301" s="215"/>
      <c r="Q301" s="97"/>
      <c r="R301" s="215"/>
      <c r="S301" s="97"/>
      <c r="T301" s="215"/>
      <c r="U301" s="97"/>
      <c r="V301" s="215"/>
      <c r="W301" s="97"/>
      <c r="X301" s="215"/>
      <c r="Y301" s="97"/>
      <c r="Z301" s="102"/>
      <c r="AA301" s="313"/>
      <c r="AB301" s="375"/>
      <c r="AC301" s="345"/>
      <c r="AD301" s="345"/>
      <c r="AE301" s="345"/>
      <c r="AF301" s="345"/>
      <c r="AG301" s="345"/>
      <c r="AH301" s="345"/>
      <c r="AI301" s="302"/>
      <c r="AJ301" s="386">
        <f t="shared" si="135"/>
        <v>0</v>
      </c>
      <c r="AK301" s="130"/>
      <c r="AL301" s="1205"/>
      <c r="AM301" s="31"/>
      <c r="AN301" s="1165"/>
      <c r="AO301" s="13">
        <v>205</v>
      </c>
      <c r="AP301" s="74"/>
      <c r="AQ301" s="75"/>
    </row>
    <row r="302" spans="1:43" ht="25.5" hidden="1" x14ac:dyDescent="0.75">
      <c r="A302" s="1136" t="s">
        <v>461</v>
      </c>
      <c r="B302" s="91" t="s">
        <v>655</v>
      </c>
      <c r="C302" s="558" t="s">
        <v>344</v>
      </c>
      <c r="D302" s="98"/>
      <c r="E302" s="99"/>
      <c r="F302" s="99"/>
      <c r="G302" s="99"/>
      <c r="H302" s="99"/>
      <c r="I302" s="99"/>
      <c r="J302" s="99"/>
      <c r="K302" s="94"/>
      <c r="L302" s="99"/>
      <c r="M302" s="94"/>
      <c r="N302" s="99"/>
      <c r="O302" s="94"/>
      <c r="P302" s="99"/>
      <c r="Q302" s="94"/>
      <c r="R302" s="99"/>
      <c r="S302" s="94"/>
      <c r="T302" s="99"/>
      <c r="U302" s="94"/>
      <c r="V302" s="99"/>
      <c r="W302" s="94"/>
      <c r="X302" s="99"/>
      <c r="Y302" s="94"/>
      <c r="Z302" s="99"/>
      <c r="AA302" s="312"/>
      <c r="AB302" s="375"/>
      <c r="AC302" s="345"/>
      <c r="AD302" s="345"/>
      <c r="AE302" s="345"/>
      <c r="AF302" s="345"/>
      <c r="AG302" s="345"/>
      <c r="AH302" s="345"/>
      <c r="AI302" s="302"/>
      <c r="AJ302" s="387">
        <f t="shared" si="135"/>
        <v>0</v>
      </c>
      <c r="AK302" s="1304" t="str">
        <f>CONCATENATE(IF(D303&gt;D302," * F06-08 for Age "&amp;D20&amp;" "&amp;D21&amp;" is more than F06-07"&amp;CHAR(10),""),IF(E303&gt;E302," * F06-08 for Age "&amp;D20&amp;" "&amp;E21&amp;" is more than F06-07"&amp;CHAR(10),""),IF(F303&gt;F302," * F06-08 for Age "&amp;F20&amp;" "&amp;F21&amp;" is more than F06-07"&amp;CHAR(10),""),IF(G303&gt;G302," * F06-08 for Age "&amp;F20&amp;" "&amp;G21&amp;" is more than F06-07"&amp;CHAR(10),""),IF(H303&gt;H302," * F06-08 for Age "&amp;H20&amp;" "&amp;H21&amp;" is more than F06-07"&amp;CHAR(10),""),IF(I303&gt;I302," * F06-08 for Age "&amp;H20&amp;" "&amp;I21&amp;" is more than F06-07"&amp;CHAR(10),""),IF(J303&gt;J302," * F06-08 for Age "&amp;J20&amp;" "&amp;J21&amp;" is more than F06-07"&amp;CHAR(10),""),IF(K303&gt;K302," * F06-08 for Age "&amp;J20&amp;" "&amp;K21&amp;" is more than F06-07"&amp;CHAR(10),""),IF(L303&gt;L302," * F06-08 for Age "&amp;L20&amp;" "&amp;L21&amp;" is more than F06-07"&amp;CHAR(10),""),IF(M303&gt;M302," * F06-08 for Age "&amp;L20&amp;" "&amp;M21&amp;" is more than F06-07"&amp;CHAR(10),""),IF(N303&gt;N302," * F06-08 for Age "&amp;N20&amp;" "&amp;N21&amp;" is more than F06-07"&amp;CHAR(10),""),IF(O303&gt;O302," * F06-08 for Age "&amp;N20&amp;" "&amp;O21&amp;" is more than F06-07"&amp;CHAR(10),""),IF(P303&gt;P302," * F06-08 for Age "&amp;P20&amp;" "&amp;P21&amp;" is more than F06-07"&amp;CHAR(10),""),IF(Q303&gt;Q302," * F06-08 for Age "&amp;P20&amp;" "&amp;Q21&amp;" is more than F06-07"&amp;CHAR(10),""),IF(R303&gt;R302," * F06-08 for Age "&amp;R20&amp;" "&amp;R21&amp;" is more than F06-07"&amp;CHAR(10),""),IF(S303&gt;S302," * F06-08 for Age "&amp;R20&amp;" "&amp;S21&amp;" is more than F06-07"&amp;CHAR(10),""),IF(T303&gt;T302," * F06-08 for Age "&amp;T20&amp;" "&amp;T21&amp;" is more than F06-07"&amp;CHAR(10),""),IF(U303&gt;U302," * F06-08 for Age "&amp;T20&amp;" "&amp;U21&amp;" is more than F06-07"&amp;CHAR(10),""),IF(V303&gt;V302," * F06-08 for Age "&amp;V20&amp;" "&amp;V21&amp;" is more than F06-07"&amp;CHAR(10),""),IF(W303&gt;W302," * F06-08 for Age "&amp;V20&amp;" "&amp;W21&amp;" is more than F06-07"&amp;CHAR(10),""),IF(X303&gt;X302," * F06-08 for Age "&amp;X20&amp;" "&amp;X21&amp;" is more than F06-07"&amp;CHAR(10),""),IF(Y303&gt;Y302," * F06-08 for Age "&amp;X20&amp;" "&amp;Y21&amp;" is more than F06-07"&amp;CHAR(10),""),IF(Z303&gt;Z302," * F06-08 for Age "&amp;Z20&amp;" "&amp;Z21&amp;" is more than F06-07"&amp;CHAR(10),""),IF(AA303&gt;AA302," * F06-08 for Age "&amp;Z20&amp;" "&amp;AA21&amp;" is more than F06-07"&amp;CHAR(10),""),IF(AJ303&gt;AJ302," * Total F06-08 is more than Total F06-07"&amp;CHAR(10),""))</f>
        <v/>
      </c>
      <c r="AL302" s="1205"/>
      <c r="AM302" s="31"/>
      <c r="AN302" s="1165"/>
      <c r="AO302" s="13">
        <v>206</v>
      </c>
      <c r="AP302" s="74"/>
      <c r="AQ302" s="75"/>
    </row>
    <row r="303" spans="1:43" ht="25.5" hidden="1" x14ac:dyDescent="0.75">
      <c r="A303" s="1137"/>
      <c r="B303" s="214" t="s">
        <v>656</v>
      </c>
      <c r="C303" s="559" t="s">
        <v>345</v>
      </c>
      <c r="D303" s="77"/>
      <c r="E303" s="78"/>
      <c r="F303" s="78"/>
      <c r="G303" s="78"/>
      <c r="H303" s="78"/>
      <c r="I303" s="78"/>
      <c r="J303" s="78"/>
      <c r="K303" s="206"/>
      <c r="L303" s="207"/>
      <c r="M303" s="206"/>
      <c r="N303" s="207"/>
      <c r="O303" s="206"/>
      <c r="P303" s="207"/>
      <c r="Q303" s="206"/>
      <c r="R303" s="207"/>
      <c r="S303" s="206"/>
      <c r="T303" s="207"/>
      <c r="U303" s="206"/>
      <c r="V303" s="207"/>
      <c r="W303" s="206"/>
      <c r="X303" s="207"/>
      <c r="Y303" s="206"/>
      <c r="Z303" s="207"/>
      <c r="AA303" s="343"/>
      <c r="AB303" s="375"/>
      <c r="AC303" s="345"/>
      <c r="AD303" s="345"/>
      <c r="AE303" s="345"/>
      <c r="AF303" s="345"/>
      <c r="AG303" s="345"/>
      <c r="AH303" s="345"/>
      <c r="AI303" s="302"/>
      <c r="AJ303" s="385">
        <f t="shared" si="135"/>
        <v>0</v>
      </c>
      <c r="AK303" s="1304"/>
      <c r="AL303" s="1205"/>
      <c r="AM303" s="31"/>
      <c r="AN303" s="1165"/>
      <c r="AO303" s="13">
        <v>207</v>
      </c>
      <c r="AP303" s="74"/>
      <c r="AQ303" s="75"/>
    </row>
    <row r="304" spans="1:43" ht="25.5" hidden="1" x14ac:dyDescent="0.75">
      <c r="A304" s="1137"/>
      <c r="B304" s="76" t="s">
        <v>657</v>
      </c>
      <c r="C304" s="559" t="s">
        <v>608</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43"/>
      <c r="AB304" s="375"/>
      <c r="AC304" s="345"/>
      <c r="AD304" s="345"/>
      <c r="AE304" s="345"/>
      <c r="AF304" s="345"/>
      <c r="AG304" s="345"/>
      <c r="AH304" s="345"/>
      <c r="AI304" s="302"/>
      <c r="AJ304" s="385">
        <f t="shared" si="135"/>
        <v>0</v>
      </c>
      <c r="AK304" s="30" t="str">
        <f>CONCATENATE(IF(D305&gt;D304," * Retesting at L&amp;D For age "&amp;$D$20&amp;" "&amp;$D$21&amp;" is less than  than Retesting positive result at L&amp;D"&amp;CHAR(10),""),IF(E305&gt;E304," * Retesting at L&amp;D For age "&amp;$D$20&amp;" "&amp;$E$21&amp;" is less than  than Retesting positive result at L&amp;D"&amp;CHAR(10),""),IF(F305&gt;F304," * Retesting at L&amp;D For age "&amp;$F$20&amp;" "&amp;$F$21&amp;" is less than  than Retesting positive result at L&amp;D"&amp;CHAR(10),""),IF(G305&gt;G304," * Retesting at L&amp;D For age "&amp;$F$20&amp;" "&amp;$G$21&amp;" is less than  than Retesting positive result at L&amp;D"&amp;CHAR(10),""),IF(H305&gt;H304," * Retesting at L&amp;D For age "&amp;$H$20&amp;" "&amp;$H$21&amp;" is less than  than Retesting positive result at L&amp;D"&amp;CHAR(10),""),IF(I305&gt;I304," * Retesting at L&amp;D For age "&amp;$H$20&amp;" "&amp;$I$21&amp;" is less than  than Retesting positive result at L&amp;D"&amp;CHAR(10),""),IF(J305&gt;J304," * Retesting at L&amp;D For age "&amp;$J$20&amp;" "&amp;$J$21&amp;" is less than  than Retesting positive result at L&amp;D"&amp;CHAR(10),""),IF(K305&gt;K304," * Retesting at L&amp;D For age "&amp;$J$20&amp;" "&amp;$K$21&amp;" is less than  than Retesting positive result at L&amp;D"&amp;CHAR(10),""),IF(L305&gt;L304," * Retesting at L&amp;D For age "&amp;$L$20&amp;" "&amp;$L$21&amp;" is less than  than Retesting positive result at L&amp;D"&amp;CHAR(10),""),IF(M305&gt;M304," * Retesting at L&amp;D For age "&amp;$L$20&amp;" "&amp;$M$21&amp;" is less than  than Retesting positive result at L&amp;D"&amp;CHAR(10),""),IF(N305&gt;N304," * Retesting at L&amp;D For age "&amp;$N$20&amp;" "&amp;$N$21&amp;" is less than  than Retesting positive result at L&amp;D"&amp;CHAR(10),""),IF(O305&gt;O304," * Retesting at L&amp;D For age "&amp;$N$20&amp;" "&amp;$O$21&amp;" is less than  than Retesting positive result at L&amp;D"&amp;CHAR(10),""),IF(P305&gt;P304," * Retesting at L&amp;D For age "&amp;$P$20&amp;" "&amp;$P$21&amp;" is less than  than Retesting positive result at L&amp;D"&amp;CHAR(10),""),IF(Q305&gt;Q304," * Retesting at L&amp;D For age "&amp;$P$20&amp;" "&amp;$Q$21&amp;" is less than  than Retesting positive result at L&amp;D"&amp;CHAR(10),""),IF(R305&gt;R304," * Retesting at L&amp;D For age "&amp;$R$20&amp;" "&amp;$R$21&amp;" is less than  than Retesting positive result at L&amp;D"&amp;CHAR(10),""),IF(S305&gt;S304," * Retesting at L&amp;D For age "&amp;$R$20&amp;" "&amp;$S$21&amp;" is less than  than Retesting positive result at L&amp;D"&amp;CHAR(10),""),IF(T305&gt;T304," * Retesting at L&amp;D For age "&amp;$T$20&amp;" "&amp;$T$21&amp;" is less than  than Retesting positive result at L&amp;D"&amp;CHAR(10),""),IF(U305&gt;U304," * Retesting at L&amp;D For age "&amp;$T$20&amp;" "&amp;$U$21&amp;" is less than  than Retesting positive result at L&amp;D"&amp;CHAR(10),""),IF(V305&gt;V304," * Retesting at L&amp;D For age "&amp;$V$20&amp;" "&amp;$V$21&amp;" is less than  than Retesting positive result at L&amp;D"&amp;CHAR(10),""),IF(W305&gt;W304," * Retesting at L&amp;D For age "&amp;$V$20&amp;" "&amp;$W$21&amp;" is less than  than Retesting positive result at L&amp;D"&amp;CHAR(10),""),IF(X305&gt;X304," * Retesting at L&amp;D For age "&amp;$X$20&amp;" "&amp;$X$21&amp;" is less than  than Retesting positive result at L&amp;D"&amp;CHAR(10),""),IF(Y305&gt;Y304," * Retesting at L&amp;D For age "&amp;$X$20&amp;" "&amp;$Y$21&amp;" is less than  than Retesting positive result at L&amp;D"&amp;CHAR(10),""),IF(Z305&gt;Z304," * Retesting at L&amp;D For age "&amp;$Z$20&amp;" "&amp;$Z$21&amp;" is less than  than Retesting positive result at L&amp;D"&amp;CHAR(10),""),IF(AA305&gt;AA304," * Retesting at L&amp;D For age "&amp;$Z$20&amp;" "&amp;$AA$21&amp;" is less than  than Retesting positive result at L&amp;D"&amp;CHAR(10),""))</f>
        <v/>
      </c>
      <c r="AL304" s="1205"/>
      <c r="AM304" s="31"/>
      <c r="AN304" s="1165"/>
      <c r="AO304" s="13">
        <v>208</v>
      </c>
      <c r="AP304" s="74"/>
      <c r="AQ304" s="75"/>
    </row>
    <row r="305" spans="1:43" ht="25.9" hidden="1" thickBot="1" x14ac:dyDescent="0.8">
      <c r="A305" s="1138"/>
      <c r="B305" s="95" t="s">
        <v>658</v>
      </c>
      <c r="C305" s="560" t="s">
        <v>609</v>
      </c>
      <c r="D305" s="103"/>
      <c r="E305" s="102"/>
      <c r="F305" s="102"/>
      <c r="G305" s="102"/>
      <c r="H305" s="102"/>
      <c r="I305" s="102"/>
      <c r="J305" s="102"/>
      <c r="K305" s="97"/>
      <c r="L305" s="215"/>
      <c r="M305" s="97"/>
      <c r="N305" s="215"/>
      <c r="O305" s="97"/>
      <c r="P305" s="215"/>
      <c r="Q305" s="97"/>
      <c r="R305" s="215"/>
      <c r="S305" s="97"/>
      <c r="T305" s="215"/>
      <c r="U305" s="97"/>
      <c r="V305" s="215"/>
      <c r="W305" s="97"/>
      <c r="X305" s="215"/>
      <c r="Y305" s="97"/>
      <c r="Z305" s="215"/>
      <c r="AA305" s="313"/>
      <c r="AB305" s="375"/>
      <c r="AC305" s="345"/>
      <c r="AD305" s="345"/>
      <c r="AE305" s="345"/>
      <c r="AF305" s="345"/>
      <c r="AG305" s="345"/>
      <c r="AH305" s="345"/>
      <c r="AI305" s="302"/>
      <c r="AJ305" s="385">
        <f t="shared" si="135"/>
        <v>0</v>
      </c>
      <c r="AK305" s="116"/>
      <c r="AL305" s="1205"/>
      <c r="AM305" s="31"/>
      <c r="AN305" s="1165"/>
      <c r="AO305" s="13">
        <v>209</v>
      </c>
      <c r="AP305" s="74"/>
      <c r="AQ305" s="75"/>
    </row>
    <row r="306" spans="1:43" ht="25.5" hidden="1" x14ac:dyDescent="0.75">
      <c r="A306" s="1211" t="s">
        <v>464</v>
      </c>
      <c r="B306" s="91" t="s">
        <v>659</v>
      </c>
      <c r="C306" s="558" t="s">
        <v>261</v>
      </c>
      <c r="D306" s="98"/>
      <c r="E306" s="99"/>
      <c r="F306" s="99"/>
      <c r="G306" s="99"/>
      <c r="H306" s="99"/>
      <c r="I306" s="99"/>
      <c r="J306" s="99"/>
      <c r="K306" s="94"/>
      <c r="L306" s="99"/>
      <c r="M306" s="94"/>
      <c r="N306" s="99"/>
      <c r="O306" s="94"/>
      <c r="P306" s="99"/>
      <c r="Q306" s="94"/>
      <c r="R306" s="99"/>
      <c r="S306" s="94"/>
      <c r="T306" s="99"/>
      <c r="U306" s="94"/>
      <c r="V306" s="99"/>
      <c r="W306" s="94"/>
      <c r="X306" s="99"/>
      <c r="Y306" s="94"/>
      <c r="Z306" s="99"/>
      <c r="AA306" s="312"/>
      <c r="AB306" s="375"/>
      <c r="AC306" s="345"/>
      <c r="AD306" s="345"/>
      <c r="AE306" s="345"/>
      <c r="AF306" s="345"/>
      <c r="AG306" s="345"/>
      <c r="AH306" s="345"/>
      <c r="AI306" s="302"/>
      <c r="AJ306" s="387">
        <f t="shared" si="135"/>
        <v>0</v>
      </c>
      <c r="AK306" s="1304" t="str">
        <f>CONCATENATE(IF(D307&gt;D306," * Positive at PNC &lt;=6wks for Age "&amp;D20&amp;" "&amp;D21&amp;" is more than Initial test at PNC &lt;= 6wks"&amp;CHAR(10),""),IF(E307&gt;E306," * Positive at PNC &lt;=6wks for Age "&amp;D20&amp;" "&amp;E21&amp;" is more than Initial test at PNC &lt;= 6wks"&amp;CHAR(10),""),IF(F307&gt;F306," * Positive at PNC &lt;=6wks for Age "&amp;F20&amp;" "&amp;F21&amp;" is more than Initial test at PNC &lt;= 6wks"&amp;CHAR(10),""),IF(G307&gt;G306," * Positive at PNC &lt;=6wks for Age "&amp;F20&amp;" "&amp;G21&amp;" is more than Initial test at PNC &lt;= 6wks"&amp;CHAR(10),""),IF(H307&gt;H306," * Positive at PNC &lt;=6wks for Age "&amp;H20&amp;" "&amp;H21&amp;" is more than Initial test at PNC &lt;= 6wks"&amp;CHAR(10),""),IF(I307&gt;I306," * Positive at PNC &lt;=6wks for Age "&amp;H20&amp;" "&amp;I21&amp;" is more than Initial test at PNC &lt;= 6wks"&amp;CHAR(10),""),IF(J307&gt;J306," * Positive at PNC &lt;=6wks for Age "&amp;J20&amp;" "&amp;J21&amp;" is more than Initial test at PNC &lt;= 6wks"&amp;CHAR(10),""),IF(K307&gt;K306," * Positive at PNC &lt;=6wks for Age "&amp;J20&amp;" "&amp;K21&amp;" is more than Initial test at PNC &lt;= 6wks"&amp;CHAR(10),""),IF(L307&gt;L306," * Positive at PNC &lt;=6wks for Age "&amp;L20&amp;" "&amp;L21&amp;" is more than Initial test at PNC &lt;= 6wks"&amp;CHAR(10),""),IF(M307&gt;M306," * Positive at PNC &lt;=6wks for Age "&amp;L20&amp;" "&amp;M21&amp;" is more than Initial test at PNC &lt;= 6wks"&amp;CHAR(10),""),IF(N307&gt;N306," * Positive at PNC &lt;=6wks for Age "&amp;N20&amp;" "&amp;N21&amp;" is more than Initial test at PNC &lt;= 6wks"&amp;CHAR(10),""),IF(O307&gt;O306," * Positive at PNC &lt;=6wks for Age "&amp;N20&amp;" "&amp;O21&amp;" is more than Initial test at PNC &lt;= 6wks"&amp;CHAR(10),""),IF(P307&gt;P306," * Positive at PNC &lt;=6wks for Age "&amp;P20&amp;" "&amp;P21&amp;" is more than Initial test at PNC &lt;= 6wks"&amp;CHAR(10),""),IF(Q307&gt;Q306," * Positive at PNC &lt;=6wks for Age "&amp;P20&amp;" "&amp;Q21&amp;" is more than Initial test at PNC &lt;= 6wks"&amp;CHAR(10),""),IF(R307&gt;R306," * Positive at PNC &lt;=6wks for Age "&amp;R20&amp;" "&amp;R21&amp;" is more than Initial test at PNC &lt;= 6wks"&amp;CHAR(10),""),IF(S307&gt;S306," * Positive at PNC &lt;=6wks for Age "&amp;R20&amp;" "&amp;S21&amp;" is more than Initial test at PNC &lt;= 6wks"&amp;CHAR(10),""),IF(T307&gt;T306," * Positive at PNC &lt;=6wks for Age "&amp;T20&amp;" "&amp;T21&amp;" is more than Initial test at PNC &lt;= 6wks"&amp;CHAR(10),""),IF(U307&gt;U306," * Positive at PNC &lt;=6wks for Age "&amp;T20&amp;" "&amp;U21&amp;" is more than Initial test at PNC &lt;= 6wks"&amp;CHAR(10),""),IF(V307&gt;V306," * Positive at PNC &lt;=6wks for Age "&amp;V20&amp;" "&amp;V21&amp;" is more than Initial test at PNC &lt;= 6wks"&amp;CHAR(10),""),IF(W307&gt;W306," * Positive at PNC &lt;=6wks for Age "&amp;V20&amp;" "&amp;W21&amp;" is more than Initial test at PNC &lt;= 6wks"&amp;CHAR(10),""),IF(X307&gt;X306," * Positive at PNC &lt;=6wks for Age "&amp;X20&amp;" "&amp;X21&amp;" is more than Initial test at PNC &lt;= 6wks"&amp;CHAR(10),""),IF(Y307&gt;Y306," * Positive at PNC &lt;=6wks for Age "&amp;X20&amp;" "&amp;Y21&amp;" is more than Initial test at PNC &lt;= 6wks"&amp;CHAR(10),""),IF(Z307&gt;Z306," * Positive at PNC &lt;=6wks for Age "&amp;Z20&amp;" "&amp;Z21&amp;" is more than Initial test at PNC &lt;= 6wks"&amp;CHAR(10),""),IF(AA307&gt;AA306," * Positive at PNC &lt;=6wks for Age "&amp;Z20&amp;" "&amp;AA21&amp;" is more than Initial test at PNC &lt;= 6wks"&amp;CHAR(10),""))</f>
        <v/>
      </c>
      <c r="AL306" s="1205"/>
      <c r="AM306" s="31"/>
      <c r="AN306" s="1165"/>
      <c r="AO306" s="13">
        <v>210</v>
      </c>
      <c r="AP306" s="74"/>
      <c r="AQ306" s="75"/>
    </row>
    <row r="307" spans="1:43" ht="25.5" hidden="1" x14ac:dyDescent="0.75">
      <c r="A307" s="1212"/>
      <c r="B307" s="214" t="s">
        <v>660</v>
      </c>
      <c r="C307" s="559" t="s">
        <v>263</v>
      </c>
      <c r="D307" s="216"/>
      <c r="E307" s="217"/>
      <c r="F307" s="217"/>
      <c r="G307" s="217"/>
      <c r="H307" s="217"/>
      <c r="I307" s="217"/>
      <c r="J307" s="207"/>
      <c r="K307" s="206"/>
      <c r="L307" s="207"/>
      <c r="M307" s="206"/>
      <c r="N307" s="207"/>
      <c r="O307" s="206"/>
      <c r="P307" s="207"/>
      <c r="Q307" s="206"/>
      <c r="R307" s="207"/>
      <c r="S307" s="206"/>
      <c r="T307" s="207"/>
      <c r="U307" s="206"/>
      <c r="V307" s="207"/>
      <c r="W307" s="206"/>
      <c r="X307" s="207"/>
      <c r="Y307" s="206"/>
      <c r="Z307" s="207"/>
      <c r="AA307" s="343"/>
      <c r="AB307" s="375"/>
      <c r="AC307" s="345"/>
      <c r="AD307" s="345"/>
      <c r="AE307" s="345"/>
      <c r="AF307" s="345"/>
      <c r="AG307" s="345"/>
      <c r="AH307" s="345"/>
      <c r="AI307" s="302"/>
      <c r="AJ307" s="385">
        <f t="shared" si="135"/>
        <v>0</v>
      </c>
      <c r="AK307" s="1304"/>
      <c r="AL307" s="1205"/>
      <c r="AM307" s="31"/>
      <c r="AN307" s="1165"/>
      <c r="AO307" s="13">
        <v>211</v>
      </c>
      <c r="AP307" s="74"/>
      <c r="AQ307" s="75"/>
    </row>
    <row r="308" spans="1:43" s="61" customFormat="1" ht="25.5" hidden="1" x14ac:dyDescent="0.75">
      <c r="A308" s="1212"/>
      <c r="B308" s="76" t="s">
        <v>462</v>
      </c>
      <c r="C308" s="559" t="s">
        <v>465</v>
      </c>
      <c r="D308" s="77"/>
      <c r="E308" s="78"/>
      <c r="F308" s="78"/>
      <c r="G308" s="78"/>
      <c r="H308" s="78"/>
      <c r="I308" s="78"/>
      <c r="J308" s="78"/>
      <c r="K308" s="79"/>
      <c r="L308" s="78"/>
      <c r="M308" s="79"/>
      <c r="N308" s="78"/>
      <c r="O308" s="79"/>
      <c r="P308" s="78"/>
      <c r="Q308" s="79"/>
      <c r="R308" s="78"/>
      <c r="S308" s="79"/>
      <c r="T308" s="78"/>
      <c r="U308" s="79"/>
      <c r="V308" s="78"/>
      <c r="W308" s="79"/>
      <c r="X308" s="78"/>
      <c r="Y308" s="79"/>
      <c r="Z308" s="78"/>
      <c r="AA308" s="343"/>
      <c r="AB308" s="375"/>
      <c r="AC308" s="345"/>
      <c r="AD308" s="345"/>
      <c r="AE308" s="345"/>
      <c r="AF308" s="345"/>
      <c r="AG308" s="345"/>
      <c r="AH308" s="345"/>
      <c r="AI308" s="302"/>
      <c r="AJ308" s="385">
        <f t="shared" si="135"/>
        <v>0</v>
      </c>
      <c r="AK308" s="30" t="str">
        <f>CONCATENATE(IF(D309&gt;D308," * Retesting at PNC &lt; = 6 weeks For age "&amp;$D$20&amp;" "&amp;$D$21&amp;" is less than  than Retesting positive result at PNC &lt; = 6 weeks"&amp;CHAR(10),""),IF(E309&gt;E308," * Retesting at PNC &lt; = 6 weeks For age "&amp;$D$20&amp;" "&amp;$E$21&amp;" is less than  than Retesting positive result at PNC &lt; = 6 weeks"&amp;CHAR(10),""),IF(F309&gt;F308," * Retesting at PNC &lt; = 6 weeks For age "&amp;$F$20&amp;" "&amp;$F$21&amp;" is less than  than Retesting positive result at PNC &lt; = 6 weeks"&amp;CHAR(10),""),IF(G309&gt;G308," * Retesting at PNC &lt; = 6 weeks For age "&amp;$F$20&amp;" "&amp;$G$21&amp;" is less than  than Retesting positive result at PNC &lt; = 6 weeks"&amp;CHAR(10),""),IF(H309&gt;H308," * Retesting at PNC &lt; = 6 weeks For age "&amp;$H$20&amp;" "&amp;$H$21&amp;" is less than  than Retesting positive result at PNC &lt; = 6 weeks"&amp;CHAR(10),""),IF(I309&gt;I308," * Retesting at PNC &lt; = 6 weeks For age "&amp;$H$20&amp;" "&amp;$I$21&amp;" is less than  than Retesting positive result at PNC &lt; = 6 weeks"&amp;CHAR(10),""),IF(J309&gt;J308," * Retesting at PNC &lt; = 6 weeks For age "&amp;$J$20&amp;" "&amp;$J$21&amp;" is less than  than Retesting positive result at PNC &lt; = 6 weeks"&amp;CHAR(10),""),IF(K309&gt;K308," * Retesting at PNC &lt; = 6 weeks For age "&amp;$J$20&amp;" "&amp;$K$21&amp;" is less than  than Retesting positive result at PNC &lt; = 6 weeks"&amp;CHAR(10),""),IF(L309&gt;L308," * Retesting at PNC &lt; = 6 weeks For age "&amp;$L$20&amp;" "&amp;$L$21&amp;" is less than  than Retesting positive result at PNC &lt; = 6 weeks"&amp;CHAR(10),""),IF(M309&gt;M308," * Retesting at PNC &lt; = 6 weeks For age "&amp;$L$20&amp;" "&amp;$M$21&amp;" is less than  than Retesting positive result at PNC &lt; = 6 weeks"&amp;CHAR(10),""),IF(N309&gt;N308," * Retesting at PNC &lt; = 6 weeks For age "&amp;$N$20&amp;" "&amp;$N$21&amp;" is less than  than Retesting positive result at PNC &lt; = 6 weeks"&amp;CHAR(10),""),IF(O309&gt;O308," * Retesting at PNC &lt; = 6 weeks For age "&amp;$N$20&amp;" "&amp;$O$21&amp;" is less than  than Retesting positive result at PNC &lt; = 6 weeks"&amp;CHAR(10),""),IF(P309&gt;P308," * Retesting at PNC &lt; = 6 weeks For age "&amp;$P$20&amp;" "&amp;$P$21&amp;" is less than  than Retesting positive result at PNC &lt; = 6 weeks"&amp;CHAR(10),""),IF(Q309&gt;Q308," * Retesting at PNC &lt; = 6 weeks For age "&amp;$P$20&amp;" "&amp;$Q$21&amp;" is less than  than Retesting positive result at PNC &lt; = 6 weeks"&amp;CHAR(10),""),IF(R309&gt;R308," * Retesting at PNC &lt; = 6 weeks For age "&amp;$R$20&amp;" "&amp;$R$21&amp;" is less than  than Retesting positive result at PNC &lt; = 6 weeks"&amp;CHAR(10),""),IF(S309&gt;S308," * Retesting at PNC &lt; = 6 weeks For age "&amp;$R$20&amp;" "&amp;$S$21&amp;" is less than  than Retesting positive result at PNC &lt; = 6 weeks"&amp;CHAR(10),""),IF(T309&gt;T308," * Retesting at PNC &lt; = 6 weeks For age "&amp;$T$20&amp;" "&amp;$T$21&amp;" is less than  than Retesting positive result at PNC &lt; = 6 weeks"&amp;CHAR(10),""),IF(U309&gt;U308," * Retesting at PNC &lt; = 6 weeks For age "&amp;$T$20&amp;" "&amp;$U$21&amp;" is less than  than Retesting positive result at PNC &lt; = 6 weeks"&amp;CHAR(10),""),IF(V309&gt;V308," * Retesting at PNC &lt; = 6 weeks For age "&amp;$V$20&amp;" "&amp;$V$21&amp;" is less than  than Retesting positive result at PNC &lt; = 6 weeks"&amp;CHAR(10),""),IF(W309&gt;W308," * Retesting at PNC &lt; = 6 weeks For age "&amp;$V$20&amp;" "&amp;$W$21&amp;" is less than  than Retesting positive result at PNC &lt; = 6 weeks"&amp;CHAR(10),""),IF(X309&gt;X308," * Retesting at PNC &lt; = 6 weeks For age "&amp;$X$20&amp;" "&amp;$X$21&amp;" is less than  than Retesting positive result at PNC &lt; = 6 weeks"&amp;CHAR(10),""),IF(Y309&gt;Y308," * Retesting at PNC &lt; = 6 weeks For age "&amp;$X$20&amp;" "&amp;$Y$21&amp;" is less than  than Retesting positive result at PNC &lt; = 6 weeks"&amp;CHAR(10),""),IF(Z309&gt;Z308," * Retesting at PNC &lt; = 6 weeks For age "&amp;$Z$20&amp;" "&amp;$Z$21&amp;" is less than  than Retesting positive result at PNC &lt; = 6 weeks"&amp;CHAR(10),""),IF(AA309&gt;AA308," * Retesting at PNC &lt; = 6 weeks For age "&amp;$Z$20&amp;" "&amp;$AA$21&amp;" is less than  than Retesting positive result at PNC &lt; = 6 weeks"&amp;CHAR(10),""))</f>
        <v/>
      </c>
      <c r="AL308" s="1205"/>
      <c r="AM308" s="60"/>
      <c r="AN308" s="1165"/>
      <c r="AO308" s="13">
        <v>212</v>
      </c>
      <c r="AP308" s="80"/>
      <c r="AQ308" s="75"/>
    </row>
    <row r="309" spans="1:43" ht="25.9" hidden="1" thickBot="1" x14ac:dyDescent="0.8">
      <c r="A309" s="1212"/>
      <c r="B309" s="612" t="s">
        <v>463</v>
      </c>
      <c r="C309" s="587" t="s">
        <v>466</v>
      </c>
      <c r="D309" s="133"/>
      <c r="E309" s="120"/>
      <c r="F309" s="120"/>
      <c r="G309" s="120"/>
      <c r="H309" s="631"/>
      <c r="I309" s="631"/>
      <c r="J309" s="631"/>
      <c r="K309" s="618"/>
      <c r="L309" s="631"/>
      <c r="M309" s="618"/>
      <c r="N309" s="631"/>
      <c r="O309" s="618"/>
      <c r="P309" s="631"/>
      <c r="Q309" s="618"/>
      <c r="R309" s="631"/>
      <c r="S309" s="618"/>
      <c r="T309" s="631"/>
      <c r="U309" s="618"/>
      <c r="V309" s="631"/>
      <c r="W309" s="618"/>
      <c r="X309" s="631"/>
      <c r="Y309" s="618"/>
      <c r="Z309" s="631"/>
      <c r="AA309" s="323"/>
      <c r="AB309" s="375"/>
      <c r="AC309" s="345"/>
      <c r="AD309" s="345"/>
      <c r="AE309" s="345"/>
      <c r="AF309" s="345"/>
      <c r="AG309" s="345"/>
      <c r="AH309" s="345"/>
      <c r="AI309" s="302"/>
      <c r="AJ309" s="385">
        <f t="shared" si="135"/>
        <v>0</v>
      </c>
      <c r="AK309" s="116"/>
      <c r="AL309" s="1205"/>
      <c r="AM309" s="31"/>
      <c r="AN309" s="1165"/>
      <c r="AO309" s="13">
        <v>213</v>
      </c>
      <c r="AP309" s="74"/>
      <c r="AQ309" s="75"/>
    </row>
    <row r="310" spans="1:43" ht="25.5" hidden="1" x14ac:dyDescent="0.75">
      <c r="A310" s="1213"/>
      <c r="B310" s="1" t="s">
        <v>1310</v>
      </c>
      <c r="C310" s="586" t="s">
        <v>467</v>
      </c>
      <c r="D310" s="98"/>
      <c r="E310" s="99"/>
      <c r="F310" s="99"/>
      <c r="G310" s="99"/>
      <c r="H310" s="99"/>
      <c r="I310" s="99"/>
      <c r="J310" s="99"/>
      <c r="K310" s="94"/>
      <c r="L310" s="99"/>
      <c r="M310" s="94"/>
      <c r="N310" s="99"/>
      <c r="O310" s="94"/>
      <c r="P310" s="99"/>
      <c r="Q310" s="94"/>
      <c r="R310" s="99"/>
      <c r="S310" s="94"/>
      <c r="T310" s="99"/>
      <c r="U310" s="94"/>
      <c r="V310" s="99"/>
      <c r="W310" s="94"/>
      <c r="X310" s="99"/>
      <c r="Y310" s="94"/>
      <c r="Z310" s="99"/>
      <c r="AA310" s="363"/>
      <c r="AB310" s="375"/>
      <c r="AC310" s="345"/>
      <c r="AD310" s="345"/>
      <c r="AE310" s="345"/>
      <c r="AF310" s="345"/>
      <c r="AG310" s="345"/>
      <c r="AH310" s="345"/>
      <c r="AI310" s="302"/>
      <c r="AJ310" s="385">
        <f t="shared" si="135"/>
        <v>0</v>
      </c>
      <c r="AK310" s="30" t="str">
        <f>CONCATENATE(IF(D311&gt;D310," * Testing at PNC &gt; 6 weeks For age "&amp;$D$20&amp;" "&amp;$D$21&amp;" is less than Positive result at PNC &gt; 6 weeks"&amp;CHAR(10),""),IF(E311&gt;E310," * Testing at PNC &gt; 6 weeks For age "&amp;$D$20&amp;" "&amp;$E$21&amp;" is less than Positive result at PNC &gt; 6 weeks"&amp;CHAR(10),""),IF(F311&gt;F310," * Testing at PNC &gt; 6 weeks For age "&amp;$F$20&amp;" "&amp;$F$21&amp;" is less than Positive result at PNC &gt; 6 weeks"&amp;CHAR(10),""),IF(G311&gt;G310," * Testing at PNC &gt; 6 weeks For age "&amp;$F$20&amp;" "&amp;$G$21&amp;" is less than Positive result at PNC &gt; 6 weeks"&amp;CHAR(10),""),IF(H311&gt;H310," * Testing at PNC &gt; 6 weeks For age "&amp;$H$20&amp;" "&amp;$H$21&amp;" is less than Positive result at PNC &gt; 6 weeks"&amp;CHAR(10),""),IF(I311&gt;I310," * Testing at PNC &gt; 6 weeks For age "&amp;$H$20&amp;" "&amp;$I$21&amp;" is less than Positive result at PNC &gt; 6 weeks"&amp;CHAR(10),""),IF(J311&gt;J310," * Testing at PNC &gt; 6 weeks For age "&amp;$J$20&amp;" "&amp;$J$21&amp;" is less than Positive result at PNC &gt; 6 weeks"&amp;CHAR(10),""),IF(K311&gt;K310," * Testing at PNC &gt; 6 weeks For age "&amp;$J$20&amp;" "&amp;$K$21&amp;" is less than Positive result at PNC &gt; 6 weeks"&amp;CHAR(10),""),IF(L311&gt;L310," * Testing at PNC &gt; 6 weeks For age "&amp;$L$20&amp;" "&amp;$L$21&amp;" is less than Positive result at PNC &gt; 6 weeks"&amp;CHAR(10),""),IF(M311&gt;M310," * Testing at PNC &gt; 6 weeks For age "&amp;$L$20&amp;" "&amp;$M$21&amp;" is less than Positive result at PNC &gt; 6 weeks"&amp;CHAR(10),""),IF(N311&gt;N310," * Testing at PNC &gt; 6 weeks For age "&amp;$N$20&amp;" "&amp;$N$21&amp;" is less than Positive result at PNC &gt; 6 weeks"&amp;CHAR(10),""),IF(O311&gt;O310," * Testing at PNC &gt; 6 weeks For age "&amp;$N$20&amp;" "&amp;$O$21&amp;" is less than Positive result at PNC &gt; 6 weeks"&amp;CHAR(10),""),IF(P311&gt;P310," * Testing at PNC &gt; 6 weeks For age "&amp;$P$20&amp;" "&amp;$P$21&amp;" is less than Positive result at PNC &gt; 6 weeks"&amp;CHAR(10),""),IF(Q311&gt;Q310," * Testing at PNC &gt; 6 weeks For age "&amp;$P$20&amp;" "&amp;$Q$21&amp;" is less than Positive result at PNC &gt; 6 weeks"&amp;CHAR(10),""),IF(R311&gt;R310," * Testing at PNC &gt; 6 weeks For age "&amp;$R$20&amp;" "&amp;$R$21&amp;" is less than Positive result at PNC &gt; 6 weeks"&amp;CHAR(10),""),IF(S311&gt;S310," * Testing at PNC &gt; 6 weeks For age "&amp;$R$20&amp;" "&amp;$S$21&amp;" is less than Positive result at PNC &gt; 6 weeks"&amp;CHAR(10),""),IF(T311&gt;T310," * Testing at PNC &gt; 6 weeks For age "&amp;$T$20&amp;" "&amp;$T$21&amp;" is less than Positive result at PNC &gt; 6 weeks"&amp;CHAR(10),""),IF(U311&gt;U310," * Testing at PNC &gt; 6 weeks For age "&amp;$T$20&amp;" "&amp;$U$21&amp;" is less than Positive result at PNC &gt; 6 weeks"&amp;CHAR(10),""),IF(V311&gt;V310," * Testing at PNC &gt; 6 weeks For age "&amp;$V$20&amp;" "&amp;$V$21&amp;" is less than Positive result at PNC &gt; 6 weeks"&amp;CHAR(10),""),IF(W311&gt;W310," * Testing at PNC &gt; 6 weeks For age "&amp;$V$20&amp;" "&amp;$W$21&amp;" is less than Positive result at PNC &gt; 6 weeks"&amp;CHAR(10),""),IF(X311&gt;X310," * Testing at PNC &gt; 6 weeks For age "&amp;$X$20&amp;" "&amp;$X$21&amp;" is less than Positive result at PNC &gt; 6 weeks"&amp;CHAR(10),""),IF(Y311&gt;Y310," * Testing at PNC &gt; 6 weeks For age "&amp;$X$20&amp;" "&amp;$Y$21&amp;" is less than Positive result at PNC &gt; 6 weeks"&amp;CHAR(10),""),IF(Z311&gt;Z310," * Testing at PNC &gt; 6 weeks For age "&amp;$Z$20&amp;" "&amp;$Z$21&amp;" is less than Positive result at PNC &gt; 6 weeks"&amp;CHAR(10),""),IF(AA311&gt;AA310," * Testing at PNC &gt; 6 weeks For age "&amp;$Z$20&amp;" "&amp;$AA$21&amp;" is less than Positive result at PNC &gt; 6 weeks"&amp;CHAR(10),""))</f>
        <v/>
      </c>
      <c r="AL310" s="1205"/>
      <c r="AM310" s="31"/>
      <c r="AN310" s="1165"/>
      <c r="AO310" s="13">
        <v>214</v>
      </c>
      <c r="AP310" s="74"/>
      <c r="AQ310" s="75"/>
    </row>
    <row r="311" spans="1:43" ht="25.9" hidden="1" thickBot="1" x14ac:dyDescent="0.8">
      <c r="A311" s="1213"/>
      <c r="B311" s="633" t="s">
        <v>1189</v>
      </c>
      <c r="C311" s="589" t="s">
        <v>468</v>
      </c>
      <c r="D311" s="103"/>
      <c r="E311" s="102"/>
      <c r="F311" s="102"/>
      <c r="G311" s="102"/>
      <c r="H311" s="215"/>
      <c r="I311" s="215"/>
      <c r="J311" s="215"/>
      <c r="K311" s="97"/>
      <c r="L311" s="215"/>
      <c r="M311" s="97"/>
      <c r="N311" s="215"/>
      <c r="O311" s="97"/>
      <c r="P311" s="215"/>
      <c r="Q311" s="97"/>
      <c r="R311" s="215"/>
      <c r="S311" s="97"/>
      <c r="T311" s="215"/>
      <c r="U311" s="97"/>
      <c r="V311" s="215"/>
      <c r="W311" s="97"/>
      <c r="X311" s="215"/>
      <c r="Y311" s="97"/>
      <c r="Z311" s="215"/>
      <c r="AA311" s="632"/>
      <c r="AB311" s="790"/>
      <c r="AC311" s="389"/>
      <c r="AD311" s="389"/>
      <c r="AE311" s="389"/>
      <c r="AF311" s="389"/>
      <c r="AG311" s="389"/>
      <c r="AH311" s="389"/>
      <c r="AI311" s="390"/>
      <c r="AJ311" s="386">
        <f t="shared" si="135"/>
        <v>0</v>
      </c>
      <c r="AK311" s="116"/>
      <c r="AL311" s="1205"/>
      <c r="AM311" s="31"/>
      <c r="AN311" s="1165"/>
      <c r="AO311" s="13">
        <v>215</v>
      </c>
      <c r="AP311" s="74"/>
      <c r="AQ311" s="75"/>
    </row>
    <row r="312" spans="1:43" ht="25.5" hidden="1" x14ac:dyDescent="0.75">
      <c r="A312" s="1213"/>
      <c r="B312" s="288" t="s">
        <v>1190</v>
      </c>
      <c r="C312" s="559" t="s">
        <v>1192</v>
      </c>
      <c r="D312" s="77"/>
      <c r="E312" s="78"/>
      <c r="F312" s="78"/>
      <c r="G312" s="78"/>
      <c r="H312" s="78"/>
      <c r="I312" s="78"/>
      <c r="J312" s="78"/>
      <c r="K312" s="79"/>
      <c r="L312" s="78"/>
      <c r="M312" s="79"/>
      <c r="N312" s="78"/>
      <c r="O312" s="79"/>
      <c r="P312" s="78"/>
      <c r="Q312" s="79"/>
      <c r="R312" s="78"/>
      <c r="S312" s="79"/>
      <c r="T312" s="78"/>
      <c r="U312" s="79"/>
      <c r="V312" s="78"/>
      <c r="W312" s="79"/>
      <c r="X312" s="78"/>
      <c r="Y312" s="79"/>
      <c r="Z312" s="78"/>
      <c r="AA312" s="370"/>
      <c r="AB312" s="375"/>
      <c r="AC312" s="345"/>
      <c r="AD312" s="345"/>
      <c r="AE312" s="345"/>
      <c r="AF312" s="345"/>
      <c r="AG312" s="345"/>
      <c r="AH312" s="345"/>
      <c r="AI312" s="302"/>
      <c r="AJ312" s="385">
        <f t="shared" ref="AJ312:AJ313" si="136">SUM(D312:AA312)</f>
        <v>0</v>
      </c>
      <c r="AK312" s="30" t="str">
        <f>CONCATENATE(IF(D313&gt;D312," * Testing at PNC &gt; 6 weeks For age "&amp;$D$20&amp;" "&amp;$D$21&amp;" is less than Positive result at PNC &gt; 6 weeks"&amp;CHAR(10),""),IF(E313&gt;E312," * Testing at PNC &gt; 6 weeks For age "&amp;$D$20&amp;" "&amp;$E$21&amp;" is less than Positive result at PNC &gt; 6 weeks"&amp;CHAR(10),""),IF(F313&gt;F312," * Testing at PNC &gt; 6 weeks For age "&amp;$F$20&amp;" "&amp;$F$21&amp;" is less than Positive result at PNC &gt; 6 weeks"&amp;CHAR(10),""),IF(G313&gt;G312," * Testing at PNC &gt; 6 weeks For age "&amp;$F$20&amp;" "&amp;$G$21&amp;" is less than Positive result at PNC &gt; 6 weeks"&amp;CHAR(10),""),IF(H313&gt;H312," * Testing at PNC &gt; 6 weeks For age "&amp;$H$20&amp;" "&amp;$H$21&amp;" is less than Positive result at PNC &gt; 6 weeks"&amp;CHAR(10),""),IF(I313&gt;I312," * Testing at PNC &gt; 6 weeks For age "&amp;$H$20&amp;" "&amp;$I$21&amp;" is less than Positive result at PNC &gt; 6 weeks"&amp;CHAR(10),""),IF(J313&gt;J312," * Testing at PNC &gt; 6 weeks For age "&amp;$J$20&amp;" "&amp;$J$21&amp;" is less than Positive result at PNC &gt; 6 weeks"&amp;CHAR(10),""),IF(K313&gt;K312," * Testing at PNC &gt; 6 weeks For age "&amp;$J$20&amp;" "&amp;$K$21&amp;" is less than Positive result at PNC &gt; 6 weeks"&amp;CHAR(10),""),IF(L313&gt;L312," * Testing at PNC &gt; 6 weeks For age "&amp;$L$20&amp;" "&amp;$L$21&amp;" is less than Positive result at PNC &gt; 6 weeks"&amp;CHAR(10),""),IF(M313&gt;M312," * Testing at PNC &gt; 6 weeks For age "&amp;$L$20&amp;" "&amp;$M$21&amp;" is less than Positive result at PNC &gt; 6 weeks"&amp;CHAR(10),""),IF(N313&gt;N312," * Testing at PNC &gt; 6 weeks For age "&amp;$N$20&amp;" "&amp;$N$21&amp;" is less than Positive result at PNC &gt; 6 weeks"&amp;CHAR(10),""),IF(O313&gt;O312," * Testing at PNC &gt; 6 weeks For age "&amp;$N$20&amp;" "&amp;$O$21&amp;" is less than Positive result at PNC &gt; 6 weeks"&amp;CHAR(10),""),IF(P313&gt;P312," * Testing at PNC &gt; 6 weeks For age "&amp;$P$20&amp;" "&amp;$P$21&amp;" is less than Positive result at PNC &gt; 6 weeks"&amp;CHAR(10),""),IF(Q313&gt;Q312," * Testing at PNC &gt; 6 weeks For age "&amp;$P$20&amp;" "&amp;$Q$21&amp;" is less than Positive result at PNC &gt; 6 weeks"&amp;CHAR(10),""),IF(R313&gt;R312," * Testing at PNC &gt; 6 weeks For age "&amp;$R$20&amp;" "&amp;$R$21&amp;" is less than Positive result at PNC &gt; 6 weeks"&amp;CHAR(10),""),IF(S313&gt;S312," * Testing at PNC &gt; 6 weeks For age "&amp;$R$20&amp;" "&amp;$S$21&amp;" is less than Positive result at PNC &gt; 6 weeks"&amp;CHAR(10),""),IF(T313&gt;T312," * Testing at PNC &gt; 6 weeks For age "&amp;$T$20&amp;" "&amp;$T$21&amp;" is less than Positive result at PNC &gt; 6 weeks"&amp;CHAR(10),""),IF(U313&gt;U312," * Testing at PNC &gt; 6 weeks For age "&amp;$T$20&amp;" "&amp;$U$21&amp;" is less than Positive result at PNC &gt; 6 weeks"&amp;CHAR(10),""),IF(V313&gt;V312," * Testing at PNC &gt; 6 weeks For age "&amp;$V$20&amp;" "&amp;$V$21&amp;" is less than Positive result at PNC &gt; 6 weeks"&amp;CHAR(10),""),IF(W313&gt;W312," * Testing at PNC &gt; 6 weeks For age "&amp;$V$20&amp;" "&amp;$W$21&amp;" is less than Positive result at PNC &gt; 6 weeks"&amp;CHAR(10),""),IF(X313&gt;X312," * Testing at PNC &gt; 6 weeks For age "&amp;$X$20&amp;" "&amp;$X$21&amp;" is less than Positive result at PNC &gt; 6 weeks"&amp;CHAR(10),""),IF(Y313&gt;Y312," * Testing at PNC &gt; 6 weeks For age "&amp;$X$20&amp;" "&amp;$Y$21&amp;" is less than Positive result at PNC &gt; 6 weeks"&amp;CHAR(10),""),IF(Z313&gt;Z312," * Testing at PNC &gt; 6 weeks For age "&amp;$Z$20&amp;" "&amp;$Z$21&amp;" is less than Positive result at PNC &gt; 6 weeks"&amp;CHAR(10),""),IF(AA313&gt;AA312," * Testing at PNC &gt; 6 weeks For age "&amp;$Z$20&amp;" "&amp;$AA$21&amp;" is less than Positive result at PNC &gt; 6 weeks"&amp;CHAR(10),""))</f>
        <v/>
      </c>
      <c r="AL312" s="1205"/>
      <c r="AM312" s="31"/>
      <c r="AN312" s="1165"/>
      <c r="AO312" s="13">
        <v>214</v>
      </c>
      <c r="AP312" s="74"/>
      <c r="AQ312" s="75"/>
    </row>
    <row r="313" spans="1:43" ht="25.9" hidden="1" thickBot="1" x14ac:dyDescent="0.8">
      <c r="A313" s="1214"/>
      <c r="B313" s="289" t="s">
        <v>1191</v>
      </c>
      <c r="C313" s="869" t="s">
        <v>1193</v>
      </c>
      <c r="D313" s="103"/>
      <c r="E313" s="102"/>
      <c r="F313" s="102"/>
      <c r="G313" s="102"/>
      <c r="H313" s="215"/>
      <c r="I313" s="215"/>
      <c r="J313" s="215"/>
      <c r="K313" s="97"/>
      <c r="L313" s="215"/>
      <c r="M313" s="97"/>
      <c r="N313" s="215"/>
      <c r="O313" s="97"/>
      <c r="P313" s="215"/>
      <c r="Q313" s="97"/>
      <c r="R313" s="215"/>
      <c r="S313" s="97"/>
      <c r="T313" s="215"/>
      <c r="U313" s="97"/>
      <c r="V313" s="215"/>
      <c r="W313" s="97"/>
      <c r="X313" s="215"/>
      <c r="Y313" s="97"/>
      <c r="Z313" s="215"/>
      <c r="AA313" s="632"/>
      <c r="AB313" s="790"/>
      <c r="AC313" s="389"/>
      <c r="AD313" s="389"/>
      <c r="AE313" s="389"/>
      <c r="AF313" s="389"/>
      <c r="AG313" s="389"/>
      <c r="AH313" s="389"/>
      <c r="AI313" s="390"/>
      <c r="AJ313" s="386">
        <f t="shared" si="136"/>
        <v>0</v>
      </c>
      <c r="AK313" s="585"/>
      <c r="AL313" s="1205"/>
      <c r="AM313" s="31"/>
      <c r="AN313" s="1165"/>
      <c r="AO313" s="13">
        <v>215</v>
      </c>
      <c r="AP313" s="74"/>
      <c r="AQ313" s="75"/>
    </row>
    <row r="314" spans="1:43" ht="25.5" hidden="1" x14ac:dyDescent="0.75">
      <c r="A314" s="1215" t="s">
        <v>111</v>
      </c>
      <c r="B314" s="1" t="s">
        <v>661</v>
      </c>
      <c r="C314" s="586" t="s">
        <v>264</v>
      </c>
      <c r="D314" s="98"/>
      <c r="E314" s="99"/>
      <c r="F314" s="99"/>
      <c r="G314" s="99"/>
      <c r="H314" s="99"/>
      <c r="I314" s="99"/>
      <c r="J314" s="94"/>
      <c r="K314" s="99"/>
      <c r="L314" s="94"/>
      <c r="M314" s="99"/>
      <c r="N314" s="94"/>
      <c r="O314" s="99"/>
      <c r="P314" s="94"/>
      <c r="Q314" s="99"/>
      <c r="R314" s="94"/>
      <c r="S314" s="99"/>
      <c r="T314" s="94"/>
      <c r="U314" s="99"/>
      <c r="V314" s="94"/>
      <c r="W314" s="99"/>
      <c r="X314" s="94"/>
      <c r="Y314" s="99"/>
      <c r="Z314" s="94"/>
      <c r="AA314" s="363"/>
      <c r="AB314" s="375"/>
      <c r="AC314" s="345"/>
      <c r="AD314" s="345"/>
      <c r="AE314" s="345"/>
      <c r="AF314" s="345"/>
      <c r="AG314" s="345"/>
      <c r="AH314" s="345"/>
      <c r="AI314" s="302"/>
      <c r="AJ314" s="387">
        <f t="shared" si="135"/>
        <v>0</v>
      </c>
      <c r="AK314" s="1304" t="str">
        <f>CONCATENATE(IF(D315&gt;D314," * Male Partners Tested Positive for Age "&amp;D20&amp;" "&amp;D21&amp;" is more than Male Partners Tested"&amp;CHAR(10),""),IF(E315&gt;E314," * Male Partners Tested Positive for Age "&amp;D20&amp;" "&amp;E21&amp;" is more than Male Partners Tested"&amp;CHAR(10),""),IF(F315&gt;F314," * Male Partners Tested Positive for Age "&amp;F20&amp;" "&amp;F21&amp;" is more than Male Partners Tested"&amp;CHAR(10),""),IF(G315&gt;G314," * Male Partners Tested Positive for Age "&amp;F20&amp;" "&amp;G21&amp;" is more than Male Partners Tested"&amp;CHAR(10),""),IF(H315&gt;H314," * Male Partners Tested Positive for Age "&amp;H20&amp;" "&amp;H21&amp;" is more than Male Partners Tested"&amp;CHAR(10),""),IF(I315&gt;I314," * Male Partners Tested Positive for Age "&amp;H20&amp;" "&amp;I21&amp;" is more than Male Partners Tested"&amp;CHAR(10),""),IF(J315&gt;J314," * Male Partners Tested Positive for Age "&amp;J20&amp;" "&amp;J21&amp;" is more than Male Partners Tested"&amp;CHAR(10),""),IF(K315&gt;K314," * Male Partners Tested Positive for Age "&amp;J20&amp;" "&amp;K21&amp;" is more than Male Partners Tested"&amp;CHAR(10),""),IF(L315&gt;L314," * Male Partners Tested Positive for Age "&amp;L20&amp;" "&amp;L21&amp;" is more than Male Partners Tested"&amp;CHAR(10),""),IF(M315&gt;M314," * Male Partners Tested Positive for Age "&amp;L20&amp;" "&amp;M21&amp;" is more than Male Partners Tested"&amp;CHAR(10),""),IF(N315&gt;N314," * Male Partners Tested Positive for Age "&amp;N20&amp;" "&amp;N21&amp;" is more than Male Partners Tested"&amp;CHAR(10),""),IF(O315&gt;O314," * Male Partners Tested Positive for Age "&amp;N20&amp;" "&amp;O21&amp;" is more than Male Partners Tested"&amp;CHAR(10),""),IF(P315&gt;P314," * Male Partners Tested Positive for Age "&amp;P20&amp;" "&amp;P21&amp;" is more than Male Partners Tested"&amp;CHAR(10),""),IF(Q315&gt;Q314," * Male Partners Tested Positive for Age "&amp;P20&amp;" "&amp;Q21&amp;" is more than Male Partners Tested"&amp;CHAR(10),""),IF(R315&gt;R314," * Male Partners Tested Positive for Age "&amp;R20&amp;" "&amp;R21&amp;" is more than Male Partners Tested"&amp;CHAR(10),""),IF(S315&gt;S314," * Male Partners Tested Positive for Age "&amp;R20&amp;" "&amp;S21&amp;" is more than Male Partners Tested"&amp;CHAR(10),""),IF(T315&gt;T314," * Male Partners Tested Positive for Age "&amp;T20&amp;" "&amp;T21&amp;" is more than Male Partners Tested"&amp;CHAR(10),""),IF(U315&gt;U314," * Male Partners Tested Positive for Age "&amp;T20&amp;" "&amp;U21&amp;" is more than Male Partners Tested"&amp;CHAR(10),""),IF(V315&gt;V314," * Male Partners Tested Positive for Age "&amp;V20&amp;" "&amp;V21&amp;" is more than Male Partners Tested"&amp;CHAR(10),""),IF(W315&gt;W314," * Male Partners Tested Positive for Age "&amp;V20&amp;" "&amp;W21&amp;" is more than Male Partners Tested"&amp;CHAR(10),""),IF(X315&gt;X314," * Male Partners Tested Positive for Age "&amp;X20&amp;" "&amp;X21&amp;" is more than Male Partners Tested"&amp;CHAR(10),""),IF(Y315&gt;Y314," * Male Partners Tested Positive for Age "&amp;X20&amp;" "&amp;Y21&amp;" is more than Male Partners Tested"&amp;CHAR(10),""),IF(Z315&gt;Z314," * Male Partners Tested Positive for Age "&amp;Z20&amp;" "&amp;Z21&amp;" is more than Male Partners Tested"&amp;CHAR(10),""),IF(AA315&gt;AA314," * Male Partners Tested Positive for Age "&amp;Z20&amp;" "&amp;AA21&amp;" is more than Male Partners Tested"&amp;CHAR(10),""))</f>
        <v/>
      </c>
      <c r="AL314" s="1205"/>
      <c r="AM314" s="31"/>
      <c r="AN314" s="1165"/>
      <c r="AO314" s="13">
        <v>216</v>
      </c>
      <c r="AP314" s="74"/>
      <c r="AQ314" s="75"/>
    </row>
    <row r="315" spans="1:43" ht="25.9" hidden="1" thickBot="1" x14ac:dyDescent="0.8">
      <c r="A315" s="1216"/>
      <c r="B315" s="3" t="s">
        <v>662</v>
      </c>
      <c r="C315" s="589" t="s">
        <v>265</v>
      </c>
      <c r="D315" s="103"/>
      <c r="E315" s="102"/>
      <c r="F315" s="102"/>
      <c r="G315" s="102"/>
      <c r="H315" s="102"/>
      <c r="I315" s="102"/>
      <c r="J315" s="152"/>
      <c r="K315" s="102"/>
      <c r="L315" s="152"/>
      <c r="M315" s="102"/>
      <c r="N315" s="152"/>
      <c r="O315" s="102"/>
      <c r="P315" s="152"/>
      <c r="Q315" s="102"/>
      <c r="R315" s="152"/>
      <c r="S315" s="102"/>
      <c r="T315" s="152"/>
      <c r="U315" s="102"/>
      <c r="V315" s="152"/>
      <c r="W315" s="102"/>
      <c r="X315" s="152"/>
      <c r="Y315" s="102"/>
      <c r="Z315" s="152"/>
      <c r="AA315" s="364"/>
      <c r="AB315" s="376"/>
      <c r="AC315" s="377"/>
      <c r="AD315" s="377"/>
      <c r="AE315" s="377"/>
      <c r="AF315" s="377"/>
      <c r="AG315" s="377"/>
      <c r="AH315" s="377"/>
      <c r="AI315" s="303"/>
      <c r="AJ315" s="386">
        <f t="shared" si="135"/>
        <v>0</v>
      </c>
      <c r="AK315" s="1304"/>
      <c r="AL315" s="1206"/>
      <c r="AM315" s="31"/>
      <c r="AN315" s="1203"/>
      <c r="AO315" s="13">
        <v>217</v>
      </c>
      <c r="AP315" s="74"/>
      <c r="AQ315" s="75"/>
    </row>
    <row r="316" spans="1:43" ht="25.9" hidden="1" thickBot="1" x14ac:dyDescent="0.8">
      <c r="A316" s="1191" t="s">
        <v>483</v>
      </c>
      <c r="B316" s="69" t="s">
        <v>664</v>
      </c>
      <c r="C316" s="593" t="s">
        <v>500</v>
      </c>
      <c r="D316" s="154"/>
      <c r="E316" s="127"/>
      <c r="F316" s="71"/>
      <c r="G316" s="71"/>
      <c r="H316" s="71"/>
      <c r="I316" s="71"/>
      <c r="J316" s="71"/>
      <c r="K316" s="71"/>
      <c r="L316" s="71"/>
      <c r="M316" s="71"/>
      <c r="N316" s="71"/>
      <c r="O316" s="71"/>
      <c r="P316" s="71"/>
      <c r="Q316" s="71"/>
      <c r="R316" s="71"/>
      <c r="S316" s="71"/>
      <c r="T316" s="71"/>
      <c r="U316" s="71"/>
      <c r="V316" s="71"/>
      <c r="W316" s="71"/>
      <c r="X316" s="71"/>
      <c r="Y316" s="71"/>
      <c r="Z316" s="71"/>
      <c r="AA316" s="342"/>
      <c r="AB316" s="375"/>
      <c r="AC316" s="345"/>
      <c r="AD316" s="345"/>
      <c r="AE316" s="345"/>
      <c r="AF316" s="345"/>
      <c r="AG316" s="345"/>
      <c r="AH316" s="345"/>
      <c r="AI316" s="302"/>
      <c r="AJ316" s="387">
        <f t="shared" si="135"/>
        <v>0</v>
      </c>
      <c r="AK316" s="116" t="str">
        <f>CONCATENATE(IF(D319&gt;D316," * EID Tested Positive 0-2 Months for Age "&amp;$D$20&amp;" "&amp;$D$21&amp;" is more than EID Tested 0-2 Months"&amp;CHAR(10),""),IF(E319&gt;E316," * EID Tested Positive 0-2 Months for Age "&amp;$D$20&amp;" "&amp;$E$21&amp;" is more than EID Tested 0-2 Months"&amp;CHAR(10),""))</f>
        <v/>
      </c>
      <c r="AL316" s="1189" t="str">
        <f>CONCATENATE(AK318,AK319,AK320,AK321,AK322,AK323,AK324,AK300,AK316,AK317)</f>
        <v/>
      </c>
      <c r="AM316" s="31"/>
      <c r="AN316" s="1164" t="str">
        <f>CONCATENATE(AM316,AM317,AM318,AM319,AM320,AM321,AM322,AM323,AM324)</f>
        <v/>
      </c>
      <c r="AO316" s="13">
        <v>218</v>
      </c>
      <c r="AP316" s="74"/>
      <c r="AQ316" s="75"/>
    </row>
    <row r="317" spans="1:43" s="61" customFormat="1" ht="25.5" hidden="1" x14ac:dyDescent="0.75">
      <c r="A317" s="1192"/>
      <c r="B317" s="76" t="s">
        <v>663</v>
      </c>
      <c r="C317" s="559" t="s">
        <v>501</v>
      </c>
      <c r="D317" s="201"/>
      <c r="E317" s="129"/>
      <c r="F317" s="78"/>
      <c r="G317" s="78"/>
      <c r="H317" s="78"/>
      <c r="I317" s="78"/>
      <c r="J317" s="78"/>
      <c r="K317" s="78"/>
      <c r="L317" s="78"/>
      <c r="M317" s="78"/>
      <c r="N317" s="78"/>
      <c r="O317" s="78"/>
      <c r="P317" s="78"/>
      <c r="Q317" s="78"/>
      <c r="R317" s="78"/>
      <c r="S317" s="78"/>
      <c r="T317" s="78"/>
      <c r="U317" s="78"/>
      <c r="V317" s="78"/>
      <c r="W317" s="78"/>
      <c r="X317" s="78"/>
      <c r="Y317" s="78"/>
      <c r="Z317" s="78"/>
      <c r="AA317" s="343"/>
      <c r="AB317" s="375"/>
      <c r="AC317" s="345"/>
      <c r="AD317" s="345"/>
      <c r="AE317" s="345"/>
      <c r="AF317" s="345"/>
      <c r="AG317" s="345"/>
      <c r="AH317" s="345"/>
      <c r="AI317" s="302"/>
      <c r="AJ317" s="385">
        <f t="shared" si="135"/>
        <v>0</v>
      </c>
      <c r="AK317" s="116" t="str">
        <f>CONCATENATE(IF(D320&gt;D317," * EID Tested Positive 2-12 Months for Age "&amp;$D$20&amp;" "&amp;$D$21&amp;" is more than EID Tested 2-12 Months"&amp;CHAR(10),""),IF(E320&gt;E317," * EID Tested Positive 2-12 Months for Age "&amp;$D$20&amp;" "&amp;$E$21&amp;" is more than EID Tested 2-12 Months"&amp;CHAR(10),""))</f>
        <v/>
      </c>
      <c r="AL317" s="1205"/>
      <c r="AM317" s="60"/>
      <c r="AN317" s="1165"/>
      <c r="AO317" s="13">
        <v>219</v>
      </c>
      <c r="AP317" s="80"/>
      <c r="AQ317" s="75"/>
    </row>
    <row r="318" spans="1:43" ht="25.9" hidden="1" thickBot="1" x14ac:dyDescent="0.8">
      <c r="A318" s="1193"/>
      <c r="B318" s="218" t="s">
        <v>486</v>
      </c>
      <c r="C318" s="560" t="s">
        <v>502</v>
      </c>
      <c r="D318" s="219">
        <f>D316+D317</f>
        <v>0</v>
      </c>
      <c r="E318" s="212">
        <f>E316+E317</f>
        <v>0</v>
      </c>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313"/>
      <c r="AB318" s="375"/>
      <c r="AC318" s="345"/>
      <c r="AD318" s="345"/>
      <c r="AE318" s="345"/>
      <c r="AF318" s="345"/>
      <c r="AG318" s="345"/>
      <c r="AH318" s="345"/>
      <c r="AI318" s="302"/>
      <c r="AJ318" s="386">
        <f t="shared" si="135"/>
        <v>0</v>
      </c>
      <c r="AK318" s="116"/>
      <c r="AL318" s="1205"/>
      <c r="AM318" s="31" t="str">
        <f>IF(AJ318&gt;SUM(AJ309,AJ307,AJ305,AJ303,AJ301,AJ299,AJ295,AJ293)," EID Testing cannot be more than PMTCT HIV Positive Mothers (ANC 1 Other ANC, L&amp;D and PNC","")</f>
        <v/>
      </c>
      <c r="AN318" s="1165"/>
      <c r="AO318" s="13">
        <v>220</v>
      </c>
      <c r="AP318" s="74"/>
      <c r="AQ318" s="75"/>
    </row>
    <row r="319" spans="1:43" ht="25.5" hidden="1" x14ac:dyDescent="0.75">
      <c r="A319" s="1191" t="s">
        <v>487</v>
      </c>
      <c r="B319" s="91" t="s">
        <v>491</v>
      </c>
      <c r="C319" s="558" t="s">
        <v>503</v>
      </c>
      <c r="D319" s="220"/>
      <c r="E319" s="221"/>
      <c r="F319" s="99"/>
      <c r="G319" s="99"/>
      <c r="H319" s="99"/>
      <c r="I319" s="99"/>
      <c r="J319" s="99"/>
      <c r="K319" s="99"/>
      <c r="L319" s="99"/>
      <c r="M319" s="99"/>
      <c r="N319" s="99"/>
      <c r="O319" s="99"/>
      <c r="P319" s="99"/>
      <c r="Q319" s="99"/>
      <c r="R319" s="99"/>
      <c r="S319" s="99"/>
      <c r="T319" s="99"/>
      <c r="U319" s="99"/>
      <c r="V319" s="99"/>
      <c r="W319" s="99"/>
      <c r="X319" s="99"/>
      <c r="Y319" s="99"/>
      <c r="Z319" s="99"/>
      <c r="AA319" s="312"/>
      <c r="AB319" s="375"/>
      <c r="AC319" s="345"/>
      <c r="AD319" s="345"/>
      <c r="AE319" s="345"/>
      <c r="AF319" s="345"/>
      <c r="AG319" s="345"/>
      <c r="AH319" s="345"/>
      <c r="AI319" s="302"/>
      <c r="AJ319" s="387">
        <f t="shared" si="135"/>
        <v>0</v>
      </c>
      <c r="AK319" s="116" t="str">
        <f>CONCATENATE(IF(D322&gt;D319," * EID initiated on ART 0-2 Months for Age "&amp;$D$20&amp;" "&amp;$D$21&amp;" is more than EID Positive 0-2 Months"&amp;CHAR(10),""),IF(E322&gt;E319," * EID initiated on ART 0-2 Months for Age "&amp;$D$20&amp;" "&amp;$E$21&amp;" is more than EID Positive 0-2 Months"&amp;CHAR(10),""))</f>
        <v/>
      </c>
      <c r="AL319" s="1205"/>
      <c r="AM319" s="116" t="str">
        <f>CONCATENATE(IF(D322&lt;D319," * EID initiated on ART 0-2 Months for Age "&amp;$D$20&amp;" "&amp;$D$21&amp;" is less than EID Positive 0-2 Months"&amp;CHAR(10),""),IF(E322&lt;E319," * EID initiated on ART 0-2 Months for Age "&amp;$D$20&amp;" "&amp;$E$21&amp;" is less than EID Positive 0-2 Months"&amp;CHAR(10),""))</f>
        <v/>
      </c>
      <c r="AN319" s="1165"/>
      <c r="AO319" s="13">
        <v>221</v>
      </c>
      <c r="AP319" s="74"/>
      <c r="AQ319" s="75"/>
    </row>
    <row r="320" spans="1:43" s="61" customFormat="1" ht="25.5" hidden="1" x14ac:dyDescent="0.75">
      <c r="A320" s="1192"/>
      <c r="B320" s="76" t="s">
        <v>488</v>
      </c>
      <c r="C320" s="559" t="s">
        <v>504</v>
      </c>
      <c r="D320" s="222"/>
      <c r="E320" s="223"/>
      <c r="F320" s="78"/>
      <c r="G320" s="78"/>
      <c r="H320" s="78"/>
      <c r="I320" s="78"/>
      <c r="J320" s="78"/>
      <c r="K320" s="78"/>
      <c r="L320" s="78"/>
      <c r="M320" s="78"/>
      <c r="N320" s="78"/>
      <c r="O320" s="78"/>
      <c r="P320" s="78"/>
      <c r="Q320" s="78"/>
      <c r="R320" s="78"/>
      <c r="S320" s="78"/>
      <c r="T320" s="78"/>
      <c r="U320" s="78"/>
      <c r="V320" s="78"/>
      <c r="W320" s="78"/>
      <c r="X320" s="78"/>
      <c r="Y320" s="78"/>
      <c r="Z320" s="78"/>
      <c r="AA320" s="343"/>
      <c r="AB320" s="375"/>
      <c r="AC320" s="345"/>
      <c r="AD320" s="345"/>
      <c r="AE320" s="345"/>
      <c r="AF320" s="345"/>
      <c r="AG320" s="345"/>
      <c r="AH320" s="345"/>
      <c r="AI320" s="302"/>
      <c r="AJ320" s="385">
        <f t="shared" si="135"/>
        <v>0</v>
      </c>
      <c r="AK320" s="116" t="str">
        <f>CONCATENATE(IF(D323&gt;D320," * EID initiated on ART 2-12 Months for Age "&amp;$D$20&amp;" "&amp;$D$21&amp;" is more than EID Positive 2-12 Months"&amp;CHAR(10),""),IF(E323&gt;E320," * EID initiated on ART 2-12 Months for Age "&amp;$D$20&amp;" "&amp;$E$21&amp;" is more than EID Positive 2-12 Months"&amp;CHAR(10),""))</f>
        <v/>
      </c>
      <c r="AL320" s="1205"/>
      <c r="AM320" s="116" t="str">
        <f>CONCATENATE(IF(D323&lt;D320," * EID initiated on ART 2-12 Months for Age "&amp;$D$20&amp;" "&amp;$D$21&amp;" is less than EID Positive 2-12 Months"&amp;CHAR(10),""),IF(E323&lt;E320," * EID initiated on ART 2-12 Months for Age "&amp;$D$20&amp;" "&amp;$E$21&amp;" is less than EID Positive 2-12 Months"&amp;CHAR(10),""))</f>
        <v/>
      </c>
      <c r="AN320" s="1165"/>
      <c r="AO320" s="13">
        <v>222</v>
      </c>
      <c r="AP320" s="80"/>
      <c r="AQ320" s="75"/>
    </row>
    <row r="321" spans="1:43" ht="25.9" hidden="1" thickBot="1" x14ac:dyDescent="0.8">
      <c r="A321" s="1193"/>
      <c r="B321" s="218" t="s">
        <v>489</v>
      </c>
      <c r="C321" s="560" t="s">
        <v>505</v>
      </c>
      <c r="D321" s="219">
        <f>D319+D320</f>
        <v>0</v>
      </c>
      <c r="E321" s="212">
        <f>E319+E320</f>
        <v>0</v>
      </c>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313"/>
      <c r="AB321" s="375"/>
      <c r="AC321" s="345"/>
      <c r="AD321" s="345"/>
      <c r="AE321" s="345"/>
      <c r="AF321" s="345"/>
      <c r="AG321" s="345"/>
      <c r="AH321" s="345"/>
      <c r="AI321" s="302"/>
      <c r="AJ321" s="386">
        <f t="shared" si="135"/>
        <v>0</v>
      </c>
      <c r="AK321" s="116" t="str">
        <f>CONCATENATE(IF(D324&gt;D321," * EID initiated on ART 0-12 Months for Age "&amp;$D$20&amp;" "&amp;$D$21&amp;" is more than EID Positive 0-12 Months"&amp;CHAR(10),""),IF(E324&gt;E321," * EID initiated on ART 0-12 Months for Age "&amp;$D$20&amp;" "&amp;$E$21&amp;" is more than EID Positive 0-12 Months"&amp;CHAR(10),""))</f>
        <v/>
      </c>
      <c r="AL321" s="1205"/>
      <c r="AM321" s="116" t="str">
        <f>CONCATENATE(IF(D324&lt;D321," * EID initiated on ART 0-12 Months for Age "&amp;$D$20&amp;" "&amp;$D$21&amp;" is less than EID Positive 0-12 Months"&amp;CHAR(10),""),IF(E324&lt;E321," * EID initiated on ART 0-12 Months for Age "&amp;$D$20&amp;" "&amp;$E$21&amp;" is less than EID Positive 0-12 Months"&amp;CHAR(10),""))</f>
        <v/>
      </c>
      <c r="AN321" s="1165"/>
      <c r="AO321" s="13">
        <v>223</v>
      </c>
      <c r="AP321" s="74"/>
      <c r="AQ321" s="75"/>
    </row>
    <row r="322" spans="1:43" ht="25.5" hidden="1" x14ac:dyDescent="0.75">
      <c r="A322" s="1191" t="s">
        <v>484</v>
      </c>
      <c r="B322" s="91" t="s">
        <v>868</v>
      </c>
      <c r="C322" s="558" t="s">
        <v>506</v>
      </c>
      <c r="D322" s="147"/>
      <c r="E322" s="148"/>
      <c r="F322" s="99"/>
      <c r="G322" s="99"/>
      <c r="H322" s="99"/>
      <c r="I322" s="99"/>
      <c r="J322" s="99"/>
      <c r="K322" s="99"/>
      <c r="L322" s="99"/>
      <c r="M322" s="99"/>
      <c r="N322" s="99"/>
      <c r="O322" s="99"/>
      <c r="P322" s="99"/>
      <c r="Q322" s="99"/>
      <c r="R322" s="99"/>
      <c r="S322" s="99"/>
      <c r="T322" s="99"/>
      <c r="U322" s="99"/>
      <c r="V322" s="99"/>
      <c r="W322" s="99"/>
      <c r="X322" s="99"/>
      <c r="Y322" s="99"/>
      <c r="Z322" s="99"/>
      <c r="AA322" s="312"/>
      <c r="AB322" s="375"/>
      <c r="AC322" s="345"/>
      <c r="AD322" s="345"/>
      <c r="AE322" s="345"/>
      <c r="AF322" s="345"/>
      <c r="AG322" s="345"/>
      <c r="AH322" s="345"/>
      <c r="AI322" s="302"/>
      <c r="AJ322" s="387">
        <f t="shared" si="135"/>
        <v>0</v>
      </c>
      <c r="AK322" s="116"/>
      <c r="AL322" s="1205"/>
      <c r="AM322" s="31"/>
      <c r="AN322" s="1165"/>
      <c r="AO322" s="13">
        <v>224</v>
      </c>
      <c r="AP322" s="74"/>
      <c r="AQ322" s="75"/>
    </row>
    <row r="323" spans="1:43" ht="25.5" hidden="1" x14ac:dyDescent="0.75">
      <c r="A323" s="1192"/>
      <c r="B323" s="76" t="s">
        <v>869</v>
      </c>
      <c r="C323" s="559" t="s">
        <v>507</v>
      </c>
      <c r="D323" s="201"/>
      <c r="E323" s="129"/>
      <c r="F323" s="78"/>
      <c r="G323" s="78"/>
      <c r="H323" s="78"/>
      <c r="I323" s="78"/>
      <c r="J323" s="78"/>
      <c r="K323" s="78"/>
      <c r="L323" s="78"/>
      <c r="M323" s="78"/>
      <c r="N323" s="78"/>
      <c r="O323" s="78"/>
      <c r="P323" s="78"/>
      <c r="Q323" s="78"/>
      <c r="R323" s="78"/>
      <c r="S323" s="78"/>
      <c r="T323" s="78"/>
      <c r="U323" s="78"/>
      <c r="V323" s="78"/>
      <c r="W323" s="78"/>
      <c r="X323" s="78"/>
      <c r="Y323" s="78"/>
      <c r="Z323" s="78"/>
      <c r="AA323" s="343"/>
      <c r="AB323" s="375"/>
      <c r="AC323" s="345"/>
      <c r="AD323" s="345"/>
      <c r="AE323" s="345"/>
      <c r="AF323" s="345"/>
      <c r="AG323" s="345"/>
      <c r="AH323" s="345"/>
      <c r="AI323" s="302"/>
      <c r="AJ323" s="385">
        <f t="shared" si="135"/>
        <v>0</v>
      </c>
      <c r="AK323" s="116"/>
      <c r="AL323" s="1205"/>
      <c r="AM323" s="31"/>
      <c r="AN323" s="1165"/>
      <c r="AO323" s="13">
        <v>225</v>
      </c>
      <c r="AP323" s="74"/>
      <c r="AQ323" s="75"/>
    </row>
    <row r="324" spans="1:43" ht="25.9" hidden="1" thickBot="1" x14ac:dyDescent="0.8">
      <c r="A324" s="1299"/>
      <c r="B324" s="224" t="s">
        <v>890</v>
      </c>
      <c r="C324" s="560" t="s">
        <v>508</v>
      </c>
      <c r="D324" s="225">
        <f>D322+D323</f>
        <v>0</v>
      </c>
      <c r="E324" s="225">
        <f>E322+E323</f>
        <v>0</v>
      </c>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323"/>
      <c r="AB324" s="376"/>
      <c r="AC324" s="377"/>
      <c r="AD324" s="377"/>
      <c r="AE324" s="377"/>
      <c r="AF324" s="377"/>
      <c r="AG324" s="377"/>
      <c r="AH324" s="377"/>
      <c r="AI324" s="303"/>
      <c r="AJ324" s="388">
        <f t="shared" ref="AJ324" si="137">SUM(D324:AA324)</f>
        <v>0</v>
      </c>
      <c r="AK324" s="122" t="str">
        <f>CONCATENATE(IF(D324&lt;&gt;D346,"*Starting ART &lt; 1 M  Must be equals to Infants 0-12 Months HIV +ve started on ART"&amp;CHAR(10),""),IF(E324&lt;&gt;E346,"*Starting ART &lt; 1 F  Must be equals to Infants 0-12 Months +ve started on ART"&amp;CHAR(10),""))</f>
        <v/>
      </c>
      <c r="AL324" s="1230"/>
      <c r="AM324" s="123"/>
      <c r="AN324" s="1166"/>
      <c r="AO324" s="13">
        <v>226</v>
      </c>
      <c r="AP324" s="74"/>
      <c r="AQ324" s="75"/>
    </row>
    <row r="325" spans="1:43" ht="25.9" hidden="1" thickBot="1" x14ac:dyDescent="0.8">
      <c r="A325" s="1143" t="s">
        <v>115</v>
      </c>
      <c r="B325" s="1144"/>
      <c r="C325" s="1144"/>
      <c r="D325" s="1144"/>
      <c r="E325" s="1144"/>
      <c r="F325" s="1144"/>
      <c r="G325" s="1144"/>
      <c r="H325" s="1144"/>
      <c r="I325" s="1144"/>
      <c r="J325" s="1144"/>
      <c r="K325" s="1144"/>
      <c r="L325" s="1144"/>
      <c r="M325" s="1144"/>
      <c r="N325" s="1144"/>
      <c r="O325" s="1144"/>
      <c r="P325" s="1144"/>
      <c r="Q325" s="1144"/>
      <c r="R325" s="1144"/>
      <c r="S325" s="1144"/>
      <c r="T325" s="1144"/>
      <c r="U325" s="1144"/>
      <c r="V325" s="1144"/>
      <c r="W325" s="1144"/>
      <c r="X325" s="1144"/>
      <c r="Y325" s="1144"/>
      <c r="Z325" s="1144"/>
      <c r="AA325" s="1144"/>
      <c r="AB325" s="1194"/>
      <c r="AC325" s="1194"/>
      <c r="AD325" s="1194"/>
      <c r="AE325" s="1194"/>
      <c r="AF325" s="1194"/>
      <c r="AG325" s="1194"/>
      <c r="AH325" s="1194"/>
      <c r="AI325" s="1194"/>
      <c r="AJ325" s="1144"/>
      <c r="AK325" s="1144"/>
      <c r="AL325" s="1144"/>
      <c r="AM325" s="1144"/>
      <c r="AN325" s="1146"/>
      <c r="AO325" s="13">
        <v>227</v>
      </c>
      <c r="AP325" s="74"/>
      <c r="AQ325" s="75"/>
    </row>
    <row r="326" spans="1:43" ht="25.5" hidden="1" x14ac:dyDescent="0.75">
      <c r="A326" s="1122" t="s">
        <v>36</v>
      </c>
      <c r="B326" s="1126" t="s">
        <v>321</v>
      </c>
      <c r="C326" s="1155" t="s">
        <v>305</v>
      </c>
      <c r="D326" s="1116" t="s">
        <v>0</v>
      </c>
      <c r="E326" s="1131"/>
      <c r="F326" s="1131" t="s">
        <v>1</v>
      </c>
      <c r="G326" s="1131"/>
      <c r="H326" s="1131" t="s">
        <v>2</v>
      </c>
      <c r="I326" s="1131"/>
      <c r="J326" s="1131" t="s">
        <v>3</v>
      </c>
      <c r="K326" s="1131"/>
      <c r="L326" s="1131" t="s">
        <v>4</v>
      </c>
      <c r="M326" s="1131"/>
      <c r="N326" s="1131" t="s">
        <v>5</v>
      </c>
      <c r="O326" s="1131"/>
      <c r="P326" s="1131" t="s">
        <v>6</v>
      </c>
      <c r="Q326" s="1131"/>
      <c r="R326" s="1131" t="s">
        <v>7</v>
      </c>
      <c r="S326" s="1131"/>
      <c r="T326" s="1131" t="s">
        <v>8</v>
      </c>
      <c r="U326" s="1131"/>
      <c r="V326" s="1131" t="s">
        <v>23</v>
      </c>
      <c r="W326" s="1131"/>
      <c r="X326" s="1131" t="s">
        <v>24</v>
      </c>
      <c r="Y326" s="1131"/>
      <c r="Z326" s="1131" t="s">
        <v>9</v>
      </c>
      <c r="AA326" s="1115"/>
      <c r="AB326" s="1115" t="s">
        <v>965</v>
      </c>
      <c r="AC326" s="1116"/>
      <c r="AD326" s="1115" t="s">
        <v>966</v>
      </c>
      <c r="AE326" s="1116"/>
      <c r="AF326" s="1115" t="s">
        <v>1129</v>
      </c>
      <c r="AG326" s="1116"/>
      <c r="AH326" s="1115" t="s">
        <v>1130</v>
      </c>
      <c r="AI326" s="1116"/>
      <c r="AJ326" s="1302" t="s">
        <v>19</v>
      </c>
      <c r="AK326" s="1300" t="s">
        <v>354</v>
      </c>
      <c r="AL326" s="1292" t="s">
        <v>360</v>
      </c>
      <c r="AM326" s="1150" t="s">
        <v>361</v>
      </c>
      <c r="AN326" s="1229" t="s">
        <v>361</v>
      </c>
      <c r="AO326" s="13">
        <v>228</v>
      </c>
      <c r="AP326" s="74"/>
      <c r="AQ326" s="75"/>
    </row>
    <row r="327" spans="1:43" ht="25.9" hidden="1" thickBot="1" x14ac:dyDescent="0.8">
      <c r="A327" s="1123"/>
      <c r="B327" s="1285"/>
      <c r="C327" s="1222"/>
      <c r="D327" s="654" t="s">
        <v>10</v>
      </c>
      <c r="E327" s="284" t="s">
        <v>11</v>
      </c>
      <c r="F327" s="284" t="s">
        <v>10</v>
      </c>
      <c r="G327" s="284" t="s">
        <v>11</v>
      </c>
      <c r="H327" s="284" t="s">
        <v>10</v>
      </c>
      <c r="I327" s="284" t="s">
        <v>11</v>
      </c>
      <c r="J327" s="284" t="s">
        <v>10</v>
      </c>
      <c r="K327" s="284" t="s">
        <v>11</v>
      </c>
      <c r="L327" s="284" t="s">
        <v>10</v>
      </c>
      <c r="M327" s="284" t="s">
        <v>11</v>
      </c>
      <c r="N327" s="284" t="s">
        <v>10</v>
      </c>
      <c r="O327" s="284" t="s">
        <v>11</v>
      </c>
      <c r="P327" s="284" t="s">
        <v>10</v>
      </c>
      <c r="Q327" s="284" t="s">
        <v>11</v>
      </c>
      <c r="R327" s="284" t="s">
        <v>10</v>
      </c>
      <c r="S327" s="284" t="s">
        <v>11</v>
      </c>
      <c r="T327" s="284" t="s">
        <v>10</v>
      </c>
      <c r="U327" s="284" t="s">
        <v>11</v>
      </c>
      <c r="V327" s="284" t="s">
        <v>10</v>
      </c>
      <c r="W327" s="284" t="s">
        <v>11</v>
      </c>
      <c r="X327" s="284" t="s">
        <v>10</v>
      </c>
      <c r="Y327" s="284" t="s">
        <v>11</v>
      </c>
      <c r="Z327" s="284" t="s">
        <v>10</v>
      </c>
      <c r="AA327" s="490" t="s">
        <v>11</v>
      </c>
      <c r="AB327" s="284" t="s">
        <v>10</v>
      </c>
      <c r="AC327" s="284" t="s">
        <v>11</v>
      </c>
      <c r="AD327" s="284" t="s">
        <v>10</v>
      </c>
      <c r="AE327" s="284" t="s">
        <v>11</v>
      </c>
      <c r="AF327" s="284" t="s">
        <v>10</v>
      </c>
      <c r="AG327" s="284" t="s">
        <v>11</v>
      </c>
      <c r="AH327" s="284" t="s">
        <v>10</v>
      </c>
      <c r="AI327" s="655" t="s">
        <v>11</v>
      </c>
      <c r="AJ327" s="1303"/>
      <c r="AK327" s="1301"/>
      <c r="AL327" s="1236"/>
      <c r="AM327" s="1150"/>
      <c r="AN327" s="1148"/>
      <c r="AO327" s="13">
        <v>229</v>
      </c>
      <c r="AP327" s="74"/>
      <c r="AQ327" s="75"/>
    </row>
    <row r="328" spans="1:43" ht="25.5" hidden="1" x14ac:dyDescent="0.75">
      <c r="A328" s="1219" t="s">
        <v>456</v>
      </c>
      <c r="B328" s="1" t="s">
        <v>470</v>
      </c>
      <c r="C328" s="591" t="s">
        <v>346</v>
      </c>
      <c r="D328" s="665"/>
      <c r="E328" s="665"/>
      <c r="F328" s="665"/>
      <c r="G328" s="665"/>
      <c r="H328" s="665"/>
      <c r="I328" s="665"/>
      <c r="J328" s="700"/>
      <c r="K328" s="689"/>
      <c r="L328" s="665"/>
      <c r="M328" s="619"/>
      <c r="N328" s="665"/>
      <c r="O328" s="619"/>
      <c r="P328" s="665"/>
      <c r="Q328" s="619"/>
      <c r="R328" s="665"/>
      <c r="S328" s="619"/>
      <c r="T328" s="665"/>
      <c r="U328" s="619"/>
      <c r="V328" s="665"/>
      <c r="W328" s="619"/>
      <c r="X328" s="665"/>
      <c r="Y328" s="619"/>
      <c r="Z328" s="665"/>
      <c r="AA328" s="687">
        <f>SUM(AC328,AE328,AG328,AI328)</f>
        <v>0</v>
      </c>
      <c r="AB328" s="621"/>
      <c r="AC328" s="666"/>
      <c r="AD328" s="619"/>
      <c r="AE328" s="666"/>
      <c r="AF328" s="619"/>
      <c r="AG328" s="666"/>
      <c r="AH328" s="620"/>
      <c r="AI328" s="662"/>
      <c r="AJ328" s="659">
        <f>SUM(D328:AA328)</f>
        <v>0</v>
      </c>
      <c r="AK328" s="139" t="str">
        <f>CONCATENATE(IF(D329&gt;SUM(D346)," * Start HAART at ANC 1 for Age "&amp;D20&amp;" "&amp;D21&amp;" is more than Starting ART"&amp;CHAR(10),""),IF(E329&gt;SUM(E346)," * Start HAART at ANC 1  for Age "&amp;D20&amp;" "&amp;E21&amp;" is more than Starting ART"&amp;CHAR(10),""),IF(F329&gt;SUM(F346)," * Start HAART at ANC 1  for Age "&amp;F20&amp;" "&amp;F21&amp;" is more than Starting ART"&amp;CHAR(10),""),IF(G329&gt;SUM(G346)," * Start HAART at ANC 1  for Age "&amp;F20&amp;" "&amp;G21&amp;" is more than Starting ART"&amp;CHAR(10),""),IF(H329&gt;SUM(H346)," * Start HAART at ANC 1  for Age "&amp;H20&amp;" "&amp;H21&amp;" is more than Starting ART"&amp;CHAR(10),""),IF(I329&gt;SUM(I346)," * Start HAART at ANC 1  for Age "&amp;H20&amp;" "&amp;I21&amp;" is more than Starting ART"&amp;CHAR(10),""),IF(J329&gt;SUM(J346)," * Start HAART at ANC 1  for Age "&amp;J20&amp;" "&amp;J21&amp;" is more than Starting ART"&amp;CHAR(10),""),IF(K329&gt;SUM(K346)," * Start HAART at ANC 1  for Age "&amp;J20&amp;" "&amp;K21&amp;" is more than Starting ART"&amp;CHAR(10),""),IF(L329&gt;SUM(L346)," * Start HAART at ANC 1  for Age "&amp;L20&amp;" "&amp;L21&amp;" is more than Starting ART"&amp;CHAR(10),""),IF(M329&gt;SUM(M346)," * Start HAART at ANC 1  for Age "&amp;L20&amp;" "&amp;M21&amp;" is more than Starting ART"&amp;CHAR(10),""),IF(N329&gt;SUM(N346)," * Start HAART at ANC 1  for Age "&amp;N20&amp;" "&amp;N21&amp;" is more than Starting ART"&amp;CHAR(10),""),IF(O329&gt;SUM(O346)," * Start HAART at ANC 1  for Age "&amp;N20&amp;" "&amp;O21&amp;" is more than Starting ART"&amp;CHAR(10),""),IF(P329&gt;SUM(P346)," * Start HAART at ANC 1  for Age "&amp;P20&amp;" "&amp;P21&amp;" is more than Starting ART"&amp;CHAR(10),""),IF(Q329&gt;SUM(Q346)," * Start HAART at ANC 1  for Age "&amp;P20&amp;" "&amp;Q21&amp;" is more than Starting ART"&amp;CHAR(10),""),IF(R329&gt;SUM(R346)," * Start HAART at ANC 1  for Age "&amp;R20&amp;" "&amp;R21&amp;" is more than Starting ART"&amp;CHAR(10),""),IF(S329&gt;SUM(S346)," * Start HAART at ANC 1  for Age "&amp;R20&amp;" "&amp;S21&amp;" is more than Starting ART"&amp;CHAR(10),""),IF(T329&gt;SUM(T346)," * Start HAART at ANC 1  for Age "&amp;T20&amp;" "&amp;T21&amp;" is more than Starting ART"&amp;CHAR(10),""),IF(U329&gt;SUM(U346)," * Start HAART at ANC 1  for Age "&amp;T20&amp;" "&amp;U21&amp;" is more than Starting ART"&amp;CHAR(10),""),IF(V329&gt;SUM(V346)," * Start HAART at ANC 1  for Age "&amp;V20&amp;" "&amp;V21&amp;" is more than Starting ART"&amp;CHAR(10),""),IF(W329&gt;SUM(W346)," * Start HAART at ANC 1  for Age "&amp;V20&amp;" "&amp;W21&amp;" is more than Starting ART"&amp;CHAR(10),""),IF(X329&gt;SUM(X346)," * Start HAART at ANC 1  for Age "&amp;X20&amp;" "&amp;X21&amp;" is more than Starting ART"&amp;CHAR(10),""),IF(Y329&gt;SUM(Y346)," * Start HAART at ANC 1  for Age "&amp;X20&amp;" "&amp;Y21&amp;" is more than Starting ART"&amp;CHAR(10),""),IF(Z329&gt;SUM(Z346)," * Start HAART at ANC 1  for Age "&amp;Z20&amp;" "&amp;Z21&amp;" is more than Starting ART"&amp;CHAR(10),""),IF(AA329&gt;SUM(AA346)," * Start HAART at ANC 1  for Age "&amp;Z20&amp;" "&amp;AA21&amp;" is more than Starting ART"&amp;CHAR(10),""))</f>
        <v/>
      </c>
      <c r="AL328" s="1161" t="str">
        <f>CONCATENATE(AK328,AK329,AK333,AK335,AK339,AK340,AK341,AK342,AK334,AK336,AK337,AK331,AK330,AK332,AK338)</f>
        <v/>
      </c>
      <c r="AM328" s="73" t="str">
        <f>CONCATENATE(IF(D328&lt;D293," * ON HAART at 1st ANC for Age "&amp;D20&amp;" "&amp;D21&amp;" is less than KP at 1st ANC "&amp;CHAR(10),""),IF(E328&lt;E293," * ON HAART at 1st ANC for Age "&amp;D20&amp;" "&amp;E21&amp;" is less than KP at 1st ANC "&amp;CHAR(10),""),IF(F328&lt;F293," * ON HAART at 1st ANC for Age "&amp;F20&amp;" "&amp;F21&amp;" is less than KP at 1st ANC "&amp;CHAR(10),""),IF(G328&lt;G293," * ON HAART at 1st ANC for Age "&amp;F20&amp;" "&amp;G21&amp;" is less than KP at 1st ANC "&amp;CHAR(10),""),IF(H328&lt;H293," * ON HAART at 1st ANC for Age "&amp;H20&amp;" "&amp;H21&amp;" is less than KP at 1st ANC "&amp;CHAR(10),""),IF(I328&lt;I293," * ON HAART at 1st ANC for Age "&amp;H20&amp;" "&amp;I21&amp;" is less than KP at 1st ANC "&amp;CHAR(10),""),IF(J328&lt;J293," * ON HAART at 1st ANC for Age "&amp;J20&amp;" "&amp;J21&amp;" is less than KP at 1st ANC "&amp;CHAR(10),""),IF(K328&lt;K293," * ON HAART at 1st ANC for Age "&amp;J20&amp;" "&amp;K21&amp;" is less than KP at 1st ANC "&amp;CHAR(10),""),IF(L328&lt;L293," * ON HAART at 1st ANC for Age "&amp;L20&amp;" "&amp;L21&amp;" is less than KP at 1st ANC "&amp;CHAR(10),""),IF(M328&lt;M293," * ON HAART at 1st ANC for Age "&amp;L20&amp;" "&amp;M21&amp;" is less than KP at 1st ANC "&amp;CHAR(10),""),IF(N328&lt;N293," * ON HAART at 1st ANC for Age "&amp;N20&amp;" "&amp;N21&amp;" is less than KP at 1st ANC "&amp;CHAR(10),""),IF(O328&lt;O293," * ON HAART at 1st ANC for Age "&amp;N20&amp;" "&amp;O21&amp;" is less than KP at 1st ANC "&amp;CHAR(10),""),IF(P328&lt;P293," * ON HAART at 1st ANC for Age "&amp;P20&amp;" "&amp;P21&amp;" is less than KP at 1st ANC "&amp;CHAR(10),""),IF(Q328&lt;Q293," * ON HAART at 1st ANC for Age "&amp;P20&amp;" "&amp;Q21&amp;" is less than KP at 1st ANC "&amp;CHAR(10),""),IF(R328&lt;R293," * ON HAART at 1st ANC for Age "&amp;R20&amp;" "&amp;R21&amp;" is less than KP at 1st ANC "&amp;CHAR(10),""),IF(S328&lt;S293," * ON HAART at 1st ANC for Age "&amp;R20&amp;" "&amp;S21&amp;" is less than KP at 1st ANC "&amp;CHAR(10),""),IF(T328&lt;T293," * ON HAART at 1st ANC for Age "&amp;T20&amp;" "&amp;T21&amp;" is less than KP at 1st ANC "&amp;CHAR(10),""),IF(U328&lt;U293," * ON HAART at 1st ANC for Age "&amp;T20&amp;" "&amp;U21&amp;" is less than KP at 1st ANC "&amp;CHAR(10),""),IF(V328&lt;V293," * ON HAART at 1st ANC for Age "&amp;V20&amp;" "&amp;V21&amp;" is less than KP at 1st ANC "&amp;CHAR(10),""),IF(W328&lt;W293," * ON HAART at 1st ANC for Age "&amp;V20&amp;" "&amp;W21&amp;" is less than KP at 1st ANC "&amp;CHAR(10),""),IF(X328&lt;X293," * ON HAART at 1st ANC for Age "&amp;X20&amp;" "&amp;X21&amp;" is less than KP at 1st ANC "&amp;CHAR(10),""),IF(Y328&lt;Y293," * ON HAART at 1st ANC for Age "&amp;X20&amp;" "&amp;Y21&amp;" is less than KP at 1st ANC "&amp;CHAR(10),""),IF(Z328&lt;Z293," * ON HAART at 1st ANC for Age "&amp;Z20&amp;" "&amp;Z21&amp;" is less than KP at 1st ANC "&amp;CHAR(10),""),IF(AA328&lt;AA293," * ON HAART at 1st ANC for Age "&amp;Z20&amp;" "&amp;AA21&amp;" is less than KP at 1st ANC "&amp;CHAR(10),""))</f>
        <v/>
      </c>
      <c r="AN328" s="1151" t="str">
        <f>CONCATENATE(AM328,AM329,AM333,AM335,AM339,AM340,AM341,AM342,AM330,AM331,AM332,AM336,AM337)</f>
        <v/>
      </c>
      <c r="AO328" s="13">
        <v>230</v>
      </c>
      <c r="AP328" s="74"/>
      <c r="AQ328" s="75"/>
    </row>
    <row r="329" spans="1:43" ht="25.5" hidden="1" x14ac:dyDescent="0.75">
      <c r="A329" s="1220"/>
      <c r="B329" s="2" t="s">
        <v>471</v>
      </c>
      <c r="C329" s="571" t="s">
        <v>347</v>
      </c>
      <c r="D329" s="656"/>
      <c r="E329" s="656"/>
      <c r="F329" s="656"/>
      <c r="G329" s="656"/>
      <c r="H329" s="656"/>
      <c r="I329" s="656"/>
      <c r="J329" s="701"/>
      <c r="K329" s="699"/>
      <c r="L329" s="656"/>
      <c r="M329" s="657"/>
      <c r="N329" s="656"/>
      <c r="O329" s="657"/>
      <c r="P329" s="656"/>
      <c r="Q329" s="657"/>
      <c r="R329" s="656"/>
      <c r="S329" s="657"/>
      <c r="T329" s="656"/>
      <c r="U329" s="657"/>
      <c r="V329" s="656"/>
      <c r="W329" s="657"/>
      <c r="X329" s="656"/>
      <c r="Y329" s="657"/>
      <c r="Z329" s="656"/>
      <c r="AA329" s="709">
        <f t="shared" ref="AA329:AA338" si="138">SUM(AC329,AE329,AG329,AI329)</f>
        <v>0</v>
      </c>
      <c r="AB329" s="622"/>
      <c r="AC329" s="658"/>
      <c r="AD329" s="657"/>
      <c r="AE329" s="658"/>
      <c r="AF329" s="657"/>
      <c r="AG329" s="658"/>
      <c r="AH329" s="667"/>
      <c r="AI329" s="663"/>
      <c r="AJ329" s="659">
        <f t="shared" ref="AJ329:AJ342" si="139">SUM(D329:AA329)</f>
        <v>0</v>
      </c>
      <c r="AK329" s="116" t="str">
        <f>CONCATENATE(IF(D329&gt;SUM(D295)," * Start HAART at ANC 1 for Age "&amp;D20&amp;" "&amp;D21&amp;" is more than Positive Test at ANC 1"&amp;CHAR(10),""),IF(E329&gt;SUM(E295)," * Start HAART at ANC 1  for Age "&amp;D20&amp;" "&amp;E21&amp;" is more than Positive Test at ANC 1"&amp;CHAR(10),""),IF(F329&gt;SUM(F295)," * Start HAART at ANC 1  for Age "&amp;F20&amp;" "&amp;F21&amp;" is more than Positive Test at ANC 1"&amp;CHAR(10),""),IF(G329&gt;SUM(G295)," * Start HAART at ANC 1  for Age "&amp;F20&amp;" "&amp;G21&amp;" is more than Positive Test at ANC 1"&amp;CHAR(10),""),IF(H329&gt;SUM(H295)," * Start HAART at ANC 1  for Age "&amp;H20&amp;" "&amp;H21&amp;" is more than Positive Test at ANC 1"&amp;CHAR(10),""),IF(I329&gt;SUM(I295)," * Start HAART at ANC 1  for Age "&amp;H20&amp;" "&amp;I21&amp;" is more than Positive Test at ANC 1"&amp;CHAR(10),""),IF(J329&gt;SUM(J295)," * Start HAART at ANC 1  for Age "&amp;J20&amp;" "&amp;J21&amp;" is more than Positive Test at ANC 1"&amp;CHAR(10),""),IF(K329&gt;SUM(K295)," * Start HAART at ANC 1  for Age "&amp;J20&amp;" "&amp;K21&amp;" is more than Positive Test at ANC 1"&amp;CHAR(10),""),IF(L329&gt;SUM(L295)," * Start HAART at ANC 1  for Age "&amp;L20&amp;" "&amp;L21&amp;" is more than Positive Test at ANC 1"&amp;CHAR(10),""),IF(M329&gt;SUM(M295)," * Start HAART at ANC 1  for Age "&amp;L20&amp;" "&amp;M21&amp;" is more than Positive Test at ANC 1"&amp;CHAR(10),""),IF(N329&gt;SUM(N295)," * Start HAART at ANC 1  for Age "&amp;N20&amp;" "&amp;N21&amp;" is more than Positive Test at ANC 1"&amp;CHAR(10),""),IF(O329&gt;SUM(O295)," * Start HAART at ANC 1  for Age "&amp;N20&amp;" "&amp;O21&amp;" is more than Positive Test at ANC 1"&amp;CHAR(10),""),IF(P329&gt;SUM(P295)," * Start HAART at ANC 1  for Age "&amp;P20&amp;" "&amp;P21&amp;" is more than Positive Test at ANC 1"&amp;CHAR(10),""),IF(Q329&gt;SUM(Q295)," * Start HAART at ANC 1  for Age "&amp;P20&amp;" "&amp;Q21&amp;" is more than Positive Test at ANC 1"&amp;CHAR(10),""),IF(R329&gt;SUM(R295)," * Start HAART at ANC 1  for Age "&amp;R20&amp;" "&amp;R21&amp;" is more than Positive Test at ANC 1"&amp;CHAR(10),""),IF(S329&gt;SUM(S295)," * Start HAART at ANC 1  for Age "&amp;R20&amp;" "&amp;S21&amp;" is more than Positive Test at ANC 1"&amp;CHAR(10),""),IF(T329&gt;SUM(T295)," * Start HAART at ANC 1  for Age "&amp;T20&amp;" "&amp;T21&amp;" is more than Positive Test at ANC 1"&amp;CHAR(10),""),IF(U329&gt;SUM(U295)," * Start HAART at ANC 1  for Age "&amp;T20&amp;" "&amp;U21&amp;" is more than Positive Test at ANC 1"&amp;CHAR(10),""),IF(V329&gt;SUM(V295)," * Start HAART at ANC 1  for Age "&amp;V20&amp;" "&amp;V21&amp;" is more than Positive Test at ANC 1"&amp;CHAR(10),""),IF(W329&gt;SUM(W295)," * Start HAART at ANC 1  for Age "&amp;V20&amp;" "&amp;W21&amp;" is more than Positive Test at ANC 1"&amp;CHAR(10),""),IF(X329&gt;SUM(X295)," * Start HAART at ANC 1  for Age "&amp;X20&amp;" "&amp;X21&amp;" is more than Positive Test at ANC 1"&amp;CHAR(10),""),IF(Y329&gt;SUM(Y295)," * Start HAART at ANC 1  for Age "&amp;X20&amp;" "&amp;Y21&amp;" is more than Positive Test at ANC 1"&amp;CHAR(10),""),IF(Z329&gt;SUM(Z295)," * Start HAART at ANC 1  for Age "&amp;Z20&amp;" "&amp;Z21&amp;" is more than Positive Test at ANC 1"&amp;CHAR(10),""),IF(AA329&gt;SUM(AA295)," * Start HAART at ANC 1  for Age "&amp;Z20&amp;" "&amp;AA21&amp;" is more than Positive Test at ANC 1"&amp;CHAR(10),""),IF(AJ329&gt;SUM(AJ295)," * Total Start HAART at ANC 1  is more than Positive Test at ANC 1"&amp;CHAR(10),""))</f>
        <v/>
      </c>
      <c r="AL329" s="1162"/>
      <c r="AM329" s="31" t="str">
        <f>CONCATENATE(IF(D329&lt;SUM(D295)," * New positive at ANC1 for Age "&amp;D20&amp;" "&amp;D21&amp;" is greater than Start HAART ANC1"&amp;CHAR(10),""),IF(E329&lt;SUM(E295)," * New positive at ANC1 for Age "&amp;D20&amp;" "&amp;E21&amp;" is greater than Start HAART ANC1"&amp;CHAR(10),""),IF(F329&lt;SUM(F295)," * New positive at ANC1 for Age "&amp;F20&amp;" "&amp;F21&amp;" is greater than Start HAART ANC1"&amp;CHAR(10),""),IF(G329&lt;SUM(G295)," * New positive at ANC1 for Age "&amp;F20&amp;" "&amp;G21&amp;" is greater than Start HAART ANC1"&amp;CHAR(10),""),IF(H329&lt;SUM(H295)," * New positive at ANC1 for Age "&amp;H20&amp;" "&amp;H21&amp;" is greater than Start HAART ANC1"&amp;CHAR(10),""),IF(I329&lt;SUM(I295)," * New positive at ANC1 for Age "&amp;H20&amp;" "&amp;I21&amp;" is greater than Start HAART ANC1"&amp;CHAR(10),""),IF(J329&lt;SUM(J295)," * New positive at ANC1 for Age "&amp;J20&amp;" "&amp;J21&amp;" is greater than Start HAART ANC1"&amp;CHAR(10),""),IF(K329&lt;SUM(K295)," * New positive at ANC1 for Age "&amp;J20&amp;" "&amp;K21&amp;" is greater than Start HAART ANC1"&amp;CHAR(10),""),IF(L329&lt;SUM(L295)," * New positive at ANC1 for Age "&amp;L20&amp;" "&amp;L21&amp;" is greater than Start HAART ANC1"&amp;CHAR(10),""),IF(M329&lt;SUM(M295)," * New positive at ANC1 for Age "&amp;L20&amp;" "&amp;M21&amp;" is greater than Start HAART ANC1"&amp;CHAR(10),""),IF(N329&lt;SUM(N295)," * New positive at ANC1 for Age "&amp;N20&amp;" "&amp;N21&amp;" is greater than Start HAART ANC1"&amp;CHAR(10),""),IF(O329&lt;SUM(O295)," * New positive at ANC1 for Age "&amp;N20&amp;" "&amp;O21&amp;" is greater than Start HAART ANC1"&amp;CHAR(10),""),IF(P329&lt;SUM(P295)," * New positive at ANC1 for Age "&amp;P20&amp;" "&amp;P21&amp;" is greater than Start HAART ANC1"&amp;CHAR(10),""),IF(Q329&lt;SUM(Q295)," * New positive at ANC1 for Age "&amp;P20&amp;" "&amp;Q21&amp;" is greater than Start HAART ANC1"&amp;CHAR(10),""),IF(R329&lt;SUM(R295)," * New positive at ANC1 for Age "&amp;R20&amp;" "&amp;R21&amp;" is greater than Start HAART ANC1"&amp;CHAR(10),""),IF(S329&lt;SUM(S295)," * New positive at ANC1 for Age "&amp;R20&amp;" "&amp;S21&amp;" is greater than Start HAART ANC1"&amp;CHAR(10),""),IF(T329&lt;SUM(T295)," * New positive at ANC1 for Age "&amp;T20&amp;" "&amp;T21&amp;" is greater than Start HAART ANC1"&amp;CHAR(10),""),IF(U329&lt;SUM(U295)," * New positive at ANC1 for Age "&amp;T20&amp;" "&amp;U21&amp;" is greater than Start HAART ANC1"&amp;CHAR(10),""),IF(V329&lt;SUM(V295)," * New positive at ANC1 for Age "&amp;V20&amp;" "&amp;V21&amp;" is greater than Start HAART ANC1"&amp;CHAR(10),""),IF(W329&lt;SUM(W295)," * New positive at ANC1 for Age "&amp;V20&amp;" "&amp;W21&amp;" is greater than Start HAART ANC1"&amp;CHAR(10),""),IF(X329&lt;SUM(X295)," * New positive at ANC1 for Age "&amp;X20&amp;" "&amp;X21&amp;" is greater than Start HAART ANC1"&amp;CHAR(10),""),IF(Y329&lt;SUM(Y295)," * New positive at ANC1 for Age "&amp;X20&amp;" "&amp;Y21&amp;" is greater than Start HAART ANC1"&amp;CHAR(10),""),IF(Z329&lt;SUM(Z295)," * New positive at ANC1 for Age "&amp;Z20&amp;" "&amp;Z21&amp;" is greater than Start HAART ANC1"&amp;CHAR(10),""),IF(AA329&lt;SUM(AA295)," * New positive at ANC1 for Age "&amp;Z20&amp;" "&amp;AA21&amp;" is greater than Start HAART ANC1"&amp;CHAR(10),""))</f>
        <v/>
      </c>
      <c r="AN329" s="1152"/>
      <c r="AO329" s="13">
        <v>231</v>
      </c>
      <c r="AP329" s="74"/>
      <c r="AQ329" s="75"/>
    </row>
    <row r="330" spans="1:43" ht="25.9" hidden="1" thickBot="1" x14ac:dyDescent="0.8">
      <c r="A330" s="1221"/>
      <c r="B330" s="265" t="s">
        <v>472</v>
      </c>
      <c r="C330" s="592" t="s">
        <v>478</v>
      </c>
      <c r="D330" s="668"/>
      <c r="E330" s="668"/>
      <c r="F330" s="668"/>
      <c r="G330" s="668"/>
      <c r="H330" s="668"/>
      <c r="I330" s="668"/>
      <c r="J330" s="702"/>
      <c r="K330" s="710">
        <f>SUM(K328:K329)</f>
        <v>0</v>
      </c>
      <c r="L330" s="668"/>
      <c r="M330" s="669">
        <f>SUM(M328:M329)</f>
        <v>0</v>
      </c>
      <c r="N330" s="668"/>
      <c r="O330" s="669">
        <f>SUM(O328:O329)</f>
        <v>0</v>
      </c>
      <c r="P330" s="668"/>
      <c r="Q330" s="669">
        <f>SUM(Q328:Q329)</f>
        <v>0</v>
      </c>
      <c r="R330" s="668"/>
      <c r="S330" s="669">
        <f>SUM(S328:S329)</f>
        <v>0</v>
      </c>
      <c r="T330" s="668"/>
      <c r="U330" s="669">
        <f>SUM(U328:U329)</f>
        <v>0</v>
      </c>
      <c r="V330" s="668"/>
      <c r="W330" s="669">
        <f>SUM(W328:W329)</f>
        <v>0</v>
      </c>
      <c r="X330" s="668"/>
      <c r="Y330" s="669">
        <f>SUM(Y328:Y329)</f>
        <v>0</v>
      </c>
      <c r="Z330" s="668"/>
      <c r="AA330" s="688">
        <f t="shared" si="138"/>
        <v>0</v>
      </c>
      <c r="AB330" s="706">
        <f>SUM(AB328:AB329)</f>
        <v>0</v>
      </c>
      <c r="AC330" s="668"/>
      <c r="AD330" s="669">
        <f>SUM(AD328:AD329)</f>
        <v>0</v>
      </c>
      <c r="AE330" s="668"/>
      <c r="AF330" s="669">
        <f>SUM(AF328:AF329)</f>
        <v>0</v>
      </c>
      <c r="AG330" s="668"/>
      <c r="AH330" s="670">
        <f>SUM(AH328:AH329)</f>
        <v>0</v>
      </c>
      <c r="AI330" s="664"/>
      <c r="AJ330" s="659">
        <f t="shared" si="139"/>
        <v>0</v>
      </c>
      <c r="AK330" s="116"/>
      <c r="AL330" s="1162"/>
      <c r="AM330" s="31"/>
      <c r="AN330" s="1152"/>
      <c r="AO330" s="13">
        <v>232</v>
      </c>
      <c r="AP330" s="74"/>
      <c r="AQ330" s="75"/>
    </row>
    <row r="331" spans="1:43" ht="25.5" hidden="1" x14ac:dyDescent="0.75">
      <c r="A331" s="1132" t="s">
        <v>953</v>
      </c>
      <c r="B331" s="1" t="s">
        <v>665</v>
      </c>
      <c r="C331" s="591" t="s">
        <v>479</v>
      </c>
      <c r="D331" s="665"/>
      <c r="E331" s="665"/>
      <c r="F331" s="665"/>
      <c r="G331" s="665"/>
      <c r="H331" s="665"/>
      <c r="I331" s="665"/>
      <c r="J331" s="700"/>
      <c r="K331" s="689"/>
      <c r="L331" s="665"/>
      <c r="M331" s="619"/>
      <c r="N331" s="665"/>
      <c r="O331" s="619"/>
      <c r="P331" s="665"/>
      <c r="Q331" s="619"/>
      <c r="R331" s="665"/>
      <c r="S331" s="619"/>
      <c r="T331" s="665"/>
      <c r="U331" s="619"/>
      <c r="V331" s="665"/>
      <c r="W331" s="619"/>
      <c r="X331" s="665"/>
      <c r="Y331" s="619"/>
      <c r="Z331" s="665"/>
      <c r="AA331" s="687">
        <f t="shared" si="138"/>
        <v>0</v>
      </c>
      <c r="AB331" s="621"/>
      <c r="AC331" s="666"/>
      <c r="AD331" s="619"/>
      <c r="AE331" s="666"/>
      <c r="AF331" s="619"/>
      <c r="AG331" s="666"/>
      <c r="AH331" s="620"/>
      <c r="AI331" s="671"/>
      <c r="AJ331" s="606">
        <f t="shared" si="139"/>
        <v>0</v>
      </c>
      <c r="AK331" s="116"/>
      <c r="AL331" s="1162"/>
      <c r="AM331" s="60" t="str">
        <f>CONCATENATE(IF(D332&lt;&gt;SUM(D301)," * Retest Positive Result at ANC 2 and above for Age "&amp;D20&amp;" "&amp;D21&amp;" is not equal to Initial start HAART at ANC2 and above"&amp;CHAR(10),""),IF(E332&lt;&gt;SUM(E301)," * Retest Positive Result at ANC 2 and above for Age "&amp;D20&amp;" "&amp;E21&amp;" is not equal to Initial start HAART at ANC2 and above"&amp;CHAR(10),""),IF(F332&lt;&gt;SUM(F301)," * Retest Positive Result at ANC 2 and above for Age "&amp;F20&amp;" "&amp;F21&amp;" is not equal to Initial start HAART at ANC2 and above"&amp;CHAR(10),""),IF(G332&lt;&gt;SUM(G301)," * Retest Positive Result at ANC 2 and above for Age "&amp;F20&amp;" "&amp;G21&amp;" is not equal to Initial start HAART at ANC2 and above"&amp;CHAR(10),""),IF(H332&lt;&gt;SUM(H301)," * Retest Positive Result at ANC 2 and above for Age "&amp;H20&amp;" "&amp;H21&amp;" is not equal to Initial start HAART at ANC2 and above"&amp;CHAR(10),""),IF(I332&lt;&gt;SUM(I301)," * Retest Positive Result at ANC 2 and above for Age "&amp;H20&amp;" "&amp;I21&amp;" is not equal to Initial start HAART at ANC2 and above"&amp;CHAR(10),""),IF(J332&lt;&gt;SUM(J301)," * Retest Positive Result at ANC 2 and above for Age "&amp;J20&amp;" "&amp;J21&amp;" is not equal to Initial start HAART at ANC2 and above"&amp;CHAR(10),""),IF(K332&lt;&gt;K301," * Retest Positive Result at ANC 2 and above for Age "&amp;J20&amp;" "&amp;K21&amp;" is not equal to Initial start HAART at ANC2 and above"&amp;CHAR(10),""),IF(L332&lt;&gt;SUM(L301)," * Retest Positive Result at ANC 2 and above for Age "&amp;L20&amp;" "&amp;L21&amp;" is not equal to Initial start HAART at ANC2 and above"&amp;CHAR(10),""),IF(M332&lt;&gt;SUM(M301)," * Retest Positive Result at ANC 2 and above for Age "&amp;L20&amp;" "&amp;M21&amp;" is not equal to Initial start HAART at ANC2 and above"&amp;CHAR(10),""),IF(N332&lt;&gt;SUM(N301)," * Retest Positive Result at ANC 2 and above for Age "&amp;N20&amp;" "&amp;N21&amp;" is not equal to Initial start HAART at ANC2 and above"&amp;CHAR(10),""),IF(O332&lt;&gt;SUM(O301)," * Retest Positive Result at ANC 2 and above for Age "&amp;N20&amp;" "&amp;O21&amp;" is not equal to Initial start HAART at ANC2 and above"&amp;CHAR(10),""),IF(P332&lt;&gt;SUM(P301)," * Retest Positive Result at ANC 2 and above for Age "&amp;P20&amp;" "&amp;P21&amp;" is not equal to Initial start HAART at ANC2 and above"&amp;CHAR(10),""),IF(Q332&lt;&gt;SUM(Q301)," * Retest Positive Result at ANC 2 and above for Age "&amp;P20&amp;" "&amp;Q21&amp;" is not equal to Initial start HAART at ANC2 and above"&amp;CHAR(10),""),IF(R332&lt;&gt;SUM(R301)," * Retest Positive Result at ANC 2 and above for Age "&amp;R20&amp;" "&amp;R21&amp;" is not equal to Initial start HAART at ANC2 and above"&amp;CHAR(10),""),IF(S332&lt;&gt;SUM(S301)," * Retest Positive Result at ANC 2 and above for Age "&amp;R20&amp;" "&amp;S21&amp;" is not equal to Initial start HAART at ANC2 and above"&amp;CHAR(10),""),IF(T332&lt;&gt;SUM(T301)," * Retest Positive Result at ANC 2 and above for Age "&amp;T20&amp;" "&amp;T21&amp;" is not equal to Initial start HAART at ANC2 and above"&amp;CHAR(10),""),IF(U332&lt;&gt;SUM(U301)," * Retest Positive Result at ANC 2 and above for Age "&amp;T20&amp;" "&amp;U21&amp;" is not equal to Initial start HAART at ANC2 and above"&amp;CHAR(10),""),IF(V332&lt;&gt;SUM(V301)," * Retest Positive Result at ANC 2 and above for Age "&amp;V20&amp;" "&amp;V21&amp;" is not equal to Initial start HAART at ANC2 and above"&amp;CHAR(10),""),IF(W332&lt;&gt;SUM(W301)," * Retest Positive Result at ANC 2 and above for Age "&amp;V20&amp;" "&amp;W21&amp;" is not equal to Initial start HAART at ANC2 and above"&amp;CHAR(10),""),IF(X332&lt;&gt;SUM(X301)," * Retest Positive Result at ANC 2 and above for Age "&amp;X20&amp;" "&amp;X21&amp;" is not equal to Initial start HAART at ANC2 and above"&amp;CHAR(10),""),IF(Y332&lt;&gt;SUM(Y301)," * Retest Positive Result at ANC 2 and above for Age "&amp;X20&amp;" "&amp;Y21&amp;" is not equal to Initial start HAART at ANC2 and above"&amp;CHAR(10),""),IF(Z332&lt;&gt;SUM(Z301)," * Retest Positive Result at ANC 2 and above for Age "&amp;Z20&amp;" "&amp;Z21&amp;" is not equal to Initial start HAART at ANC2 and above"&amp;CHAR(10),""),IF(AA332&lt;&gt;SUM(AA301)," * Retest Positive Result at ANC 2 and above for Age "&amp;Z20&amp;" "&amp;AA21&amp;" is not equal to Initial start HAART at ANC2 and above"&amp;CHAR(10),""))</f>
        <v/>
      </c>
      <c r="AN331" s="1152"/>
      <c r="AO331" s="13">
        <v>233</v>
      </c>
      <c r="AP331" s="74"/>
      <c r="AQ331" s="75"/>
    </row>
    <row r="332" spans="1:43" ht="25.9" hidden="1" thickBot="1" x14ac:dyDescent="0.8">
      <c r="A332" s="1134"/>
      <c r="B332" s="3" t="s">
        <v>474</v>
      </c>
      <c r="C332" s="592" t="s">
        <v>480</v>
      </c>
      <c r="D332" s="668"/>
      <c r="E332" s="668"/>
      <c r="F332" s="668"/>
      <c r="G332" s="668"/>
      <c r="H332" s="668"/>
      <c r="I332" s="668"/>
      <c r="J332" s="702"/>
      <c r="K332" s="690"/>
      <c r="L332" s="668"/>
      <c r="M332" s="673"/>
      <c r="N332" s="668"/>
      <c r="O332" s="673"/>
      <c r="P332" s="668"/>
      <c r="Q332" s="673"/>
      <c r="R332" s="668"/>
      <c r="S332" s="673"/>
      <c r="T332" s="668"/>
      <c r="U332" s="673"/>
      <c r="V332" s="668"/>
      <c r="W332" s="673"/>
      <c r="X332" s="668"/>
      <c r="Y332" s="673"/>
      <c r="Z332" s="668"/>
      <c r="AA332" s="688">
        <f t="shared" si="138"/>
        <v>0</v>
      </c>
      <c r="AB332" s="707"/>
      <c r="AC332" s="674"/>
      <c r="AD332" s="673"/>
      <c r="AE332" s="674"/>
      <c r="AF332" s="673"/>
      <c r="AG332" s="674"/>
      <c r="AH332" s="675"/>
      <c r="AI332" s="672"/>
      <c r="AJ332" s="606">
        <f t="shared" si="139"/>
        <v>0</v>
      </c>
      <c r="AK332" s="116"/>
      <c r="AL332" s="1162"/>
      <c r="AM332" s="60" t="str">
        <f>CONCATENATE(IF(D332&lt;&gt;SUM(D301)," * Retest Positive Result at ANC 2 and above for Age "&amp;D20&amp;" "&amp;D21&amp;" is not equal to Retest start HAART at ANC2 and above"&amp;CHAR(10),""),IF(E332&lt;&gt;SUM(E301)," * Retest Positive Result at ANC 2 and above for Age "&amp;D20&amp;" "&amp;E21&amp;" is not equal to Retest start HAART at ANC2 and above"&amp;CHAR(10),""),IF(F332&lt;&gt;SUM(F301)," * Retest Positive Result at ANC 2 and above for Age "&amp;F20&amp;" "&amp;F21&amp;" is not equal to Retest start HAART at ANC2 and above"&amp;CHAR(10),""),IF(G332&lt;&gt;SUM(G301)," * Retest Positive Result at ANC 2 and above for Age "&amp;F20&amp;" "&amp;G21&amp;" is not equal to Retest start HAART at ANC2 and above"&amp;CHAR(10),""),IF(H332&lt;&gt;SUM(H301)," * Retest Positive Result at ANC 2 and above for Age "&amp;H20&amp;" "&amp;H21&amp;" is not equal to Retest start HAART at ANC2 and above"&amp;CHAR(10),""),IF(I332&lt;&gt;SUM(I301)," * Retest Positive Result at ANC 2 and above for Age "&amp;H20&amp;" "&amp;I21&amp;" is not equal to Retest start HAART at ANC2 and above"&amp;CHAR(10),""),IF(J332&lt;&gt;SUM(J301)," * Retest Positive Result at ANC 2 and above for Age "&amp;J20&amp;" "&amp;J21&amp;" is not equal to Retest start HAART at ANC2 and above"&amp;CHAR(10),""),IF(K332&lt;&gt;K301," * Retest Positive Result at ANC 2 and above for Age "&amp;J20&amp;" "&amp;K21&amp;" is not equal to Retest start HAART at ANC2 and above"&amp;CHAR(10),""),IF(L332&lt;&gt;SUM(L301)," * Retest Positive Result at ANC 2 and above for Age "&amp;L20&amp;" "&amp;L21&amp;" is not equal to Retest start HAART at ANC2 and above"&amp;CHAR(10),""),IF(M332&lt;&gt;SUM(M301)," * Retest Positive Result at ANC 2 and above for Age "&amp;L20&amp;" "&amp;M21&amp;" is not equal to Retest start HAART at ANC2 and above"&amp;CHAR(10),""),IF(N332&lt;&gt;SUM(N301)," * Retest Positive Result at ANC 2 and above for Age "&amp;N20&amp;" "&amp;N21&amp;" is not equal to Retest start HAART at ANC2 and above"&amp;CHAR(10),""),IF(O332&lt;&gt;SUM(O301)," * Retest Positive Result at ANC 2 and above for Age "&amp;N20&amp;" "&amp;O21&amp;" is not equal to Retest start HAART at ANC2 and above"&amp;CHAR(10),""),IF(P332&lt;&gt;SUM(P301)," * Retest Positive Result at ANC 2 and above for Age "&amp;P20&amp;" "&amp;P21&amp;" is not equal to Retest start HAART at ANC2 and above"&amp;CHAR(10),""),IF(Q332&lt;&gt;SUM(Q301)," * Retest Positive Result at ANC 2 and above for Age "&amp;P20&amp;" "&amp;Q21&amp;" is not equal to Retest start HAART at ANC2 and above"&amp;CHAR(10),""),IF(R332&lt;&gt;SUM(R301)," * Retest Positive Result at ANC 2 and above for Age "&amp;R20&amp;" "&amp;R21&amp;" is not equal to Retest start HAART at ANC2 and above"&amp;CHAR(10),""),IF(S332&lt;&gt;SUM(S301)," * Retest Positive Result at ANC 2 and above for Age "&amp;R20&amp;" "&amp;S21&amp;" is not equal to Retest start HAART at ANC2 and above"&amp;CHAR(10),""),IF(T332&lt;&gt;SUM(T301)," * Retest Positive Result at ANC 2 and above for Age "&amp;T20&amp;" "&amp;T21&amp;" is not equal to Retest start HAART at ANC2 and above"&amp;CHAR(10),""),IF(U332&lt;&gt;SUM(U301)," * Retest Positive Result at ANC 2 and above for Age "&amp;T20&amp;" "&amp;U21&amp;" is not equal to Retest start HAART at ANC2 and above"&amp;CHAR(10),""),IF(V332&lt;&gt;SUM(V301)," * Retest Positive Result at ANC 2 and above for Age "&amp;V20&amp;" "&amp;V21&amp;" is not equal to Retest start HAART at ANC2 and above"&amp;CHAR(10),""),IF(W332&lt;&gt;SUM(W301)," * Retest Positive Result at ANC 2 and above for Age "&amp;V20&amp;" "&amp;W21&amp;" is not equal to Retest start HAART at ANC2 and above"&amp;CHAR(10),""),IF(X332&lt;&gt;SUM(X301)," * Retest Positive Result at ANC 2 and above for Age "&amp;X20&amp;" "&amp;X21&amp;" is not equal to Retest start HAART at ANC2 and above"&amp;CHAR(10),""),IF(Y332&lt;&gt;SUM(Y301)," * Retest Positive Result at ANC 2 and above for Age "&amp;X20&amp;" "&amp;Y21&amp;" is not equal to Retest start HAART at ANC2 and above"&amp;CHAR(10),""),IF(Z332&lt;&gt;SUM(Z301)," * Retest Positive Result at ANC 2 and above for Age "&amp;Z20&amp;" "&amp;Z21&amp;" is not equal to Retest start HAART at ANC2 and above"&amp;CHAR(10),""),IF(AA332&lt;&gt;SUM(AA301)," * Retest Positive Result at ANC 2 and above for Age "&amp;Z20&amp;" "&amp;AA21&amp;" is not equal to Retest start HAART at ANC2 and above"&amp;CHAR(10),""))</f>
        <v/>
      </c>
      <c r="AN332" s="1152"/>
      <c r="AO332" s="13">
        <v>234</v>
      </c>
      <c r="AP332" s="74"/>
      <c r="AQ332" s="75"/>
    </row>
    <row r="333" spans="1:43" s="61" customFormat="1" ht="25.5" hidden="1" x14ac:dyDescent="0.75">
      <c r="A333" s="1167" t="s">
        <v>461</v>
      </c>
      <c r="B333" s="1" t="s">
        <v>1308</v>
      </c>
      <c r="C333" s="591" t="s">
        <v>348</v>
      </c>
      <c r="D333" s="665"/>
      <c r="E333" s="665"/>
      <c r="F333" s="665"/>
      <c r="G333" s="665"/>
      <c r="H333" s="665"/>
      <c r="I333" s="665"/>
      <c r="J333" s="700"/>
      <c r="K333" s="689"/>
      <c r="L333" s="665"/>
      <c r="M333" s="619"/>
      <c r="N333" s="665"/>
      <c r="O333" s="619"/>
      <c r="P333" s="665"/>
      <c r="Q333" s="619"/>
      <c r="R333" s="665"/>
      <c r="S333" s="619"/>
      <c r="T333" s="665"/>
      <c r="U333" s="619"/>
      <c r="V333" s="665"/>
      <c r="W333" s="619"/>
      <c r="X333" s="665"/>
      <c r="Y333" s="619"/>
      <c r="Z333" s="665"/>
      <c r="AA333" s="687">
        <f t="shared" si="138"/>
        <v>0</v>
      </c>
      <c r="AB333" s="621"/>
      <c r="AC333" s="666"/>
      <c r="AD333" s="619"/>
      <c r="AE333" s="666"/>
      <c r="AF333" s="619"/>
      <c r="AG333" s="666"/>
      <c r="AH333" s="620"/>
      <c r="AI333" s="672"/>
      <c r="AJ333" s="606">
        <f t="shared" si="139"/>
        <v>0</v>
      </c>
      <c r="AK333" s="226" t="str">
        <f>CONCATENATE(IF(D333&gt;D303," * start HAART L&amp;D  for Age "&amp;D20&amp;" "&amp;D21&amp;" is more than Positive Result L&amp;D "&amp;CHAR(10),""),IF(E333&gt;E303," * start HAART L&amp;D  for Age "&amp;D20&amp;" "&amp;E21&amp;" is more than Positive Result L&amp;D "&amp;CHAR(10),""),IF(F333&gt;F303," * start HAART L&amp;D  for Age "&amp;F20&amp;" "&amp;F21&amp;" is more than Positive Result L&amp;D "&amp;CHAR(10),""),IF(G333&gt;G303," * start HAART L&amp;D  for Age "&amp;F20&amp;" "&amp;G21&amp;" is more than Positive Result L&amp;D "&amp;CHAR(10),""),IF(H333&gt;H303," * start HAART L&amp;D  for Age "&amp;H20&amp;" "&amp;H21&amp;" is more than Positive Result L&amp;D "&amp;CHAR(10),""),IF(I333&gt;I303," * start HAART L&amp;D  for Age "&amp;H20&amp;" "&amp;I21&amp;" is more than Positive Result L&amp;D "&amp;CHAR(10),""),IF(J333&gt;J303," * start HAART L&amp;D  for Age "&amp;J20&amp;" "&amp;J21&amp;" is more than Positive Result L&amp;D "&amp;CHAR(10),""),IF(K333&gt;K303," * start HAART L&amp;D  for Age "&amp;J20&amp;" "&amp;K21&amp;" is more than Positive Result L&amp;D "&amp;CHAR(10),""),IF(L333&gt;L303," * start HAART L&amp;D  for Age "&amp;L20&amp;" "&amp;L21&amp;" is more than Positive Result L&amp;D "&amp;CHAR(10),""),IF(M333&gt;M303," * start HAART L&amp;D  for Age "&amp;L20&amp;" "&amp;M21&amp;" is more than Positive Result L&amp;D "&amp;CHAR(10),""),IF(N333&gt;N303," * start HAART L&amp;D  for Age "&amp;N20&amp;" "&amp;N21&amp;" is more than Positive Result L&amp;D "&amp;CHAR(10),""),IF(O333&gt;O303," * start HAART L&amp;D  for Age "&amp;N20&amp;" "&amp;O21&amp;" is more than Positive Result L&amp;D "&amp;CHAR(10),""),IF(P333&gt;P303," * start HAART L&amp;D  for Age "&amp;P20&amp;" "&amp;P21&amp;" is more than Positive Result L&amp;D "&amp;CHAR(10),""),IF(Q333&gt;Q303," * start HAART L&amp;D  for Age "&amp;P20&amp;" "&amp;Q21&amp;" is more than Positive Result L&amp;D "&amp;CHAR(10),""),IF(R333&gt;R303," * start HAART L&amp;D  for Age "&amp;R20&amp;" "&amp;R21&amp;" is more than Positive Result L&amp;D "&amp;CHAR(10),""),IF(S333&gt;S303," * start HAART L&amp;D  for Age "&amp;R20&amp;" "&amp;S21&amp;" is more than Positive Result L&amp;D "&amp;CHAR(10),""),IF(T333&gt;T303," * start HAART L&amp;D  for Age "&amp;T20&amp;" "&amp;T21&amp;" is more than Positive Result L&amp;D "&amp;CHAR(10),""),IF(U333&gt;U303," * start HAART L&amp;D  for Age "&amp;T20&amp;" "&amp;U21&amp;" is more than Positive Result L&amp;D "&amp;CHAR(10),""),IF(V333&gt;V303," * start HAART L&amp;D  for Age "&amp;V20&amp;" "&amp;V21&amp;" is more than Positive Result L&amp;D "&amp;CHAR(10),""),IF(W333&gt;W303," * start HAART L&amp;D  for Age "&amp;V20&amp;" "&amp;W21&amp;" is more than Positive Result L&amp;D "&amp;CHAR(10),""),IF(X333&gt;X303," * start HAART L&amp;D  for Age "&amp;X20&amp;" "&amp;X21&amp;" is more than Positive Result L&amp;D "&amp;CHAR(10),""),IF(Y333&gt;Y303," * start HAART L&amp;D  for Age "&amp;X20&amp;" "&amp;Y21&amp;" is more than Positive Result L&amp;D "&amp;CHAR(10),""),IF(Z333&gt;Z303," * start HAART L&amp;D  for Age "&amp;Z20&amp;" "&amp;Z21&amp;" is more than Positive Result L&amp;D "&amp;CHAR(10),""),IF(AA333&gt;AA303," * start HAART L&amp;D  for Age "&amp;Z20&amp;" "&amp;AA21&amp;" is more than Positive Result L&amp;D "&amp;CHAR(10),"")
)</f>
        <v/>
      </c>
      <c r="AL333" s="1162"/>
      <c r="AM333" s="60" t="str">
        <f>CONCATENATE(IF(D333&lt;D303," * start HAART L&amp;D  for Age "&amp;D20&amp;" "&amp;D21&amp;" is less than Positive Result L&amp;D "&amp;CHAR(10),""),IF(E333&lt;E303," * start HAART L&amp;D  for Age "&amp;D20&amp;" "&amp;E21&amp;" is less than Positive Result L&amp;D "&amp;CHAR(10),""),IF(F333&lt;F303," * start HAART L&amp;D  for Age "&amp;F20&amp;" "&amp;F21&amp;" is less than Positive Result L&amp;D "&amp;CHAR(10),""),IF(G333&lt;G303," * start HAART L&amp;D  for Age "&amp;F20&amp;" "&amp;G21&amp;" is less than Positive Result L&amp;D "&amp;CHAR(10),""),IF(H333&lt;H303," * start HAART L&amp;D  for Age "&amp;H20&amp;" "&amp;H21&amp;" is less than Positive Result L&amp;D "&amp;CHAR(10),""),IF(I333&lt;I303," * start HAART L&amp;D  for Age "&amp;H20&amp;" "&amp;I21&amp;" is less than Positive Result L&amp;D "&amp;CHAR(10),""),IF(J333&lt;J303," * start HAART L&amp;D  for Age "&amp;J20&amp;" "&amp;J21&amp;" is less than Positive Result L&amp;D "&amp;CHAR(10),""),IF(K333&lt;K303," * start HAART L&amp;D  for Age "&amp;J20&amp;" "&amp;K21&amp;" is less than Positive Result L&amp;D "&amp;CHAR(10),""),IF(L333&lt;L303," * start HAART L&amp;D  for Age "&amp;L20&amp;" "&amp;L21&amp;" is less than Positive Result L&amp;D "&amp;CHAR(10),""),IF(M333&lt;M303," * start HAART L&amp;D  for Age "&amp;L20&amp;" "&amp;M21&amp;" is less than Positive Result L&amp;D "&amp;CHAR(10),""),IF(N333&lt;N303," * start HAART L&amp;D  for Age "&amp;N20&amp;" "&amp;N21&amp;" is less than Positive Result L&amp;D "&amp;CHAR(10),""),IF(O333&lt;O303," * start HAART L&amp;D  for Age "&amp;N20&amp;" "&amp;O21&amp;" is less than Positive Result L&amp;D "&amp;CHAR(10),""),IF(P333&lt;P303," * start HAART L&amp;D  for Age "&amp;P20&amp;" "&amp;P21&amp;" is less than Positive Result L&amp;D "&amp;CHAR(10),""),IF(Q333&lt;Q303," * start HAART L&amp;D  for Age "&amp;P20&amp;" "&amp;Q21&amp;" is less than Positive Result L&amp;D "&amp;CHAR(10),""),IF(R333&lt;R303," * start HAART L&amp;D  for Age "&amp;R20&amp;" "&amp;R21&amp;" is less than Positive Result L&amp;D "&amp;CHAR(10),""),IF(S333&lt;S303," * start HAART L&amp;D  for Age "&amp;R20&amp;" "&amp;S21&amp;" is less than Positive Result L&amp;D "&amp;CHAR(10),""),IF(T333&lt;T303," * start HAART L&amp;D  for Age "&amp;T20&amp;" "&amp;T21&amp;" is less than Positive Result L&amp;D "&amp;CHAR(10),""),IF(U333&lt;U303," * start HAART L&amp;D  for Age "&amp;T20&amp;" "&amp;U21&amp;" is less than Positive Result L&amp;D "&amp;CHAR(10),""),IF(V333&lt;V303," * start HAART L&amp;D  for Age "&amp;V20&amp;" "&amp;V21&amp;" is less than Positive Result L&amp;D "&amp;CHAR(10),""),IF(W333&lt;W303," * start HAART L&amp;D  for Age "&amp;V20&amp;" "&amp;W21&amp;" is less than Positive Result L&amp;D "&amp;CHAR(10),""),IF(X333&lt;X303," * start HAART L&amp;D  for Age "&amp;X20&amp;" "&amp;X21&amp;" is less than Positive Result L&amp;D "&amp;CHAR(10),""),IF(Y333&lt;Y303," * start HAART L&amp;D  for Age "&amp;X20&amp;" "&amp;Y21&amp;" is less than Positive Result L&amp;D "&amp;CHAR(10),""),IF(Z333&lt;Z303," * start HAART L&amp;D  for Age "&amp;Z20&amp;" "&amp;Z21&amp;" is less than Positive Result L&amp;D "&amp;CHAR(10),""),IF(AA333&lt;AA303," * start HAART L&amp;D  for Age "&amp;Z20&amp;" "&amp;AA21&amp;" is less than Positive Result L&amp;D "&amp;CHAR(10),""))</f>
        <v/>
      </c>
      <c r="AN333" s="1152"/>
      <c r="AO333" s="13">
        <v>235</v>
      </c>
      <c r="AP333" s="80"/>
      <c r="AQ333" s="75"/>
    </row>
    <row r="334" spans="1:43" s="61" customFormat="1" ht="25.9" hidden="1" thickBot="1" x14ac:dyDescent="0.8">
      <c r="A334" s="1168"/>
      <c r="B334" s="3" t="s">
        <v>605</v>
      </c>
      <c r="C334" s="592" t="s">
        <v>606</v>
      </c>
      <c r="D334" s="668"/>
      <c r="E334" s="668"/>
      <c r="F334" s="668"/>
      <c r="G334" s="668"/>
      <c r="H334" s="668"/>
      <c r="I334" s="668"/>
      <c r="J334" s="702"/>
      <c r="K334" s="690"/>
      <c r="L334" s="668"/>
      <c r="M334" s="673"/>
      <c r="N334" s="668"/>
      <c r="O334" s="673"/>
      <c r="P334" s="668"/>
      <c r="Q334" s="673"/>
      <c r="R334" s="668"/>
      <c r="S334" s="673"/>
      <c r="T334" s="668"/>
      <c r="U334" s="673"/>
      <c r="V334" s="668"/>
      <c r="W334" s="673"/>
      <c r="X334" s="668"/>
      <c r="Y334" s="673"/>
      <c r="Z334" s="668"/>
      <c r="AA334" s="688">
        <f t="shared" si="138"/>
        <v>0</v>
      </c>
      <c r="AB334" s="707"/>
      <c r="AC334" s="674"/>
      <c r="AD334" s="673"/>
      <c r="AE334" s="674"/>
      <c r="AF334" s="673"/>
      <c r="AG334" s="674"/>
      <c r="AH334" s="675"/>
      <c r="AI334" s="672"/>
      <c r="AJ334" s="606">
        <f t="shared" si="139"/>
        <v>0</v>
      </c>
      <c r="AK334" s="226" t="str">
        <f>CONCATENATE(IF(D334&gt;D305," * Retested start HAART L&amp;D  for Age "&amp;D20&amp;" "&amp;D21&amp;" is more than Retested Positive Result L&amp;D "&amp;CHAR(10),""),IF(E334&gt;E305," * Retested start HAART L&amp;D  for Age "&amp;D20&amp;" "&amp;E21&amp;" is more than Retested Positive Result L&amp;D "&amp;CHAR(10),""),IF(F334&gt;F305," * Retested start HAART L&amp;D  for Age "&amp;F20&amp;" "&amp;F21&amp;" is more than Retested Positive Result L&amp;D "&amp;CHAR(10),""),IF(G334&gt;G305," * Retested start HAART L&amp;D  for Age "&amp;F20&amp;" "&amp;G21&amp;" is more than Retested Positive Result L&amp;D "&amp;CHAR(10),""),IF(H334&gt;H305," * Retested start HAART L&amp;D  for Age "&amp;H20&amp;" "&amp;H21&amp;" is more than Retested Positive Result L&amp;D "&amp;CHAR(10),""),IF(I334&gt;I305," * Retested start HAART L&amp;D  for Age "&amp;H20&amp;" "&amp;I21&amp;" is more than Retested Positive Result L&amp;D "&amp;CHAR(10),""),IF(J334&gt;J305," * Retested start HAART L&amp;D  for Age "&amp;J20&amp;" "&amp;J21&amp;" is more than Retested Positive Result L&amp;D "&amp;CHAR(10),""),IF(K334&gt;K305," * Retested start HAART L&amp;D  for Age "&amp;J20&amp;" "&amp;K21&amp;" is more than Retested Positive Result L&amp;D "&amp;CHAR(10),""),IF(L334&gt;L305," * Retested start HAART L&amp;D  for Age "&amp;L20&amp;" "&amp;L21&amp;" is more than Retested Positive Result L&amp;D "&amp;CHAR(10),""),IF(M334&gt;M305," * Retested start HAART L&amp;D  for Age "&amp;L20&amp;" "&amp;M21&amp;" is more than Retested Positive Result L&amp;D "&amp;CHAR(10),""),IF(N334&gt;N305," * Retested start HAART L&amp;D  for Age "&amp;N20&amp;" "&amp;N21&amp;" is more than Retested Positive Result L&amp;D "&amp;CHAR(10),""),IF(O334&gt;O305," * Retested start HAART L&amp;D  for Age "&amp;N20&amp;" "&amp;O21&amp;" is more than Retested Positive Result L&amp;D "&amp;CHAR(10),""),IF(P334&gt;P305," * Retested start HAART L&amp;D  for Age "&amp;P20&amp;" "&amp;P21&amp;" is more than Retested Positive Result L&amp;D "&amp;CHAR(10),""),IF(Q334&gt;Q305," * Retested start HAART L&amp;D  for Age "&amp;P20&amp;" "&amp;Q21&amp;" is more than Retested Positive Result L&amp;D "&amp;CHAR(10),""),IF(R334&gt;R305," * Retested start HAART L&amp;D  for Age "&amp;R20&amp;" "&amp;R21&amp;" is more than Retested Positive Result L&amp;D "&amp;CHAR(10),""),IF(S334&gt;S305," * Retested start HAART L&amp;D  for Age "&amp;R20&amp;" "&amp;S21&amp;" is more than Retested Positive Result L&amp;D "&amp;CHAR(10),""),IF(T334&gt;T305," * Retested start HAART L&amp;D  for Age "&amp;T20&amp;" "&amp;T21&amp;" is more than Retested Positive Result L&amp;D "&amp;CHAR(10),""),IF(U334&gt;U305," * Retested start HAART L&amp;D  for Age "&amp;T20&amp;" "&amp;U21&amp;" is more than Retested Positive Result L&amp;D "&amp;CHAR(10),""),IF(V334&gt;V305," * Retested start HAART L&amp;D  for Age "&amp;V20&amp;" "&amp;V21&amp;" is more than Retested Positive Result L&amp;D "&amp;CHAR(10),""),IF(W334&gt;W305," * Retested start HAART L&amp;D  for Age "&amp;V20&amp;" "&amp;W21&amp;" is more than Retested Positive Result L&amp;D "&amp;CHAR(10),""),IF(X334&gt;X305," * Retested start HAART L&amp;D  for Age "&amp;X20&amp;" "&amp;X21&amp;" is more than Retested Positive Result L&amp;D "&amp;CHAR(10),""),IF(Y334&gt;Y305," * Retested start HAART L&amp;D  for Age "&amp;X20&amp;" "&amp;Y21&amp;" is more than Retested Positive Result L&amp;D "&amp;CHAR(10),""),IF(Z334&gt;Z305," * Retested start HAART L&amp;D  for Age "&amp;Z20&amp;" "&amp;Z21&amp;" is more than Retested Positive Result L&amp;D "&amp;CHAR(10),""),IF(AA334&gt;AA305," * Retested start HAART L&amp;D  for Age "&amp;Z20&amp;" "&amp;AA21&amp;" is more than Retested Positive Result L&amp;D "&amp;CHAR(10),"")
)</f>
        <v/>
      </c>
      <c r="AL334" s="1162"/>
      <c r="AM334" s="60"/>
      <c r="AN334" s="1152"/>
      <c r="AO334" s="13">
        <v>236</v>
      </c>
      <c r="AP334" s="80"/>
      <c r="AQ334" s="75"/>
    </row>
    <row r="335" spans="1:43" ht="25.5" hidden="1" x14ac:dyDescent="0.75">
      <c r="A335" s="1211" t="s">
        <v>464</v>
      </c>
      <c r="B335" s="1" t="s">
        <v>476</v>
      </c>
      <c r="C335" s="591" t="s">
        <v>349</v>
      </c>
      <c r="D335" s="665"/>
      <c r="E335" s="665"/>
      <c r="F335" s="665"/>
      <c r="G335" s="665"/>
      <c r="H335" s="665"/>
      <c r="I335" s="665"/>
      <c r="J335" s="700"/>
      <c r="K335" s="689"/>
      <c r="L335" s="665"/>
      <c r="M335" s="619"/>
      <c r="N335" s="665"/>
      <c r="O335" s="619"/>
      <c r="P335" s="665"/>
      <c r="Q335" s="619"/>
      <c r="R335" s="665"/>
      <c r="S335" s="619"/>
      <c r="T335" s="665"/>
      <c r="U335" s="619"/>
      <c r="V335" s="665"/>
      <c r="W335" s="619"/>
      <c r="X335" s="665"/>
      <c r="Y335" s="619"/>
      <c r="Z335" s="665"/>
      <c r="AA335" s="687">
        <f t="shared" si="138"/>
        <v>0</v>
      </c>
      <c r="AB335" s="621"/>
      <c r="AC335" s="666"/>
      <c r="AD335" s="619"/>
      <c r="AE335" s="666"/>
      <c r="AF335" s="619"/>
      <c r="AG335" s="666"/>
      <c r="AH335" s="620"/>
      <c r="AI335" s="672"/>
      <c r="AJ335" s="606">
        <f t="shared" si="139"/>
        <v>0</v>
      </c>
      <c r="AK335" s="116" t="str">
        <f>CONCATENATE(IF(D335&gt;D307," * F06-16 for Age "&amp;D20&amp;" "&amp;D21&amp;" is more than F06-10"&amp;CHAR(10),""),IF(E335&gt;E307," * F06-16 for Age "&amp;D20&amp;" "&amp;E21&amp;" is more than F06-10"&amp;CHAR(10),""),IF(F335&gt;F307," * F06-16 for Age "&amp;F20&amp;" "&amp;F21&amp;" is more than F06-10"&amp;CHAR(10),""),IF(G335&gt;G307," * F06-16 for Age "&amp;F20&amp;" "&amp;G21&amp;" is more than F06-10"&amp;CHAR(10),""),IF(H335&gt;H307," * F06-16 for Age "&amp;H20&amp;" "&amp;H21&amp;" is more than F06-10"&amp;CHAR(10),""),IF(I335&gt;I307," * F06-16 for Age "&amp;H20&amp;" "&amp;I21&amp;" is more than F06-10"&amp;CHAR(10),""),IF(J335&gt;J307," * F06-16 for Age "&amp;J20&amp;" "&amp;J21&amp;" is more than F06-10"&amp;CHAR(10),""),IF(K335&gt;K307," * F06-16 for Age "&amp;J20&amp;" "&amp;K21&amp;" is more than F06-10"&amp;CHAR(10),""),IF(L335&gt;L307," * F06-16 for Age "&amp;L20&amp;" "&amp;L21&amp;" is more than F06-10"&amp;CHAR(10),""),IF(M335&gt;M307," * F06-16 for Age "&amp;L20&amp;" "&amp;M21&amp;" is more than F06-10"&amp;CHAR(10),""),IF(N335&gt;N307," * F06-16 for Age "&amp;N20&amp;" "&amp;N21&amp;" is more than F06-10"&amp;CHAR(10),""),IF(O335&gt;O307," * F06-16 for Age "&amp;N20&amp;" "&amp;O21&amp;" is more than F06-10"&amp;CHAR(10),""),IF(P335&gt;P307," * F06-16 for Age "&amp;P20&amp;" "&amp;P21&amp;" is more than F06-10"&amp;CHAR(10),""),IF(Q335&gt;Q307," * F06-16 for Age "&amp;P20&amp;" "&amp;Q21&amp;" is more than F06-10"&amp;CHAR(10),""),IF(R335&gt;R307," * F06-16 for Age "&amp;R20&amp;" "&amp;R21&amp;" is more than F06-10"&amp;CHAR(10),""),IF(S335&gt;S307," * F06-16 for Age "&amp;R20&amp;" "&amp;S21&amp;" is more than F06-10"&amp;CHAR(10),""),IF(T335&gt;T307," * F06-16 for Age "&amp;T20&amp;" "&amp;T21&amp;" is more than F06-10"&amp;CHAR(10),""),IF(U335&gt;U307," * F06-16 for Age "&amp;T20&amp;" "&amp;U21&amp;" is more than F06-10"&amp;CHAR(10),""),IF(V335&gt;V307," * F06-16 for Age "&amp;V20&amp;" "&amp;V21&amp;" is more than F06-10"&amp;CHAR(10),""),IF(W335&gt;W307," * F06-16 for Age "&amp;V20&amp;" "&amp;W21&amp;" is more than F06-10"&amp;CHAR(10),""),IF(X335&gt;X307," * F06-16 for Age "&amp;X20&amp;" "&amp;X21&amp;" is more than F06-10"&amp;CHAR(10),""),IF(Y335&gt;Y307," * F06-16 for Age "&amp;X20&amp;" "&amp;Y21&amp;" is more than F06-10"&amp;CHAR(10),""),IF(Z335&gt;Z307," * F06-16 for Age "&amp;Z20&amp;" "&amp;Z21&amp;" is more than F06-10"&amp;CHAR(10),""),IF(AA335&gt;AA307," * F06-16 for Age "&amp;Z20&amp;" "&amp;AA21&amp;" is more than F06-10"&amp;CHAR(10),""),IF(AJ335&gt;AJ307," * Total F06-16 is more than Total F06-10"&amp;CHAR(10),""))</f>
        <v/>
      </c>
      <c r="AL335" s="1162"/>
      <c r="AM335" s="31" t="str">
        <f>CONCATENATE(IF(D335&lt;D307," * F06-16 for Age "&amp;D20&amp;" "&amp;D21&amp;" is less than F06-10"&amp;CHAR(10),""),IF(E335&lt;E307," * F06-16 for Age "&amp;D20&amp;" "&amp;E21&amp;" is less than F06-10"&amp;CHAR(10),""),IF(F335&lt;F307," * F06-16 for Age "&amp;F20&amp;" "&amp;F21&amp;" is less than F06-10"&amp;CHAR(10),""),IF(G335&lt;G307," * F06-16 for Age "&amp;F20&amp;" "&amp;G21&amp;" is less than F06-10"&amp;CHAR(10),""),IF(H335&lt;H307," * F06-16 for Age "&amp;H20&amp;" "&amp;H21&amp;" is less than F06-10"&amp;CHAR(10),""),IF(I335&lt;I307," * F06-16 for Age "&amp;H20&amp;" "&amp;I21&amp;" is less than F06-10"&amp;CHAR(10),""),IF(J335&lt;J307," * F06-16 for Age "&amp;J20&amp;" "&amp;J21&amp;" is less than F06-10"&amp;CHAR(10),""),IF(K335&lt;K307," * F06-16 for Age "&amp;J20&amp;" "&amp;K21&amp;" is less than F06-10"&amp;CHAR(10),""),IF(L335&lt;L307," * F06-16 for Age "&amp;L20&amp;" "&amp;L21&amp;" is less than F06-10"&amp;CHAR(10),""),IF(M335&lt;M307," * F06-16 for Age "&amp;L20&amp;" "&amp;M21&amp;" is less than F06-10"&amp;CHAR(10),""),IF(N335&lt;N307," * F06-16 for Age "&amp;N20&amp;" "&amp;N21&amp;" is less than F06-10"&amp;CHAR(10),""),IF(O335&lt;O307," * F06-16 for Age "&amp;N20&amp;" "&amp;O21&amp;" is less than F06-10"&amp;CHAR(10),""),IF(P335&lt;P307," * F06-16 for Age "&amp;P20&amp;" "&amp;P21&amp;" is less than F06-10"&amp;CHAR(10),""),IF(Q335&lt;Q307," * F06-16 for Age "&amp;P20&amp;" "&amp;Q21&amp;" is less than F06-10"&amp;CHAR(10),""),IF(R335&lt;R307," * F06-16 for Age "&amp;R20&amp;" "&amp;R21&amp;" is less than F06-10"&amp;CHAR(10),""),IF(S335&lt;S307," * F06-16 for Age "&amp;R20&amp;" "&amp;S21&amp;" is less than F06-10"&amp;CHAR(10),""),IF(T335&lt;T307," * F06-16 for Age "&amp;T20&amp;" "&amp;T21&amp;" is less than F06-10"&amp;CHAR(10),""),IF(U335&lt;U307," * F06-16 for Age "&amp;T20&amp;" "&amp;U21&amp;" is less than F06-10"&amp;CHAR(10),""),IF(V335&lt;V307," * F06-16 for Age "&amp;V20&amp;" "&amp;V21&amp;" is less than F06-10"&amp;CHAR(10),""),IF(W335&lt;W307," * F06-16 for Age "&amp;V20&amp;" "&amp;W21&amp;" is less than F06-10"&amp;CHAR(10),""),IF(X335&lt;X307," * F06-16 for Age "&amp;X20&amp;" "&amp;X21&amp;" is less than F06-10"&amp;CHAR(10),""),IF(Y335&lt;Y307," * F06-16 for Age "&amp;X20&amp;" "&amp;Y21&amp;" is less than F06-10"&amp;CHAR(10),""),IF(Z335&lt;Z307," * F06-16 for Age "&amp;Z20&amp;" "&amp;Z21&amp;" is less than F06-10"&amp;CHAR(10),""),IF(AA335&lt;AA307," * F06-16 for Age "&amp;Z20&amp;" "&amp;AA21&amp;" is less than F06-10"&amp;CHAR(10),""),IF(AJ335&lt;AJ307," * Total F06-16 is less than Total F06-10"&amp;CHAR(10),""))</f>
        <v/>
      </c>
      <c r="AN335" s="1152"/>
      <c r="AO335" s="13">
        <v>237</v>
      </c>
      <c r="AP335" s="74"/>
      <c r="AQ335" s="75"/>
    </row>
    <row r="336" spans="1:43" ht="25.9" hidden="1" thickBot="1" x14ac:dyDescent="0.8">
      <c r="A336" s="1212"/>
      <c r="B336" s="3" t="s">
        <v>477</v>
      </c>
      <c r="C336" s="592" t="s">
        <v>481</v>
      </c>
      <c r="D336" s="668"/>
      <c r="E336" s="668"/>
      <c r="F336" s="668"/>
      <c r="G336" s="668"/>
      <c r="H336" s="668"/>
      <c r="I336" s="668"/>
      <c r="J336" s="702"/>
      <c r="K336" s="690"/>
      <c r="L336" s="668"/>
      <c r="M336" s="673"/>
      <c r="N336" s="668"/>
      <c r="O336" s="673"/>
      <c r="P336" s="668"/>
      <c r="Q336" s="673"/>
      <c r="R336" s="668"/>
      <c r="S336" s="673"/>
      <c r="T336" s="668"/>
      <c r="U336" s="673"/>
      <c r="V336" s="668"/>
      <c r="W336" s="673"/>
      <c r="X336" s="668"/>
      <c r="Y336" s="673"/>
      <c r="Z336" s="668"/>
      <c r="AA336" s="688">
        <f t="shared" si="138"/>
        <v>0</v>
      </c>
      <c r="AB336" s="707"/>
      <c r="AC336" s="674"/>
      <c r="AD336" s="673"/>
      <c r="AE336" s="674"/>
      <c r="AF336" s="673"/>
      <c r="AG336" s="674"/>
      <c r="AH336" s="675"/>
      <c r="AI336" s="672"/>
      <c r="AJ336" s="606">
        <f t="shared" si="139"/>
        <v>0</v>
      </c>
      <c r="AK336" s="116" t="str">
        <f>CONCATENATE(IF(D336&gt;D309," * Retest Start HAART at PNC &lt; = 6 weeks for Age "&amp;D20&amp;" "&amp;D21&amp;" is more than Retesting positive result at PNC &lt; = 6 weeks"&amp;CHAR(10),""),IF(E336&gt;E309," * Retest Start HAART at PNC &lt; = 6 weeks for Age "&amp;D20&amp;" "&amp;E21&amp;" is more than Retesting positive result at PNC &lt; = 6 weeks"&amp;CHAR(10),""),IF(F336&gt;F309," * Retest Start HAART at PNC &lt; = 6 weeks for Age "&amp;F20&amp;" "&amp;F21&amp;" is more than Retesting positive result at PNC &lt; = 6 weeks"&amp;CHAR(10),""),IF(G336&gt;G309," * Retest Start HAART at PNC &lt; = 6 weeks for Age "&amp;F20&amp;" "&amp;G21&amp;" is more than Retesting positive result at PNC &lt; = 6 weeks"&amp;CHAR(10),""),IF(H336&gt;H309," * Retest Start HAART at PNC &lt; = 6 weeks for Age "&amp;H20&amp;" "&amp;H21&amp;" is more than Retesting positive result at PNC &lt; = 6 weeks"&amp;CHAR(10),""),IF(I336&gt;I309," * Retest Start HAART at PNC &lt; = 6 weeks for Age "&amp;H20&amp;" "&amp;I21&amp;" is more than Retesting positive result at PNC &lt; = 6 weeks"&amp;CHAR(10),""),IF(J336&gt;J309," * Retest Start HAART at PNC &lt; = 6 weeks for Age "&amp;J20&amp;" "&amp;J21&amp;" is more than Retesting positive result at PNC &lt; = 6 weeks"&amp;CHAR(10),""),IF(K336&gt;K309," * Retest Start HAART at PNC &lt; = 6 weeks for Age "&amp;J20&amp;" "&amp;K21&amp;" is more than Retesting positive result at PNC &lt; = 6 weeks"&amp;CHAR(10),""),IF(L336&gt;L309," * Retest Start HAART at PNC &lt; = 6 weeks for Age "&amp;L20&amp;" "&amp;L21&amp;" is more than Retesting positive result at PNC &lt; = 6 weeks"&amp;CHAR(10),""),IF(M336&gt;M309," * Retest Start HAART at PNC &lt; = 6 weeks for Age "&amp;L20&amp;" "&amp;M21&amp;" is more than Retesting positive result at PNC &lt; = 6 weeks"&amp;CHAR(10),""),IF(N336&gt;N309," * Retest Start HAART at PNC &lt; = 6 weeks for Age "&amp;N20&amp;" "&amp;N21&amp;" is more than Retesting positive result at PNC &lt; = 6 weeks"&amp;CHAR(10),""),IF(O336&gt;O309," * Retest Start HAART at PNC &lt; = 6 weeks for Age "&amp;N20&amp;" "&amp;O21&amp;" is more than Retesting positive result at PNC &lt; = 6 weeks"&amp;CHAR(10),""),IF(P336&gt;P309," * Retest Start HAART at PNC &lt; = 6 weeks for Age "&amp;P20&amp;" "&amp;P21&amp;" is more than Retesting positive result at PNC &lt; = 6 weeks"&amp;CHAR(10),""),IF(Q336&gt;Q309," * Retest Start HAART at PNC &lt; = 6 weeks for Age "&amp;P20&amp;" "&amp;Q21&amp;" is more than Retesting positive result at PNC &lt; = 6 weeks"&amp;CHAR(10),""),IF(R336&gt;R309," * Retest Start HAART at PNC &lt; = 6 weeks for Age "&amp;R20&amp;" "&amp;R21&amp;" is more than Retesting positive result at PNC &lt; = 6 weeks"&amp;CHAR(10),""),IF(S336&gt;S309," * Retest Start HAART at PNC &lt; = 6 weeks for Age "&amp;R20&amp;" "&amp;S21&amp;" is more than Retesting positive result at PNC &lt; = 6 weeks"&amp;CHAR(10),""),IF(T336&gt;T309," * Retest Start HAART at PNC &lt; = 6 weeks for Age "&amp;T20&amp;" "&amp;T21&amp;" is more than Retesting positive result at PNC &lt; = 6 weeks"&amp;CHAR(10),""),IF(U336&gt;U309," * Retest Start HAART at PNC &lt; = 6 weeks for Age "&amp;T20&amp;" "&amp;U21&amp;" is more than Retesting positive result at PNC &lt; = 6 weeks"&amp;CHAR(10),""),IF(V336&gt;V309," * Retest Start HAART at PNC &lt; = 6 weeks for Age "&amp;V20&amp;" "&amp;V21&amp;" is more than Retesting positive result at PNC &lt; = 6 weeks"&amp;CHAR(10),""),IF(W336&gt;W309," * Retest Start HAART at PNC &lt; = 6 weeks for Age "&amp;V20&amp;" "&amp;W21&amp;" is more than Retesting positive result at PNC &lt; = 6 weeks"&amp;CHAR(10),""),IF(X336&gt;X309," * Retest Start HAART at PNC &lt; = 6 weeks for Age "&amp;X20&amp;" "&amp;X21&amp;" is more than Retesting positive result at PNC &lt; = 6 weeks"&amp;CHAR(10),""),IF(Y336&gt;Y309," * Retest Start HAART at PNC &lt; = 6 weeks for Age "&amp;X20&amp;" "&amp;Y21&amp;" is more than Retesting positive result at PNC &lt; = 6 weeks"&amp;CHAR(10),""),IF(Z336&gt;Z309," * Retest Start HAART at PNC &lt; = 6 weeks for Age "&amp;Z20&amp;" "&amp;Z21&amp;" is more than Retesting positive result at PNC &lt; = 6 weeks"&amp;CHAR(10),""),IF(AA336&gt;AA309," * Retest Start HAART at PNC &lt; = 6 weeks for Age "&amp;Z20&amp;" "&amp;AA21&amp;" is more than Retesting positive result at PNC &lt; = 6 weeks"&amp;CHAR(10),""))</f>
        <v/>
      </c>
      <c r="AL336" s="1162"/>
      <c r="AM336" s="31"/>
      <c r="AN336" s="1152"/>
      <c r="AO336" s="13">
        <v>238</v>
      </c>
      <c r="AP336" s="74"/>
      <c r="AQ336" s="75"/>
    </row>
    <row r="337" spans="1:43" s="61" customFormat="1" ht="25.5" hidden="1" x14ac:dyDescent="0.75">
      <c r="A337" s="1212"/>
      <c r="B337" s="988" t="s">
        <v>1309</v>
      </c>
      <c r="C337" s="591" t="s">
        <v>482</v>
      </c>
      <c r="D337" s="660"/>
      <c r="E337" s="660"/>
      <c r="F337" s="660"/>
      <c r="G337" s="660"/>
      <c r="H337" s="660"/>
      <c r="I337" s="660"/>
      <c r="J337" s="703"/>
      <c r="K337" s="711"/>
      <c r="L337" s="660"/>
      <c r="M337" s="661"/>
      <c r="N337" s="660"/>
      <c r="O337" s="661"/>
      <c r="P337" s="660"/>
      <c r="Q337" s="661"/>
      <c r="R337" s="660"/>
      <c r="S337" s="661"/>
      <c r="T337" s="660"/>
      <c r="U337" s="661"/>
      <c r="V337" s="660"/>
      <c r="W337" s="661"/>
      <c r="X337" s="660"/>
      <c r="Y337" s="661"/>
      <c r="Z337" s="660"/>
      <c r="AA337" s="712">
        <f t="shared" si="138"/>
        <v>0</v>
      </c>
      <c r="AB337" s="621"/>
      <c r="AC337" s="666"/>
      <c r="AD337" s="619"/>
      <c r="AE337" s="666"/>
      <c r="AF337" s="619"/>
      <c r="AG337" s="666"/>
      <c r="AH337" s="620"/>
      <c r="AI337" s="672"/>
      <c r="AJ337" s="606">
        <f t="shared" si="139"/>
        <v>0</v>
      </c>
      <c r="AK337" s="116" t="str">
        <f>CONCATENATE(IF(D337&gt;D311," * Initial Start HAART at PNC  &gt; 6 weeks for Age "&amp;D20&amp;" "&amp;D21&amp;" is more than Initial Tested Positive  at PNC  &gt; 6 weeks"&amp;CHAR(10),""),IF(E337&gt;E311," * Initial Start HAART at PNC  &gt; 6 weeks for Age "&amp;D20&amp;" "&amp;E21&amp;" is more than Initial Tested Positive  at PNC  &gt; 6 weeks"&amp;CHAR(10),""),IF(F337&gt;F311," * Initial Start HAART at PNC  &gt; 6 weeks for Age "&amp;F20&amp;" "&amp;F21&amp;" is more than Initial Tested Positive  at PNC  &gt; 6 weeks"&amp;CHAR(10),""),IF(G337&gt;G311," * Initial Start HAART at PNC  &gt; 6 weeks for Age "&amp;F20&amp;" "&amp;G21&amp;" is more than Initial Tested Positive  at PNC  &gt; 6 weeks"&amp;CHAR(10),""),IF(H337&gt;H311," * Initial Start HAART at PNC  &gt; 6 weeks for Age "&amp;H20&amp;" "&amp;H21&amp;" is more than Initial Tested Positive  at PNC  &gt; 6 weeks"&amp;CHAR(10),""),IF(I337&gt;I311," * Initial Start HAART at PNC  &gt; 6 weeks for Age "&amp;H20&amp;" "&amp;I21&amp;" is more than Initial Tested Positive  at PNC  &gt; 6 weeks"&amp;CHAR(10),""),IF(J337&gt;J311," * Initial Start HAART at PNC  &gt; 6 weeks for Age "&amp;J20&amp;" "&amp;J21&amp;" is more than Initial Tested Positive  at PNC  &gt; 6 weeks"&amp;CHAR(10),""),IF(K337&gt;K311," * Initial Start HAART at PNC  &gt; 6 weeks for Age "&amp;J20&amp;" "&amp;K21&amp;" is more than Initial Tested Positive  at PNC  &gt; 6 weeks"&amp;CHAR(10),""),IF(L337&gt;L311," * Initial Start HAART at PNC  &gt; 6 weeks for Age "&amp;L20&amp;" "&amp;L21&amp;" is more than Initial Tested Positive  at PNC  &gt; 6 weeks"&amp;CHAR(10),""),IF(M337&gt;M311," * Initial Start HAART at PNC  &gt; 6 weeks for Age "&amp;L20&amp;" "&amp;M21&amp;" is more than Initial Tested Positive  at PNC  &gt; 6 weeks"&amp;CHAR(10),""),IF(N337&gt;N311," * Initial Start HAART at PNC  &gt; 6 weeks for Age "&amp;N20&amp;" "&amp;N21&amp;" is more than Initial Tested Positive  at PNC  &gt; 6 weeks"&amp;CHAR(10),""),IF(O337&gt;O311," * Initial Start HAART at PNC  &gt; 6 weeks for Age "&amp;N20&amp;" "&amp;O21&amp;" is more than Initial Tested Positive  at PNC  &gt; 6 weeks"&amp;CHAR(10),""),IF(P337&gt;P311," * Initial Start HAART at PNC  &gt; 6 weeks for Age "&amp;P20&amp;" "&amp;P21&amp;" is more than Initial Tested Positive  at PNC  &gt; 6 weeks"&amp;CHAR(10),""),IF(Q337&gt;Q311," * Initial Start HAART at PNC  &gt; 6 weeks for Age "&amp;P20&amp;" "&amp;Q21&amp;" is more than Initial Tested Positive  at PNC  &gt; 6 weeks"&amp;CHAR(10),""),IF(R337&gt;R311," * Initial Start HAART at PNC  &gt; 6 weeks for Age "&amp;R20&amp;" "&amp;R21&amp;" is more than Initial Tested Positive  at PNC  &gt; 6 weeks"&amp;CHAR(10),""),IF(S337&gt;S311," * Initial Start HAART at PNC  &gt; 6 weeks for Age "&amp;R20&amp;" "&amp;S21&amp;" is more than Initial Tested Positive  at PNC  &gt; 6 weeks"&amp;CHAR(10),""),IF(T337&gt;T311," * Initial Start HAART at PNC  &gt; 6 weeks for Age "&amp;T20&amp;" "&amp;T21&amp;" is more than Initial Tested Positive  at PNC  &gt; 6 weeks"&amp;CHAR(10),""),IF(U337&gt;U311," * Initial Start HAART at PNC  &gt; 6 weeks for Age "&amp;T20&amp;" "&amp;U21&amp;" is more than Initial Tested Positive  at PNC  &gt; 6 weeks"&amp;CHAR(10),""),IF(V337&gt;V311," * Initial Start HAART at PNC  &gt; 6 weeks for Age "&amp;V20&amp;" "&amp;V21&amp;" is more than Initial Tested Positive  at PNC  &gt; 6 weeks"&amp;CHAR(10),""),IF(W337&gt;W311," * Initial Start HAART at PNC  &gt; 6 weeks for Age "&amp;V20&amp;" "&amp;W21&amp;" is more than Initial Tested Positive  at PNC  &gt; 6 weeks"&amp;CHAR(10),""),IF(X337&gt;X311," * Initial Start HAART at PNC  &gt; 6 weeks for Age "&amp;X20&amp;" "&amp;X21&amp;" is more than Initial Tested Positive  at PNC  &gt; 6 weeks"&amp;CHAR(10),""),IF(Y337&gt;Y311," * Initial Start HAART at PNC  &gt; 6 weeks for Age "&amp;X20&amp;" "&amp;Y21&amp;" is more than Initial Tested Positive  at PNC  &gt; 6 weeks"&amp;CHAR(10),""),IF(Z337&gt;Z311," * Initial Start HAART at PNC  &gt; 6 weeks for Age "&amp;Z20&amp;" "&amp;Z21&amp;" is more than Initial Tested Positive  at PNC  &gt; 6 weeks"&amp;CHAR(10),""),IF(AA337&gt;AA311," * Initial Start HAART at PNC  &gt; 6 weeks for Age "&amp;Z20&amp;" "&amp;AA21&amp;" is more than Initial Tested Positive  at PNC  &gt; 6 weeks"&amp;CHAR(10),""))</f>
        <v/>
      </c>
      <c r="AL337" s="1162"/>
      <c r="AM337" s="60"/>
      <c r="AN337" s="1152"/>
      <c r="AO337" s="13">
        <v>239</v>
      </c>
      <c r="AP337" s="80"/>
      <c r="AQ337" s="75"/>
    </row>
    <row r="338" spans="1:43" s="61" customFormat="1" ht="25.9" hidden="1" thickBot="1" x14ac:dyDescent="0.8">
      <c r="A338" s="1400"/>
      <c r="B338" s="3" t="s">
        <v>1213</v>
      </c>
      <c r="C338" s="678" t="s">
        <v>1212</v>
      </c>
      <c r="D338" s="680"/>
      <c r="E338" s="680"/>
      <c r="F338" s="680"/>
      <c r="G338" s="680"/>
      <c r="H338" s="680"/>
      <c r="I338" s="680"/>
      <c r="J338" s="704"/>
      <c r="K338" s="713"/>
      <c r="L338" s="680"/>
      <c r="M338" s="681"/>
      <c r="N338" s="680"/>
      <c r="O338" s="681"/>
      <c r="P338" s="680"/>
      <c r="Q338" s="681"/>
      <c r="R338" s="680"/>
      <c r="S338" s="681"/>
      <c r="T338" s="680"/>
      <c r="U338" s="681"/>
      <c r="V338" s="680"/>
      <c r="W338" s="681"/>
      <c r="X338" s="680"/>
      <c r="Y338" s="681"/>
      <c r="Z338" s="680"/>
      <c r="AA338" s="714">
        <f t="shared" si="138"/>
        <v>0</v>
      </c>
      <c r="AB338" s="707"/>
      <c r="AC338" s="674"/>
      <c r="AD338" s="673"/>
      <c r="AE338" s="674"/>
      <c r="AF338" s="673"/>
      <c r="AG338" s="674"/>
      <c r="AH338" s="675"/>
      <c r="AI338" s="672"/>
      <c r="AJ338" s="606">
        <f t="shared" ref="AJ338" si="140">SUM(D338:AA338)</f>
        <v>0</v>
      </c>
      <c r="AK338" s="590" t="str">
        <f>CONCATENATE(IF(D338&gt;D313," * Retest Start HAART at PNC &gt; 6 weeks to 6 months for Age "&amp;D21&amp;" "&amp;D22&amp;" is more than  Retesting positive result at PNC &gt; 6 weeks to 6 months"&amp;CHAR(10),""),IF(E338&gt;E313," * Retest Start HAART at PNC &gt; 6 weeks to 6 months for Age "&amp;D21&amp;" "&amp;E22&amp;" is more than  Retesting positive result at PNC &gt; 6 weeks to 6 months"&amp;CHAR(10),""),IF(F338&gt;F313," * Retest Start HAART at PNC &gt; 6 weeks to 6 months for Age "&amp;F21&amp;" "&amp;F22&amp;" is more than  Retesting positive result at PNC &gt; 6 weeks to 6 months"&amp;CHAR(10),""),IF(G338&gt;G313," * Retest Start HAART at PNC &gt; 6 weeks to 6 months for Age "&amp;F21&amp;" "&amp;G22&amp;" is more than  Retesting positive result at PNC &gt; 6 weeks to 6 months"&amp;CHAR(10),""),IF(H338&gt;H313," * Retest Start HAART at PNC &gt; 6 weeks to 6 months for Age "&amp;H21&amp;" "&amp;H22&amp;" is more than  Retesting positive result at PNC &gt; 6 weeks to 6 months"&amp;CHAR(10),""),IF(I338&gt;I313," * Retest Start HAART at PNC &gt; 6 weeks to 6 months for Age "&amp;H21&amp;" "&amp;I22&amp;" is more than  Retesting positive result at PNC &gt; 6 weeks to 6 months"&amp;CHAR(10),""),IF(J338&gt;J313," * Retest Start HAART at PNC &gt; 6 weeks to 6 months for Age "&amp;J21&amp;" "&amp;J22&amp;" is more than  Retesting positive result at PNC &gt; 6 weeks to 6 months"&amp;CHAR(10),""),IF(K338&gt;K313," * Retest Start HAART at PNC &gt; 6 weeks to 6 months for Age "&amp;J21&amp;" "&amp;K22&amp;" is more than  Retesting positive result at PNC &gt; 6 weeks to 6 months"&amp;CHAR(10),""),IF(L338&gt;L313," * Retest Start HAART at PNC &gt; 6 weeks to 6 months for Age "&amp;L21&amp;" "&amp;L22&amp;" is more than  Retesting positive result at PNC &gt; 6 weeks to 6 months"&amp;CHAR(10),""),IF(M338&gt;M313," * Retest Start HAART at PNC &gt; 6 weeks to 6 months for Age "&amp;L21&amp;" "&amp;M22&amp;" is more than  Retesting positive result at PNC &gt; 6 weeks to 6 months"&amp;CHAR(10),""),IF(N338&gt;N313," * Retest Start HAART at PNC &gt; 6 weeks to 6 months for Age "&amp;N21&amp;" "&amp;N22&amp;" is more than  Retesting positive result at PNC &gt; 6 weeks to 6 months"&amp;CHAR(10),""),IF(O338&gt;O313," * Retest Start HAART at PNC &gt; 6 weeks to 6 months for Age "&amp;N21&amp;" "&amp;O22&amp;" is more than  Retesting positive result at PNC &gt; 6 weeks to 6 months"&amp;CHAR(10),""),IF(P338&gt;P313," * Retest Start HAART at PNC &gt; 6 weeks to 6 months for Age "&amp;P21&amp;" "&amp;P22&amp;" is more than  Retesting positive result at PNC &gt; 6 weeks to 6 months"&amp;CHAR(10),""),IF(Q338&gt;Q313," * Retest Start HAART at PNC &gt; 6 weeks to 6 months for Age "&amp;P21&amp;" "&amp;Q22&amp;" is more than  Retesting positive result at PNC &gt; 6 weeks to 6 months"&amp;CHAR(10),""),IF(R338&gt;R313," * Retest Start HAART at PNC &gt; 6 weeks to 6 months for Age "&amp;R21&amp;" "&amp;R22&amp;" is more than  Retesting positive result at PNC &gt; 6 weeks to 6 months"&amp;CHAR(10),""),IF(S338&gt;S313," * Retest Start HAART at PNC &gt; 6 weeks to 6 months for Age "&amp;R21&amp;" "&amp;S22&amp;" is more than  Retesting positive result at PNC &gt; 6 weeks to 6 months"&amp;CHAR(10),""),IF(T338&gt;T313," * Retest Start HAART at PNC &gt; 6 weeks to 6 months for Age "&amp;T21&amp;" "&amp;T22&amp;" is more than  Retesting positive result at PNC &gt; 6 weeks to 6 months"&amp;CHAR(10),""),IF(U338&gt;U313," * Retest Start HAART at PNC &gt; 6 weeks to 6 months for Age "&amp;T21&amp;" "&amp;U22&amp;" is more than  Retesting positive result at PNC &gt; 6 weeks to 6 months"&amp;CHAR(10),""),IF(V338&gt;V313," * Retest Start HAART at PNC &gt; 6 weeks to 6 months for Age "&amp;V21&amp;" "&amp;V22&amp;" is more than  Retesting positive result at PNC &gt; 6 weeks to 6 months"&amp;CHAR(10),""),IF(W338&gt;W313," * Retest Start HAART at PNC &gt; 6 weeks to 6 months for Age "&amp;V21&amp;" "&amp;W22&amp;" is more than  Retesting positive result at PNC &gt; 6 weeks to 6 months"&amp;CHAR(10),""),IF(X338&gt;X313," * Retest Start HAART at PNC &gt; 6 weeks to 6 months for Age "&amp;X21&amp;" "&amp;X22&amp;" is more than  Retesting positive result at PNC &gt; 6 weeks to 6 months"&amp;CHAR(10),""),IF(Y338&gt;Y313," * Retest Start HAART at PNC &gt; 6 weeks to 6 months for Age "&amp;X21&amp;" "&amp;Y22&amp;" is more than  Retesting positive result at PNC &gt; 6 weeks to 6 months"&amp;CHAR(10),""),IF(Z338&gt;Z313," * Retest Start HAART at PNC &gt; 6 weeks to 6 months for Age "&amp;Z21&amp;" "&amp;Z22&amp;" is more than  Retesting positive result at PNC &gt; 6 weeks to 6 months"&amp;CHAR(10),""),IF(AA338&gt;AA313," * Retest Start HAART at PNC &gt; 6 weeks to 6 months for Age "&amp;Z21&amp;" "&amp;AA22&amp;" is more than  Retesting positive result at PNC &gt; 6 weeks to 6 months"&amp;CHAR(10),""))</f>
        <v/>
      </c>
      <c r="AL338" s="1162"/>
      <c r="AM338" s="60"/>
      <c r="AN338" s="1152"/>
      <c r="AO338" s="13">
        <v>239</v>
      </c>
      <c r="AP338" s="80"/>
      <c r="AQ338" s="75"/>
    </row>
    <row r="339" spans="1:43" ht="25.9" hidden="1" thickBot="1" x14ac:dyDescent="0.8">
      <c r="A339" s="955" t="s">
        <v>267</v>
      </c>
      <c r="B339" s="635" t="s">
        <v>267</v>
      </c>
      <c r="C339" s="653" t="s">
        <v>350</v>
      </c>
      <c r="D339" s="682"/>
      <c r="E339" s="683"/>
      <c r="F339" s="683"/>
      <c r="G339" s="683"/>
      <c r="H339" s="683"/>
      <c r="I339" s="683"/>
      <c r="J339" s="705"/>
      <c r="K339" s="715"/>
      <c r="L339" s="683"/>
      <c r="M339" s="684"/>
      <c r="N339" s="683"/>
      <c r="O339" s="684"/>
      <c r="P339" s="683"/>
      <c r="Q339" s="684"/>
      <c r="R339" s="683"/>
      <c r="S339" s="684"/>
      <c r="T339" s="683"/>
      <c r="U339" s="684"/>
      <c r="V339" s="683"/>
      <c r="W339" s="684"/>
      <c r="X339" s="683"/>
      <c r="Y339" s="684"/>
      <c r="Z339" s="683"/>
      <c r="AA339" s="685"/>
      <c r="AB339" s="691"/>
      <c r="AC339" s="692"/>
      <c r="AD339" s="692"/>
      <c r="AE339" s="692"/>
      <c r="AF339" s="692"/>
      <c r="AG339" s="692"/>
      <c r="AH339" s="693"/>
      <c r="AI339" s="672"/>
      <c r="AJ339" s="606">
        <f t="shared" si="139"/>
        <v>0</v>
      </c>
      <c r="AK339" s="116"/>
      <c r="AL339" s="1162"/>
      <c r="AM339" s="31"/>
      <c r="AN339" s="1152"/>
      <c r="AO339" s="13">
        <v>240</v>
      </c>
      <c r="AP339" s="74"/>
      <c r="AQ339" s="75"/>
    </row>
    <row r="340" spans="1:43" s="61" customFormat="1" ht="25.5" hidden="1" x14ac:dyDescent="0.75">
      <c r="A340" s="1136" t="s">
        <v>954</v>
      </c>
      <c r="B340" s="69" t="s">
        <v>666</v>
      </c>
      <c r="C340" s="652" t="s">
        <v>351</v>
      </c>
      <c r="D340" s="694"/>
      <c r="E340" s="665"/>
      <c r="F340" s="665"/>
      <c r="G340" s="665"/>
      <c r="H340" s="665"/>
      <c r="I340" s="665"/>
      <c r="J340" s="700"/>
      <c r="K340" s="689"/>
      <c r="L340" s="665"/>
      <c r="M340" s="619"/>
      <c r="N340" s="665"/>
      <c r="O340" s="619"/>
      <c r="P340" s="665"/>
      <c r="Q340" s="619"/>
      <c r="R340" s="665"/>
      <c r="S340" s="619"/>
      <c r="T340" s="665"/>
      <c r="U340" s="619"/>
      <c r="V340" s="665"/>
      <c r="W340" s="619"/>
      <c r="X340" s="665"/>
      <c r="Y340" s="619"/>
      <c r="Z340" s="665"/>
      <c r="AA340" s="695"/>
      <c r="AB340" s="708"/>
      <c r="AC340" s="665"/>
      <c r="AD340" s="665"/>
      <c r="AE340" s="665"/>
      <c r="AF340" s="665"/>
      <c r="AG340" s="665"/>
      <c r="AH340" s="695"/>
      <c r="AI340" s="672"/>
      <c r="AJ340" s="606">
        <f t="shared" si="139"/>
        <v>0</v>
      </c>
      <c r="AK340" s="116" t="str">
        <f>CONCATENATE(IF(D340&gt;SUM(D295,D299,D293,D301)," * Infant Prophylaxis ANC for Age "&amp;D20&amp;" "&amp;D21&amp;" is more than Positive at ANC (F06-02+F06-04+F06-06+F06-062)"&amp;CHAR(10),""),IF(E340&gt;SUM(E295,E299,E293,E301)," * Infant Prophylaxis ANC  for Age "&amp;D20&amp;" "&amp;E21&amp;" is more than Positive at ANC (F06-02+F06-04+F06-06+F06-062)"&amp;CHAR(10),""),IF(F340&gt;SUM(F295,F299,F293,F301)," * Infant Prophylaxis ANC  for Age "&amp;F20&amp;" "&amp;F21&amp;" is more than Positive at ANC (F06-02+F06-04+F06-06+F06-062)"&amp;CHAR(10),""),IF(G340&gt;SUM(G295,G299,G293,F301)," * Infant Prophylaxis ANC  for Age "&amp;F20&amp;" "&amp;G21&amp;" is more than Positive at ANC (F06-02+F06-04+F06-06+F06-062)"&amp;CHAR(10),""),IF(H340&gt;SUM(H295,H299,H293)," * Infant Prophylaxis ANC  for Age "&amp;H20&amp;" "&amp;H21&amp;" is more than Positive at ANC (F06-02+F06-04+F06-06+F06-062)"&amp;CHAR(10),""),IF(I340&gt;SUM(I295,I299,I293)," * Infant Prophylaxis ANC  for Age "&amp;H20&amp;" "&amp;I21&amp;" is more than Positive at ANC (F06-02+F06-04+F06-06+F06-062)"&amp;CHAR(10),""),IF(J340&gt;SUM(J295,J299,J293)," * Infant Prophylaxis ANC  for Age "&amp;J20&amp;" "&amp;J21&amp;" is more than Positive at ANC (F06-02+F06-04+F06-06+F06-062)"&amp;CHAR(10),""),IF(K340&gt;SUM(K295,K299,K293,K301)," * Infant Prophylaxis ANC  for Age "&amp;J20&amp;" "&amp;K21&amp;" is more than Positive at ANC (F06-02+F06-04+F06-06+F06-062)"&amp;CHAR(10),""),IF(L340&gt;SUM(L295,L299,L293,L301)," * Infant Prophylaxis ANC  for Age "&amp;L20&amp;" "&amp;L21&amp;" is more than Positive at ANC (F06-02+F06-04+F06-06+F06-062)"&amp;CHAR(10),""),IF(M340&gt;SUM(M295,M299,M293,M301)," * Infant Prophylaxis ANC  for Age "&amp;L20&amp;" "&amp;M21&amp;" is more than Positive at ANC (F06-02+F06-04+F06-06+F06-062)"&amp;CHAR(10),""),IF(N340&gt;SUM(N295,N299,N293,N301)," * Infant Prophylaxis ANC  for Age "&amp;N20&amp;" "&amp;N21&amp;" is more than Positive at ANC (F06-02+F06-04+F06-06+F06-062)"&amp;CHAR(10),""),IF(O340&gt;SUM(O295,O299,O293,O301)," * Infant Prophylaxis ANC  for Age "&amp;N20&amp;" "&amp;O21&amp;" is more than Positive at ANC (F06-02+F06-04+F06-06+F06-062)"&amp;CHAR(10),""),IF(P340&gt;SUM(P295,P299,P293,P301)," * Infant Prophylaxis ANC  for Age "&amp;P20&amp;" "&amp;P21&amp;" is more than Positive at ANC (F06-02+F06-04+F06-06+F06-062)"&amp;CHAR(10),""),IF(Q340&gt;SUM(Q295,Q299,Q293,Q301)," * Infant Prophylaxis ANC  for Age "&amp;P20&amp;" "&amp;Q21&amp;" is more than Positive at ANC (F06-02+F06-04+F06-06+F06-062)"&amp;CHAR(10),""),IF(R340&gt;SUM(R295,R299,R293,R301)," * Infant Prophylaxis ANC  for Age "&amp;R20&amp;" "&amp;R21&amp;" is more than Positive at ANC (F06-02+F06-04+F06-06+F06-062)"&amp;CHAR(10),""),IF(S340&gt;SUM(S295,S299,S293,S301)," * Infant Prophylaxis ANC  for Age "&amp;R20&amp;" "&amp;S21&amp;" is more than Positive at ANC (F06-02+F06-04+F06-06+F06-062)"&amp;CHAR(10),""),IF(T340&gt;SUM(T295,T299,T293,T301)," * Infant Prophylaxis ANC  for Age "&amp;T20&amp;" "&amp;T21&amp;" is more than Positive at ANC (F06-02+F06-04+F06-06+F06-062)"&amp;CHAR(10),""),IF(U340&gt;SUM(U295,U299,U293,U301)," * Infant Prophylaxis ANC  for Age "&amp;T20&amp;" "&amp;U21&amp;" is more than Positive at ANC (F06-02+F06-04+F06-06+F06-062)"&amp;CHAR(10),""),IF(V340&gt;SUM(V295,V299,V293,V301)," * Infant Prophylaxis ANC  for Age "&amp;V20&amp;" "&amp;V21&amp;" is more than Positive at ANC (F06-02+F06-04+F06-06+F06-062)"&amp;CHAR(10),""),IF(W340&gt;SUM(W295,W299,W293,W301)," * Infant Prophylaxis ANC  for Age "&amp;V20&amp;" "&amp;W21&amp;" is more than Positive at ANC (F06-02+F06-04+F06-06+F06-062)"&amp;CHAR(10),""),IF(X340&gt;SUM(X295,X299,X293,X301)," * Infant Prophylaxis ANC  for Age "&amp;X20&amp;" "&amp;X21&amp;" is more than Positive at ANC (F06-02+F06-04+F06-06+F06-062)"&amp;CHAR(10),""),IF(Y340&gt;SUM(Y295,Y299,Y293,Y301)," * Infant Prophylaxis ANC  for Age "&amp;X20&amp;" "&amp;Y21&amp;" is more than Positive at ANC (F06-02+F06-04+F06-06+F06-062)"&amp;CHAR(10),""),IF(Z340&gt;SUM(Z295,Z299,Z293,Z301)," * Infant Prophylaxis ANC  for Age "&amp;Z20&amp;" "&amp;Z21&amp;" is more than Positive at ANC (F06-02+F06-04+F06-06+F06-062)"&amp;CHAR(10),""),IF(AA340&gt;SUM(AA295,AA299,AA293,AA301)," * Infant Prophylaxis ANC  for Age "&amp;Z20&amp;" "&amp;AA21&amp;" is more than Positive at ANC (F06-02+F06-04+F06-06+F06-062)"&amp;CHAR(10),""))</f>
        <v/>
      </c>
      <c r="AL340" s="1162"/>
      <c r="AM340" s="60" t="str">
        <f>CONCATENATE(IF(D340&lt;SUM(D295,D293,D299,D301)," * Sum of (KP at 1st ANC +New positive at ANC1 + New positive at ANC2 or More+Retesting positive Result at ANC2 or More) for Age "&amp;D20&amp;" "&amp;D21&amp;" is greater than Infant Prophylaxis ANC"&amp;CHAR(10),""),IF(E340&lt;SUM(E295,E293,E299,E301)," * Sum of (KP at 1st ANC +New positive at ANC1 + New positive at ANC2 or More+Retesting positive Result at ANC2 or More) for Age "&amp;D20&amp;" "&amp;E21&amp;" is greater than Infant Prophylaxis ANC"&amp;CHAR(10),""),IF(F340&lt;SUM(F295,F293,F299,F301)," * Sum of (KP at 1st ANC +New positive at ANC1 + New positive at ANC2 or More+Retesting positive Result at ANC2 or More) for Age "&amp;F20&amp;" "&amp;F21&amp;" is greater than Infant Prophylaxis ANC"&amp;CHAR(10),""),IF(G340&lt;SUM(G295,G293,G299,G301)," * Sum of (KP at 1st ANC +New positive at ANC1 + New positive at ANC2 or More+Retesting positive Result at ANC2 or More) for Age "&amp;F20&amp;" "&amp;G21&amp;" is greater than Infant Prophylaxis ANC"&amp;CHAR(10),""),IF(H340&lt;SUM(H295,H293,H299,H301)," * Sum of (KP at 1st ANC +New positive at ANC1 + New positive at ANC2 or More+Retesting positive Result at ANC2 or More) for Age "&amp;H20&amp;" "&amp;H21&amp;" is greater than Infant Prophylaxis ANC"&amp;CHAR(10),""),IF(I340&lt;SUM(I295,I293,I299,I301)," * Sum of (KP at 1st ANC +New positive at ANC1 + New positive at ANC2 or More+Retesting positive Result at ANC2 or More) for Age "&amp;H20&amp;" "&amp;I21&amp;" is greater than Infant Prophylaxis ANC"&amp;CHAR(10),""),IF(J340&lt;SUM(J295,J293,J299,J301)," * Sum of (KP at 1st ANC +New positive at ANC1 + New positive at ANC2 or More+Retesting positive Result at ANC2 or More) for Age "&amp;J20&amp;" "&amp;J21&amp;" is greater than Infant Prophylaxis ANC"&amp;CHAR(10),""),IF(K340&lt;SUM(K295,K293,K299,K301)," * Sum of (KP at 1st ANC +New positive at ANC1 + New positive at ANC2 or More+Retesting positive Result at ANC2 or More) for Age "&amp;J20&amp;" "&amp;K21&amp;" is greater than Infant Prophylaxis ANC"&amp;CHAR(10),""),IF(L340&lt;SUM(L295,L293,L299,L301)," * Sum of (KP at 1st ANC +New positive at ANC1 + New positive at ANC2 or More+Retesting positive Result at ANC2 or More) for Age "&amp;L20&amp;" "&amp;L21&amp;" is greater than Infant Prophylaxis ANC"&amp;CHAR(10),""),IF(M340&lt;SUM(M295,M293,M299,M301)," * Sum of (KP at 1st ANC +New positive at ANC1 + New positive at ANC2 or More+Retesting positive Result at ANC2 or More) for Age "&amp;L20&amp;" "&amp;M21&amp;" is greater than Infant Prophylaxis ANC"&amp;CHAR(10),""),IF(N340&lt;SUM(N295,N293,N299,N301)," * Sum of (KP at 1st ANC +New positive at ANC1 + New positive at ANC2 or More+Retesting positive Result at ANC2 or More) for Age "&amp;N20&amp;" "&amp;N21&amp;" is greater than Infant Prophylaxis ANC"&amp;CHAR(10),""),IF(O340&lt;SUM(O295,O293,O299,O301)," * Sum of (KP at 1st ANC +New positive at ANC1 + New positive at ANC2 or More+Retesting positive Result at ANC2 or More) for Age "&amp;N20&amp;" "&amp;O21&amp;" is greater than Infant Prophylaxis ANC"&amp;CHAR(10),""),IF(P340&lt;SUM(P295,P293,P299,P301)," * Sum of (KP at 1st ANC +New positive at ANC1 + New positive at ANC2 or More+Retesting positive Result at ANC2 or More) for Age "&amp;P20&amp;" "&amp;P21&amp;" is greater than Infant Prophylaxis ANC"&amp;CHAR(10),""),IF(Q340&lt;SUM(Q295,Q293,Q299,Q301)," * Sum of (KP at 1st ANC +New positive at ANC1 + New positive at ANC2 or More+Retesting positive Result at ANC2 or More) for Age "&amp;P20&amp;" "&amp;Q21&amp;" is greater than Infant Prophylaxis ANC"&amp;CHAR(10),""),IF(R340&lt;SUM(R295,R293,R299,R301)," * Sum of (KP at 1st ANC +New positive at ANC1 + New positive at ANC2 or More+Retesting positive Result at ANC2 or More) for Age "&amp;R20&amp;" "&amp;R21&amp;" is greater than Infant Prophylaxis ANC"&amp;CHAR(10),""),IF(S340&lt;SUM(S295,S293,S299,S301)," * Sum of (KP at 1st ANC +New positive at ANC1 + New positive at ANC2 or More+Retesting positive Result at ANC2 or More) for Age "&amp;R20&amp;" "&amp;S21&amp;" is greater than Infant Prophylaxis ANC"&amp;CHAR(10),""),IF(T340&lt;SUM(T295,T293,T299&lt;T301)," * Sum of (KP at 1st ANC +New positive at ANC1 + New positive at ANC2 or More+Retesting positive Result at ANC2 or More) for Age "&amp;T20&amp;" "&amp;T21&amp;" is greater than Infant Prophylaxis ANC"&amp;CHAR(10),""),IF(U340&lt;SUM(U295,U293,U299,U301)," * Sum of (KP at 1st ANC +New positive at ANC1 + New positive at ANC2 or More+Retesting positive Result at ANC2 or More) for Age "&amp;T20&amp;" "&amp;U21&amp;" is greater than Infant Prophylaxis ANC"&amp;CHAR(10),""),IF(V340&lt;SUM(V295,V293,V299,V301)," * Sum of (KP at 1st ANC +New positive at ANC1 + New positive at ANC2 or More+Retesting positive Result at ANC2 or More) for Age "&amp;V20&amp;" "&amp;V21&amp;" is greater than Infant Prophylaxis ANC"&amp;CHAR(10),""),IF(W340&lt;SUM(W295,W293,W299,W301)," * Sum of (KP at 1st ANC +New positive at ANC1 + New positive at ANC2 or More+Retesting positive Result at ANC2 or More) for Age "&amp;V20&amp;" "&amp;W21&amp;" is greater than Infant Prophylaxis ANC"&amp;CHAR(10),""),IF(X340&lt;SUM(X295,X293,X299,X301)," * Sum of (KP at 1st ANC +New positive at ANC1 + New positive at ANC2 or More+Retesting positive Result at ANC2 or More) for Age "&amp;X20&amp;" "&amp;X21&amp;" is greater than Infant Prophylaxis ANC"&amp;CHAR(10),""),IF(Y340&lt;SUM(Y295,Y293,Y299,Y301)," * Sum of (KP at 1st ANC +New positive at ANC1 + New positive at ANC2 or More+Retesting positive Result at ANC2 or More) for Age "&amp;X20&amp;" "&amp;Y21&amp;" is greater than Infant Prophylaxis ANC"&amp;CHAR(10),""),IF(Z340&lt;SUM(Z295,Z293,Z299,Z301)," * Sum of (KP at 1st ANC +New positive at ANC1 + New positive at ANC2 or More+Retesting positive Result at ANC2 or More) for Age "&amp;Z20&amp;" "&amp;Z21&amp;" is greater than Infant Prophylaxis ANC"&amp;CHAR(10),""),IF(AA340&lt;SUM(AA295,AA293,AA299,AA301)," * Sum of (KP at 1st ANC +New positive at ANC1 + New positive at ANC2 or More+Retesting positive Result at ANC2 or More) for Age "&amp;Z20&amp;" "&amp;AA21&amp;" is greater than Infant Prophylaxis ANC"&amp;CHAR(10),""))</f>
        <v/>
      </c>
      <c r="AN340" s="1152"/>
      <c r="AO340" s="13">
        <v>241</v>
      </c>
      <c r="AP340" s="80"/>
      <c r="AQ340" s="75"/>
    </row>
    <row r="341" spans="1:43" ht="25.5" hidden="1" x14ac:dyDescent="0.75">
      <c r="A341" s="1137"/>
      <c r="B341" s="76" t="s">
        <v>667</v>
      </c>
      <c r="C341" s="571" t="s">
        <v>352</v>
      </c>
      <c r="D341" s="696"/>
      <c r="E341" s="656"/>
      <c r="F341" s="656"/>
      <c r="G341" s="656"/>
      <c r="H341" s="656"/>
      <c r="I341" s="656"/>
      <c r="J341" s="701"/>
      <c r="K341" s="699"/>
      <c r="L341" s="656"/>
      <c r="M341" s="657"/>
      <c r="N341" s="656"/>
      <c r="O341" s="657"/>
      <c r="P341" s="656"/>
      <c r="Q341" s="657"/>
      <c r="R341" s="656"/>
      <c r="S341" s="657"/>
      <c r="T341" s="656"/>
      <c r="U341" s="657"/>
      <c r="V341" s="656"/>
      <c r="W341" s="657"/>
      <c r="X341" s="656"/>
      <c r="Y341" s="657"/>
      <c r="Z341" s="656"/>
      <c r="AA341" s="697"/>
      <c r="AB341" s="672"/>
      <c r="AC341" s="656"/>
      <c r="AD341" s="656"/>
      <c r="AE341" s="656"/>
      <c r="AF341" s="656"/>
      <c r="AG341" s="656"/>
      <c r="AH341" s="697"/>
      <c r="AI341" s="672"/>
      <c r="AJ341" s="606">
        <f t="shared" si="139"/>
        <v>0</v>
      </c>
      <c r="AK341" s="116" t="str">
        <f>CONCATENATE(IF(D341&gt;(D303+D305)," * Infant Prophylaxis LD for Age "&amp;D20&amp;" "&amp;D21&amp;" is more than Initial LD Positive + Retest LD positive"&amp;CHAR(10),""),IF(E341&gt;(E303+E305)," * Infant Prophylaxis LD for Age "&amp;D20&amp;" "&amp;E21&amp;" is more than Initial LD Positive + Retest LD positive"&amp;CHAR(10),""),IF(F341&gt;(F303+F305)," * Infant Prophylaxis LD for Age "&amp;F20&amp;" "&amp;F21&amp;" is more than Initial LD Positive + Retest LD positive"&amp;CHAR(10),""),IF(G341&gt;(G303+G305)," * Infant Prophylaxis LD for Age "&amp;F20&amp;" "&amp;G21&amp;" is more than Initial LD Positive + Retest LD positive"&amp;CHAR(10),""),IF(H341&gt;(H303+H305)," * Infant Prophylaxis LD for Age "&amp;H20&amp;" "&amp;H21&amp;" is more than Initial LD Positive + Retest LD positive"&amp;CHAR(10),""),IF(I341&gt;(I303+I305)," * Infant Prophylaxis LD for Age "&amp;H20&amp;" "&amp;I21&amp;" is more than Initial LD Positive + Retest LD positive"&amp;CHAR(10),""),IF(J341&gt;(J303+J305)," * Infant Prophylaxis LD for Age "&amp;J20&amp;" "&amp;J21&amp;" is more than Initial LD Positive + Retest LD positive"&amp;CHAR(10),""),IF(K341&gt;(K303+K305)," * Infant Prophylaxis LD for Age "&amp;J20&amp;" "&amp;K21&amp;" is more than Initial LD Positive + Retest LD positive"&amp;CHAR(10),""),IF(L341&gt;(L303+L305)," * Infant Prophylaxis LD for Age "&amp;L20&amp;" "&amp;L21&amp;" is more than Initial LD Positive + Retest LD positive"&amp;CHAR(10),""),IF(M341&gt;(M303+M305)," * Infant Prophylaxis LD for Age "&amp;L20&amp;" "&amp;M21&amp;" is more than Initial LD Positive + Retest LD positive"&amp;CHAR(10),""),IF(N341&gt;(N303+N305)," * Infant Prophylaxis LD for Age "&amp;N20&amp;" "&amp;N21&amp;" is more than Initial LD Positive + Retest LD positive"&amp;CHAR(10),""),IF(O341&gt;(O303+O305)," * Infant Prophylaxis LD for Age "&amp;N20&amp;" "&amp;O21&amp;" is more than Initial LD Positive + Retest LD positive"&amp;CHAR(10),""),IF(P341&gt;(P303+P305)," * Infant Prophylaxis LD for Age "&amp;P20&amp;" "&amp;P21&amp;" is more than Initial LD Positive + Retest LD positive"&amp;CHAR(10),""),IF(Q341&gt;(Q303+Q305)," * Infant Prophylaxis LD for Age "&amp;P20&amp;" "&amp;Q21&amp;" is more than Initial LD Positive + Retest LD positive"&amp;CHAR(10),""),IF(R341&gt;(R303+R305)," * Infant Prophylaxis LD for Age "&amp;R20&amp;" "&amp;R21&amp;" is more than Initial LD Positive + Retest LD positive"&amp;CHAR(10),""),IF(S341&gt;(S303+S305)," * Infant Prophylaxis LD for Age "&amp;R20&amp;" "&amp;S21&amp;" is more than Initial LD Positive + Retest LD positive"&amp;CHAR(10),""),IF(T341&gt;(T303+T305)," * Infant Prophylaxis LD for Age "&amp;T20&amp;" "&amp;T21&amp;" is more than Initial LD Positive + Retest LD positive"&amp;CHAR(10),""),IF(U341&gt;(U303+U305)," * Infant Prophylaxis LD for Age "&amp;T20&amp;" "&amp;U21&amp;" is more than Initial LD Positive + Retest LD positive"&amp;CHAR(10),""),IF(V341&gt;(V303+V305)," * Infant Prophylaxis LD for Age "&amp;V20&amp;" "&amp;V21&amp;" is more than Initial LD Positive + Retest LD positive"&amp;CHAR(10),""),IF(W341&gt;(W303+W305)," * Infant Prophylaxis LD for Age "&amp;V20&amp;" "&amp;W21&amp;" is more than Initial LD Positive + Retest LD positive"&amp;CHAR(10),""),IF(X341&gt;X303," * Infant Prophylaxis LD for Age "&amp;X20&amp;" "&amp;X21&amp;" is more than Initial LD Positive + Retest LD positive"&amp;CHAR(10),""),IF(Y341&gt;(Y303+Y305)," * Infant Prophylaxis LD for Age "&amp;X20&amp;" "&amp;Y21&amp;" is more than Initial LD Positive + Retest LD positive"&amp;CHAR(10),""),IF(Z341&gt;(Z303+Z305)," * Infant Prophylaxis LD for Age "&amp;Z20&amp;" "&amp;Z21&amp;" is more than Initial LD Positive + Retest LD positive"&amp;CHAR(10),""),IF(AA341&gt;(AA303+AA305)," * Infant Prophylaxis LD for Age "&amp;Z20&amp;" "&amp;AA21&amp;" is more than Initial LD Positive + Retest LD positive"&amp;CHAR(10),""),IF(AJ341&gt;(AJ303+AJ305)," * Total Infant Prophylaxis LD is more than Total Initial LD Positive + Retest LD positive"&amp;CHAR(10),""))</f>
        <v/>
      </c>
      <c r="AL341" s="1162"/>
      <c r="AM341" s="31" t="str">
        <f>CONCATENATE(IF(D341&lt;(D303+D305)," * Infant Prophylaxis LD for Age "&amp;D20&amp;" "&amp;D21&amp;" is less than Initial LD Positive + Retest LD positive"&amp;CHAR(10),""),IF(E341&lt;(E303+E305)," * Infant Prophylaxis LD for Age "&amp;D20&amp;" "&amp;E21&amp;" is less than Initial LD Positive + Retest LD positive"&amp;CHAR(10),""),IF(F341&lt;(F303+F305)," * Infant Prophylaxis LD for Age "&amp;F20&amp;" "&amp;F21&amp;" is less than Initial LD Positive + Retest LD positive"&amp;CHAR(10),""),IF(G341&lt;(G303+G305)," * Infant Prophylaxis LD for Age "&amp;F20&amp;" "&amp;G21&amp;" is less than Initial LD Positive + Retest LD positive"&amp;CHAR(10),""),IF(H341&lt;(H303+H305)," * Infant Prophylaxis LD for Age "&amp;H20&amp;" "&amp;H21&amp;" is less than Initial LD Positive + Retest LD positive"&amp;CHAR(10),""),IF(I341&lt;(I303+I305)," * Infant Prophylaxis LD for Age "&amp;H20&amp;" "&amp;I21&amp;" is less than Initial LD Positive + Retest LD positive"&amp;CHAR(10),""),IF(J341&lt;(J303+J305)," * Infant Prophylaxis LD for Age "&amp;J20&amp;" "&amp;J21&amp;" is less than Initial LD Positive + Retest LD positive"&amp;CHAR(10),""),IF(K341&lt;(K303+K305)," * Infant Prophylaxis LD for Age "&amp;J20&amp;" "&amp;K21&amp;" is less than Initial LD Positive + Retest LD positive"&amp;CHAR(10),""),IF(L341&lt;(L303+L305)," * Infant Prophylaxis LD for Age "&amp;L20&amp;" "&amp;L21&amp;" is less than Initial LD Positive + Retest LD positive"&amp;CHAR(10),""),IF(M341&lt;(M303+M305)," * Infant Prophylaxis LD for Age "&amp;L20&amp;" "&amp;M21&amp;" is less than Initial LD Positive + Retest LD positive"&amp;CHAR(10),""),IF(N341&lt;(N303+N305)," * Infant Prophylaxis LD for Age "&amp;N20&amp;" "&amp;N21&amp;" is less than Initial LD Positive + Retest LD positive"&amp;CHAR(10),""),IF(O341&lt;(O303+O305)," * Infant Prophylaxis LD for Age "&amp;N20&amp;" "&amp;O21&amp;" is less than Initial LD Positive + Retest LD positive"&amp;CHAR(10),""),IF(P341&lt;(P303+P305)," * Infant Prophylaxis LD for Age "&amp;P20&amp;" "&amp;P21&amp;" is less than Initial LD Positive + Retest LD positive"&amp;CHAR(10),""),IF(Q341&lt;(Q303+Q305)," * Infant Prophylaxis LD for Age "&amp;P20&amp;" "&amp;Q21&amp;" is less than Initial LD Positive + Retest LD positive"&amp;CHAR(10),""),IF(R341&lt;(R303+R305)," * Infant Prophylaxis LD for Age "&amp;R20&amp;" "&amp;R21&amp;" is less than Initial LD Positive + Retest LD positive"&amp;CHAR(10),""),IF(S341&lt;(S303+S305)," * Infant Prophylaxis LD for Age "&amp;R20&amp;" "&amp;S21&amp;" is less than Initial LD Positive + Retest LD positive"&amp;CHAR(10),""),IF(T341&lt;(T303+T305)," * Infant Prophylaxis LD for Age "&amp;T20&amp;" "&amp;T21&amp;" is less than Initial LD Positive + Retest LD positive"&amp;CHAR(10),""),IF(U341&lt;(U303+U305)," * Infant Prophylaxis LD for Age "&amp;T20&amp;" "&amp;U21&amp;" is less than Initial LD Positive + Retest LD positive"&amp;CHAR(10),""),IF(V341&lt;(V303+V305)," * Infant Prophylaxis LD for Age "&amp;V20&amp;" "&amp;V21&amp;" is less than Initial LD Positive + Retest LD positive"&amp;CHAR(10),""),IF(W341&lt;(W303+W305)," * Infant Prophylaxis LD for Age "&amp;V20&amp;" "&amp;W21&amp;" is less than Initial LD Positive + Retest LD positive"&amp;CHAR(10),""),IF(X341&lt;X303," * Infant Prophylaxis LD for Age "&amp;X20&amp;" "&amp;X21&amp;" is less than Initial LD Positive + Retest LD positive"&amp;CHAR(10),""),IF(Y341&lt;(Y303+Y305)," * Infant Prophylaxis LD for Age "&amp;X20&amp;" "&amp;Y21&amp;" is less than Initial LD Positive + Retest LD positive"&amp;CHAR(10),""),IF(Z341&lt;(Z303+Z305)," * Infant Prophylaxis LD for Age "&amp;Z20&amp;" "&amp;Z21&amp;" is less than Initial LD Positive + Retest LD positive"&amp;CHAR(10),""),IF(AA341&lt;(AA303+AA305)," * Infant Prophylaxis LD for Age "&amp;Z20&amp;" "&amp;AA21&amp;" is less than Initial LD Positive + Retest LD positive"&amp;CHAR(10),""),IF(AJ341&lt;(AJ303+AJ305)," * Total Infant Prophylaxis LD is less than Total Initial LD Positive + Retest LD positive"&amp;CHAR(10),""))</f>
        <v/>
      </c>
      <c r="AN341" s="1152"/>
      <c r="AO341" s="13">
        <v>242</v>
      </c>
      <c r="AP341" s="74"/>
      <c r="AQ341" s="75"/>
    </row>
    <row r="342" spans="1:43" ht="25.9" hidden="1" thickBot="1" x14ac:dyDescent="0.8">
      <c r="A342" s="1154"/>
      <c r="B342" s="118" t="s">
        <v>668</v>
      </c>
      <c r="C342" s="592" t="s">
        <v>353</v>
      </c>
      <c r="D342" s="698"/>
      <c r="E342" s="668"/>
      <c r="F342" s="668"/>
      <c r="G342" s="668"/>
      <c r="H342" s="668"/>
      <c r="I342" s="668"/>
      <c r="J342" s="702"/>
      <c r="K342" s="690"/>
      <c r="L342" s="668"/>
      <c r="M342" s="673"/>
      <c r="N342" s="668"/>
      <c r="O342" s="673"/>
      <c r="P342" s="668"/>
      <c r="Q342" s="673"/>
      <c r="R342" s="668"/>
      <c r="S342" s="673"/>
      <c r="T342" s="668"/>
      <c r="U342" s="673"/>
      <c r="V342" s="668"/>
      <c r="W342" s="673"/>
      <c r="X342" s="668"/>
      <c r="Y342" s="673"/>
      <c r="Z342" s="668"/>
      <c r="AA342" s="677"/>
      <c r="AB342" s="679"/>
      <c r="AC342" s="668"/>
      <c r="AD342" s="668"/>
      <c r="AE342" s="668"/>
      <c r="AF342" s="668"/>
      <c r="AG342" s="668"/>
      <c r="AH342" s="677"/>
      <c r="AI342" s="672"/>
      <c r="AJ342" s="606">
        <f t="shared" si="139"/>
        <v>0</v>
      </c>
      <c r="AK342" s="122" t="str">
        <f>CONCATENATE(IF(D342&gt;D307+D309," * Infant Prophylaxis PNC &lt; 6 Weeks for Age "&amp;D20&amp;" "&amp;D21&amp;" is more than Positive PNC &lt;= 6 weeks"&amp;CHAR(10),""),IF(E342&gt;E307+E309," * Infant Prophylaxis PNC &lt; 6 Weeks for Age "&amp;D20&amp;" "&amp;E21&amp;" is more than Positive PNC &lt;= 6 weeks"&amp;CHAR(10),""),IF(F342&gt;F307+F309," * Infant Prophylaxis PNC &lt; 6 Weeks for Age "&amp;F20&amp;" "&amp;F21&amp;" is more than Positive PNC &lt;= 6 weeks"&amp;CHAR(10),""),IF(G342&gt;G307+G309," * Infant Prophylaxis PNC &lt; 6 Weeks for Age "&amp;F20&amp;" "&amp;G21&amp;" is more than Positive PNC &lt;= 6 weeks"&amp;CHAR(10),""),IF(H342&gt;H307+H309," * Infant Prophylaxis PNC &lt; 6 Weeks for Age "&amp;H20&amp;" "&amp;H21&amp;" is more than Positive PNC &lt;= 6 weeks"&amp;CHAR(10),""),IF(I342&gt;I307+I309," * Infant Prophylaxis PNC &lt; 6 Weeks for Age "&amp;H20&amp;" "&amp;I21&amp;" is more than Positive PNC &lt;= 6 weeks"&amp;CHAR(10),""),IF(J342&gt;J307+J309," * Infant Prophylaxis PNC &lt; 6 Weeks for Age "&amp;J20&amp;" "&amp;J21&amp;" is more than Positive PNC &lt;= 6 weeks"&amp;CHAR(10),""),IF(K342&gt;K307+K309," * Infant Prophylaxis PNC &lt; 6 Weeks for Age "&amp;J20&amp;" "&amp;K21&amp;" is more than Positive PNC &lt;= 6 weeks"&amp;CHAR(10),""),IF(L342&gt;L307+L309," * Infant Prophylaxis PNC &lt; 6 Weeks for Age "&amp;L20&amp;" "&amp;L21&amp;" is more than Positive PNC &lt;= 6 weeks"&amp;CHAR(10),""),IF(M342&gt;M307+M309," * Infant Prophylaxis PNC &lt; 6 Weeks for Age "&amp;L20&amp;" "&amp;M21&amp;" is more than Positive PNC &lt;= 6 weeks"&amp;CHAR(10),""),IF(N342&gt;N307+N309," * Infant Prophylaxis PNC &lt; 6 Weeks for Age "&amp;N20&amp;" "&amp;N21&amp;" is more than Positive PNC &lt;= 6 weeks"&amp;CHAR(10),""),IF(O342&gt;O307+O309," * Infant Prophylaxis PNC &lt; 6 Weeks for Age "&amp;N20&amp;" "&amp;O21&amp;" is more than Positive PNC &lt;= 6 weeks"&amp;CHAR(10),""),IF(P342&gt;P307+P309," * Infant Prophylaxis PNC &lt; 6 Weeks for Age "&amp;P20&amp;" "&amp;P21&amp;" is more than Positive PNC &lt;= 6 weeks"&amp;CHAR(10),""),IF(Q342&gt;Q307+Q309," * Infant Prophylaxis PNC &lt; 6 Weeks for Age "&amp;P20&amp;" "&amp;Q21&amp;" is more than Positive PNC &lt;= 6 weeks"&amp;CHAR(10),""),IF(R342&gt;R307+R309," * Infant Prophylaxis PNC &lt; 6 Weeks for Age "&amp;R20&amp;" "&amp;R21&amp;" is more than Positive PNC &lt;= 6 weeks"&amp;CHAR(10),""),IF(S342&gt;S307+S309+S309," * Infant Prophylaxis PNC &lt; 6 Weeks for Age "&amp;R20&amp;" "&amp;S21&amp;" is more than Positive PNC &lt;= 6 weeks"&amp;CHAR(10),""),IF(T342&gt;T307+T309," * Infant Prophylaxis PNC &lt; 6 Weeks for Age "&amp;T20&amp;" "&amp;T21&amp;" is more than Positive PNC &lt;= 6 weeks"&amp;CHAR(10),""),IF(U342&gt;U307+U309," * Infant Prophylaxis PNC &lt; 6 Weeks for Age "&amp;T20&amp;" "&amp;U21&amp;" is more than Positive PNC &lt;= 6 weeks"&amp;CHAR(10),""),IF(V342&gt;V307+V309," * Infant Prophylaxis PNC &lt; 6 Weeks for Age "&amp;V20&amp;" "&amp;V21&amp;" is more than Positive PNC &lt;= 6 weeks"&amp;CHAR(10),""),IF(W342&gt;W307+W309," * Infant Prophylaxis PNC &lt; 6 Weeks for Age "&amp;V20&amp;" "&amp;W21&amp;" is more than Positive PNC &lt;= 6 weeks"&amp;CHAR(10),""),IF(X342&gt;X307+X309," * Infant Prophylaxis PNC &lt; 6 Weeks for Age "&amp;X20&amp;" "&amp;X21&amp;" is more than Positive PNC &lt;= 6 weeks"&amp;CHAR(10),""),IF(Y342&gt;Y307+Y309," * Infant Prophylaxis PNC &lt; 6 Weeks for Age "&amp;X20&amp;" "&amp;Y21&amp;" is more than Positive PNC &lt;= 6 weeks"&amp;CHAR(10),""),IF(Z342&gt;Z307+Z309," * Infant Prophylaxis PNC &lt; 6 Weeks for Age "&amp;Z20&amp;" "&amp;Z21&amp;" is more than Positive PNC &lt;= 6 weeks"&amp;CHAR(10),""),IF(AA342&gt;AA307+AA309," * Infant Prophylaxis PNC &lt; 6 Weeks for Age "&amp;Z20&amp;" "&amp;AA21&amp;" is more than Positive PNC &lt;= 6 weeks"&amp;CHAR(10),""))</f>
        <v/>
      </c>
      <c r="AL342" s="1163"/>
      <c r="AM342" s="123" t="str">
        <f>CONCATENATE(IF(D342&lt;D307," * F06-20 for Age "&amp;D20&amp;" "&amp;D21&amp;" is less than F06-10"&amp;CHAR(10),""),IF(E342&lt;E307," * F06-20 for Age "&amp;D20&amp;" "&amp;E21&amp;" is less than F06-10"&amp;CHAR(10),""),IF(F342&lt;F307," * F06-20 for Age "&amp;F20&amp;" "&amp;F21&amp;" is less than F06-10"&amp;CHAR(10),""),IF(G342&lt;G307," * F06-20 for Age "&amp;F20&amp;" "&amp;G21&amp;" is less than F06-10"&amp;CHAR(10),""),IF(H342&lt;H307," * F06-20 for Age "&amp;H20&amp;" "&amp;H21&amp;" is less than F06-10"&amp;CHAR(10),""),IF(I342&lt;I307," * F06-20 for Age "&amp;H20&amp;" "&amp;I21&amp;" is less than F06-10"&amp;CHAR(10),""),IF(J342&lt;J307," * F06-20 for Age "&amp;J20&amp;" "&amp;J21&amp;" is less than F06-10"&amp;CHAR(10),""),IF(K342&lt;K307," * F06-20 for Age "&amp;J20&amp;" "&amp;K21&amp;" is less than F06-10"&amp;CHAR(10),""),IF(L342&lt;L307," * F06-20 for Age "&amp;L20&amp;" "&amp;L21&amp;" is less than F06-10"&amp;CHAR(10),""),IF(M342&lt;M307," * F06-20 for Age "&amp;L20&amp;" "&amp;M21&amp;" is less than F06-10"&amp;CHAR(10),""),IF(N342&lt;N307," * F06-20 for Age "&amp;N20&amp;" "&amp;N21&amp;" is less than F06-10"&amp;CHAR(10),""),IF(O342&lt;O307," * F06-20 for Age "&amp;N20&amp;" "&amp;O21&amp;" is less than F06-10"&amp;CHAR(10),""),IF(P342&lt;P307," * F06-20 for Age "&amp;P20&amp;" "&amp;P21&amp;" is less than F06-10"&amp;CHAR(10),""),IF(Q342&lt;Q307," * F06-20 for Age "&amp;P20&amp;" "&amp;Q21&amp;" is less than F06-10"&amp;CHAR(10),""),IF(R342&lt;R307," * F06-20 for Age "&amp;R20&amp;" "&amp;R21&amp;" is less than F06-10"&amp;CHAR(10),""),IF(S342&lt;S307," * F06-20 for Age "&amp;R20&amp;" "&amp;S21&amp;" is less than F06-10"&amp;CHAR(10),""),IF(T342&lt;T307," * F06-20 for Age "&amp;T20&amp;" "&amp;T21&amp;" is less than F06-10"&amp;CHAR(10),""),IF(U342&lt;U307," * F06-20 for Age "&amp;T20&amp;" "&amp;U21&amp;" is less than F06-10"&amp;CHAR(10),""),IF(V342&lt;V307," * F06-20 for Age "&amp;V20&amp;" "&amp;V21&amp;" is less than F06-10"&amp;CHAR(10),""),IF(W342&lt;W307," * F06-20 for Age "&amp;V20&amp;" "&amp;W21&amp;" is less than F06-10"&amp;CHAR(10),""),IF(X342&lt;X307," * F06-20 for Age "&amp;X20&amp;" "&amp;X21&amp;" is less than F06-10"&amp;CHAR(10),""),IF(Y342&lt;Y307," * F06-20 for Age "&amp;X20&amp;" "&amp;Y21&amp;" is less than F06-10"&amp;CHAR(10),""),IF(Z342&lt;Z307," * F06-20 for Age "&amp;Z20&amp;" "&amp;Z21&amp;" is less than F06-10"&amp;CHAR(10),""),IF(AA342&lt;AA307," * F06-20 for Age "&amp;Z20&amp;" "&amp;AA21&amp;" is less than F06-10"&amp;CHAR(10),""),IF(AJ342&lt;AJ307," * Total F06-20 is less than Total F06-10"&amp;CHAR(10),""))</f>
        <v/>
      </c>
      <c r="AN342" s="1153"/>
      <c r="AO342" s="13">
        <v>243</v>
      </c>
      <c r="AP342" s="74"/>
      <c r="AQ342" s="75"/>
    </row>
    <row r="343" spans="1:43" ht="25.9" hidden="1" thickBot="1" x14ac:dyDescent="0.8">
      <c r="A343" s="1143" t="s">
        <v>117</v>
      </c>
      <c r="B343" s="1144"/>
      <c r="C343" s="1144"/>
      <c r="D343" s="1145"/>
      <c r="E343" s="1145"/>
      <c r="F343" s="1145"/>
      <c r="G343" s="1145"/>
      <c r="H343" s="1145"/>
      <c r="I343" s="1145"/>
      <c r="J343" s="1145"/>
      <c r="K343" s="1145"/>
      <c r="L343" s="1145"/>
      <c r="M343" s="1145"/>
      <c r="N343" s="1145"/>
      <c r="O343" s="1145"/>
      <c r="P343" s="1145"/>
      <c r="Q343" s="1145"/>
      <c r="R343" s="1145"/>
      <c r="S343" s="1145"/>
      <c r="T343" s="1145"/>
      <c r="U343" s="1145"/>
      <c r="V343" s="1145"/>
      <c r="W343" s="1145"/>
      <c r="X343" s="1145"/>
      <c r="Y343" s="1145"/>
      <c r="Z343" s="1145"/>
      <c r="AA343" s="1145"/>
      <c r="AB343" s="1145"/>
      <c r="AC343" s="1145"/>
      <c r="AD343" s="1145"/>
      <c r="AE343" s="1145"/>
      <c r="AF343" s="1145"/>
      <c r="AG343" s="1145"/>
      <c r="AH343" s="1145"/>
      <c r="AI343" s="1145"/>
      <c r="AJ343" s="1145"/>
      <c r="AK343" s="1144"/>
      <c r="AL343" s="1144"/>
      <c r="AM343" s="1144"/>
      <c r="AN343" s="1146"/>
      <c r="AO343" s="13">
        <v>244</v>
      </c>
      <c r="AP343" s="74"/>
      <c r="AQ343" s="75"/>
    </row>
    <row r="344" spans="1:43" ht="26.25" hidden="1" customHeight="1" x14ac:dyDescent="0.75">
      <c r="A344" s="1122" t="s">
        <v>36</v>
      </c>
      <c r="B344" s="1126" t="s">
        <v>321</v>
      </c>
      <c r="C344" s="1155" t="s">
        <v>305</v>
      </c>
      <c r="D344" s="1135" t="s">
        <v>0</v>
      </c>
      <c r="E344" s="1135"/>
      <c r="F344" s="1135" t="s">
        <v>1</v>
      </c>
      <c r="G344" s="1135"/>
      <c r="H344" s="1135" t="s">
        <v>2</v>
      </c>
      <c r="I344" s="1135"/>
      <c r="J344" s="1135" t="s">
        <v>3</v>
      </c>
      <c r="K344" s="1135"/>
      <c r="L344" s="1135" t="s">
        <v>4</v>
      </c>
      <c r="M344" s="1135"/>
      <c r="N344" s="1135" t="s">
        <v>5</v>
      </c>
      <c r="O344" s="1135"/>
      <c r="P344" s="1135" t="s">
        <v>6</v>
      </c>
      <c r="Q344" s="1135"/>
      <c r="R344" s="1135" t="s">
        <v>7</v>
      </c>
      <c r="S344" s="1135"/>
      <c r="T344" s="1135" t="s">
        <v>8</v>
      </c>
      <c r="U344" s="1135"/>
      <c r="V344" s="1135" t="s">
        <v>23</v>
      </c>
      <c r="W344" s="1135"/>
      <c r="X344" s="1135" t="s">
        <v>24</v>
      </c>
      <c r="Y344" s="1135"/>
      <c r="Z344" s="1135" t="s">
        <v>9</v>
      </c>
      <c r="AA344" s="1135"/>
      <c r="AB344" s="1115" t="s">
        <v>965</v>
      </c>
      <c r="AC344" s="1116"/>
      <c r="AD344" s="1115" t="s">
        <v>966</v>
      </c>
      <c r="AE344" s="1116"/>
      <c r="AF344" s="1115" t="s">
        <v>1129</v>
      </c>
      <c r="AG344" s="1116"/>
      <c r="AH344" s="1115" t="s">
        <v>1130</v>
      </c>
      <c r="AI344" s="1116"/>
      <c r="AJ344" s="1124" t="s">
        <v>19</v>
      </c>
      <c r="AK344" s="1376" t="s">
        <v>354</v>
      </c>
      <c r="AL344" s="1235" t="s">
        <v>360</v>
      </c>
      <c r="AM344" s="1149" t="s">
        <v>361</v>
      </c>
      <c r="AN344" s="1147" t="s">
        <v>361</v>
      </c>
      <c r="AO344" s="13">
        <v>245</v>
      </c>
      <c r="AP344" s="74"/>
      <c r="AQ344" s="75"/>
    </row>
    <row r="345" spans="1:43" ht="27" hidden="1" customHeight="1" thickBot="1" x14ac:dyDescent="0.8">
      <c r="A345" s="1123"/>
      <c r="B345" s="1127"/>
      <c r="C345" s="1156"/>
      <c r="D345" s="284" t="s">
        <v>10</v>
      </c>
      <c r="E345" s="284" t="s">
        <v>11</v>
      </c>
      <c r="F345" s="284" t="s">
        <v>10</v>
      </c>
      <c r="G345" s="284" t="s">
        <v>11</v>
      </c>
      <c r="H345" s="284" t="s">
        <v>10</v>
      </c>
      <c r="I345" s="284" t="s">
        <v>11</v>
      </c>
      <c r="J345" s="284" t="s">
        <v>10</v>
      </c>
      <c r="K345" s="284" t="s">
        <v>11</v>
      </c>
      <c r="L345" s="284" t="s">
        <v>10</v>
      </c>
      <c r="M345" s="284" t="s">
        <v>11</v>
      </c>
      <c r="N345" s="284" t="s">
        <v>10</v>
      </c>
      <c r="O345" s="284" t="s">
        <v>11</v>
      </c>
      <c r="P345" s="284" t="s">
        <v>10</v>
      </c>
      <c r="Q345" s="284" t="s">
        <v>11</v>
      </c>
      <c r="R345" s="284" t="s">
        <v>10</v>
      </c>
      <c r="S345" s="284" t="s">
        <v>11</v>
      </c>
      <c r="T345" s="284" t="s">
        <v>10</v>
      </c>
      <c r="U345" s="284" t="s">
        <v>11</v>
      </c>
      <c r="V345" s="284" t="s">
        <v>10</v>
      </c>
      <c r="W345" s="284" t="s">
        <v>11</v>
      </c>
      <c r="X345" s="284" t="s">
        <v>10</v>
      </c>
      <c r="Y345" s="284" t="s">
        <v>11</v>
      </c>
      <c r="Z345" s="284" t="s">
        <v>10</v>
      </c>
      <c r="AA345" s="284" t="s">
        <v>11</v>
      </c>
      <c r="AB345" s="284" t="s">
        <v>10</v>
      </c>
      <c r="AC345" s="284" t="s">
        <v>11</v>
      </c>
      <c r="AD345" s="284" t="s">
        <v>10</v>
      </c>
      <c r="AE345" s="284" t="s">
        <v>11</v>
      </c>
      <c r="AF345" s="284" t="s">
        <v>10</v>
      </c>
      <c r="AG345" s="284" t="s">
        <v>11</v>
      </c>
      <c r="AH345" s="284" t="s">
        <v>10</v>
      </c>
      <c r="AI345" s="284" t="s">
        <v>11</v>
      </c>
      <c r="AJ345" s="1125"/>
      <c r="AK345" s="1377"/>
      <c r="AL345" s="1236"/>
      <c r="AM345" s="1150"/>
      <c r="AN345" s="1148"/>
      <c r="AO345" s="13">
        <v>246</v>
      </c>
      <c r="AP345" s="74"/>
      <c r="AQ345" s="75"/>
    </row>
    <row r="346" spans="1:43" s="235" customFormat="1" ht="25.9" hidden="1" thickBot="1" x14ac:dyDescent="0.8">
      <c r="A346" s="956" t="s">
        <v>275</v>
      </c>
      <c r="B346" s="230" t="s">
        <v>1292</v>
      </c>
      <c r="C346" s="579" t="s">
        <v>276</v>
      </c>
      <c r="D346" s="231">
        <f>SUM(D347:D352)</f>
        <v>0</v>
      </c>
      <c r="E346" s="232">
        <f>SUM(E347:E352)</f>
        <v>0</v>
      </c>
      <c r="F346" s="232">
        <f t="shared" ref="F346:AI346" si="141">SUM(F347:F352)</f>
        <v>0</v>
      </c>
      <c r="G346" s="232">
        <f t="shared" si="141"/>
        <v>0</v>
      </c>
      <c r="H346" s="232">
        <f t="shared" si="141"/>
        <v>0</v>
      </c>
      <c r="I346" s="232">
        <f t="shared" si="141"/>
        <v>0</v>
      </c>
      <c r="J346" s="232">
        <f t="shared" si="141"/>
        <v>0</v>
      </c>
      <c r="K346" s="232">
        <f t="shared" si="141"/>
        <v>0</v>
      </c>
      <c r="L346" s="232">
        <f t="shared" si="141"/>
        <v>0</v>
      </c>
      <c r="M346" s="232">
        <f t="shared" si="141"/>
        <v>0</v>
      </c>
      <c r="N346" s="232">
        <f t="shared" si="141"/>
        <v>0</v>
      </c>
      <c r="O346" s="232">
        <f t="shared" si="141"/>
        <v>0</v>
      </c>
      <c r="P346" s="232">
        <f t="shared" si="141"/>
        <v>0</v>
      </c>
      <c r="Q346" s="232">
        <f t="shared" si="141"/>
        <v>0</v>
      </c>
      <c r="R346" s="232">
        <f t="shared" si="141"/>
        <v>0</v>
      </c>
      <c r="S346" s="232">
        <f t="shared" si="141"/>
        <v>0</v>
      </c>
      <c r="T346" s="232">
        <f t="shared" si="141"/>
        <v>0</v>
      </c>
      <c r="U346" s="232">
        <f t="shared" si="141"/>
        <v>0</v>
      </c>
      <c r="V346" s="232">
        <f t="shared" si="141"/>
        <v>0</v>
      </c>
      <c r="W346" s="232">
        <f t="shared" si="141"/>
        <v>0</v>
      </c>
      <c r="X346" s="232">
        <f t="shared" si="141"/>
        <v>0</v>
      </c>
      <c r="Y346" s="232">
        <f t="shared" si="141"/>
        <v>0</v>
      </c>
      <c r="Z346" s="232">
        <f t="shared" si="141"/>
        <v>0</v>
      </c>
      <c r="AA346" s="232">
        <f t="shared" si="141"/>
        <v>0</v>
      </c>
      <c r="AB346" s="232">
        <f t="shared" si="141"/>
        <v>0</v>
      </c>
      <c r="AC346" s="232">
        <f t="shared" si="141"/>
        <v>0</v>
      </c>
      <c r="AD346" s="232">
        <f t="shared" si="141"/>
        <v>0</v>
      </c>
      <c r="AE346" s="232">
        <f t="shared" si="141"/>
        <v>0</v>
      </c>
      <c r="AF346" s="232">
        <f t="shared" si="141"/>
        <v>0</v>
      </c>
      <c r="AG346" s="232">
        <f t="shared" si="141"/>
        <v>0</v>
      </c>
      <c r="AH346" s="232">
        <f t="shared" si="141"/>
        <v>0</v>
      </c>
      <c r="AI346" s="232">
        <f t="shared" si="141"/>
        <v>0</v>
      </c>
      <c r="AJ346" s="403">
        <f>SUM(D346:AA346)</f>
        <v>0</v>
      </c>
      <c r="AK346" s="116" t="str">
        <f>CONCATENATE(IF(D346&gt;D359," * Starting ART for Age "&amp;D20&amp;" "&amp;D21&amp;" is more than Current On ART"&amp;CHAR(10),""),IF(E346&gt;E359," * Starting ART for Age "&amp;D20&amp;" "&amp;E21&amp;" is more than Current On ART"&amp;CHAR(10),""),IF(F346&gt;F359," * Starting ART for Age "&amp;F20&amp;" "&amp;F21&amp;" is more than Current On ART"&amp;CHAR(10),""),IF(G346&gt;G359," * Starting ART for Age "&amp;F20&amp;" "&amp;G21&amp;" is more than Current On ART"&amp;CHAR(10),""),IF(H346&gt;H359," * Starting ART for Age "&amp;H20&amp;" "&amp;H21&amp;" is more than Current On ART"&amp;CHAR(10),""),IF(I346&gt;I359," * Starting ART for Age "&amp;H20&amp;" "&amp;I21&amp;" is more than Current On ART"&amp;CHAR(10),""),IF(J346&gt;J359," * Starting ART for Age "&amp;J20&amp;" "&amp;J21&amp;" is more than Current On ART"&amp;CHAR(10),""),IF(K346&gt;K359," * Starting ART for Age "&amp;J20&amp;" "&amp;K21&amp;" is more than Current On ART"&amp;CHAR(10),""),IF(L346&gt;L359," * Starting ART for Age "&amp;L20&amp;" "&amp;L21&amp;" is more than Current On ART"&amp;CHAR(10),""),IF(M346&gt;M359," * Starting ART for Age "&amp;L20&amp;" "&amp;M21&amp;" is more than Current On ART"&amp;CHAR(10),""),IF(N346&gt;N359," * Starting ART for Age "&amp;N20&amp;" "&amp;N21&amp;" is more than Current On ART"&amp;CHAR(10),""),IF(O346&gt;O359," * Starting ART for Age "&amp;N20&amp;" "&amp;O21&amp;" is more than Current On ART"&amp;CHAR(10),""),IF(P346&gt;P359," * Starting ART for Age "&amp;P20&amp;" "&amp;P21&amp;" is more than Current On ART"&amp;CHAR(10),""),IF(Q346&gt;Q359," * Starting ART for Age "&amp;P20&amp;" "&amp;Q21&amp;" is more than Current On ART"&amp;CHAR(10),""),IF(R346&gt;R359," * Starting ART for Age "&amp;R20&amp;" "&amp;R21&amp;" is more than Current On ART"&amp;CHAR(10),""),IF(S346&gt;S359," * Starting ART for Age "&amp;R20&amp;" "&amp;S21&amp;" is more than Current On ART"&amp;CHAR(10),""),IF(T346&gt;T359," * Starting ART for Age "&amp;T20&amp;" "&amp;T21&amp;" is more than Current On ART"&amp;CHAR(10),""),IF(U346&gt;U359," * Starting ART for Age "&amp;T20&amp;" "&amp;U21&amp;" is more than Current On ART"&amp;CHAR(10),""),IF(V346&gt;V359," * Starting ART for Age "&amp;V20&amp;" "&amp;V21&amp;" is more than Current On ART"&amp;CHAR(10),""),IF(W346&gt;W359," * Starting ART for Age "&amp;V20&amp;" "&amp;W21&amp;" is more than Current On ART"&amp;CHAR(10),""),IF(X346&gt;X359," * Starting ART for Age "&amp;X20&amp;" "&amp;X21&amp;" is more than Current On ART"&amp;CHAR(10),""),IF(Y346&gt;Y359," * Starting ART for Age "&amp;X20&amp;" "&amp;Y21&amp;" is more than Current On ART"&amp;CHAR(10),""),IF(Z346&gt;Z359," * Starting ART for Age "&amp;Z20&amp;" "&amp;Z21&amp;" is more than Current On ART"&amp;CHAR(10),""),IF(AA346&gt;AA359," * Starting ART for Age "&amp;Z20&amp;" "&amp;AA21&amp;" is more than Current On ART"&amp;CHAR(10),""))</f>
        <v/>
      </c>
      <c r="AL346" s="1198" t="str">
        <f>CONCATENATE(AK346,AK347,AK348,AK349,AK350,AK351,AK352,AK353,AK358,AK359,AK360,AK361,AK362,AK363,AK364,AK365,AK366,AK368,AK367,AK369,AK370,AK371,AK372,AK373,AK354,AK355,AK356,AK357,AK385,AK386,AK387)</f>
        <v/>
      </c>
      <c r="AM346" s="31"/>
      <c r="AN346" s="1202" t="str">
        <f>CONCATENATE(AM346,AM347,AM348,AM349,AM350,AM351,AM352,AM353,AM358,AM359,AM360,AM361,AM362,AM363,AM364,AM365,AM366,AM367,AM368,AM369,AM370,AM371,AM372,AM373)</f>
        <v/>
      </c>
      <c r="AO346" s="13">
        <v>247</v>
      </c>
      <c r="AP346" s="233"/>
      <c r="AQ346" s="234"/>
    </row>
    <row r="347" spans="1:43" ht="25.5" hidden="1" x14ac:dyDescent="0.75">
      <c r="A347" s="1132" t="s">
        <v>542</v>
      </c>
      <c r="B347" s="1" t="s">
        <v>369</v>
      </c>
      <c r="C347" s="558" t="s">
        <v>536</v>
      </c>
      <c r="D347" s="236"/>
      <c r="E347" s="94"/>
      <c r="F347" s="94"/>
      <c r="G347" s="94"/>
      <c r="H347" s="94"/>
      <c r="I347" s="94"/>
      <c r="J347" s="94"/>
      <c r="K347" s="94"/>
      <c r="L347" s="94"/>
      <c r="M347" s="94"/>
      <c r="N347" s="94"/>
      <c r="O347" s="94"/>
      <c r="P347" s="94"/>
      <c r="Q347" s="94"/>
      <c r="R347" s="94"/>
      <c r="S347" s="94"/>
      <c r="T347" s="94"/>
      <c r="U347" s="94"/>
      <c r="V347" s="94"/>
      <c r="W347" s="94"/>
      <c r="X347" s="94"/>
      <c r="Y347" s="94"/>
      <c r="Z347" s="489">
        <f t="shared" ref="Z347:Z351" si="142">SUM(AB347,AD347,AF347,AH347)</f>
        <v>0</v>
      </c>
      <c r="AA347" s="489">
        <f t="shared" ref="AA347:AA351" si="143">SUM(AC347,AE347,AG347,AI347)</f>
        <v>0</v>
      </c>
      <c r="AB347" s="310"/>
      <c r="AC347" s="310"/>
      <c r="AD347" s="310"/>
      <c r="AE347" s="310"/>
      <c r="AF347" s="310"/>
      <c r="AG347" s="310"/>
      <c r="AH347" s="310"/>
      <c r="AI347" s="310"/>
      <c r="AJ347" s="594">
        <f t="shared" ref="AJ347:AJ352" si="144">SUM(D347:AA347)</f>
        <v>0</v>
      </c>
      <c r="AK347" s="116"/>
      <c r="AL347" s="1199"/>
      <c r="AM347" s="31"/>
      <c r="AN347" s="1165"/>
      <c r="AO347" s="13">
        <v>248</v>
      </c>
      <c r="AP347" s="74"/>
      <c r="AQ347" s="75"/>
    </row>
    <row r="348" spans="1:43" ht="25.5" hidden="1" x14ac:dyDescent="0.75">
      <c r="A348" s="1133"/>
      <c r="B348" s="2" t="s">
        <v>364</v>
      </c>
      <c r="C348" s="559" t="s">
        <v>537</v>
      </c>
      <c r="D348" s="237"/>
      <c r="E348" s="79"/>
      <c r="F348" s="79"/>
      <c r="G348" s="79"/>
      <c r="H348" s="79"/>
      <c r="I348" s="79"/>
      <c r="J348" s="79"/>
      <c r="K348" s="79"/>
      <c r="L348" s="79"/>
      <c r="M348" s="79"/>
      <c r="N348" s="79"/>
      <c r="O348" s="79"/>
      <c r="P348" s="79"/>
      <c r="Q348" s="79"/>
      <c r="R348" s="79"/>
      <c r="S348" s="79"/>
      <c r="T348" s="79"/>
      <c r="U348" s="79"/>
      <c r="V348" s="79"/>
      <c r="W348" s="79"/>
      <c r="X348" s="79"/>
      <c r="Y348" s="79"/>
      <c r="Z348" s="489">
        <f t="shared" si="142"/>
        <v>0</v>
      </c>
      <c r="AA348" s="489">
        <f t="shared" si="143"/>
        <v>0</v>
      </c>
      <c r="AB348" s="307"/>
      <c r="AC348" s="307"/>
      <c r="AD348" s="307"/>
      <c r="AE348" s="307"/>
      <c r="AF348" s="307"/>
      <c r="AG348" s="307"/>
      <c r="AH348" s="307"/>
      <c r="AI348" s="307"/>
      <c r="AJ348" s="595">
        <f t="shared" si="144"/>
        <v>0</v>
      </c>
      <c r="AK348" s="116"/>
      <c r="AL348" s="1199"/>
      <c r="AM348" s="31"/>
      <c r="AN348" s="1165"/>
      <c r="AO348" s="13">
        <v>249</v>
      </c>
      <c r="AP348" s="74"/>
      <c r="AQ348" s="75"/>
    </row>
    <row r="349" spans="1:43" ht="25.5" hidden="1" x14ac:dyDescent="0.75">
      <c r="A349" s="1133"/>
      <c r="B349" s="2" t="s">
        <v>365</v>
      </c>
      <c r="C349" s="559" t="s">
        <v>538</v>
      </c>
      <c r="D349" s="237"/>
      <c r="E349" s="79"/>
      <c r="F349" s="79"/>
      <c r="G349" s="79"/>
      <c r="H349" s="79"/>
      <c r="I349" s="79"/>
      <c r="J349" s="79"/>
      <c r="K349" s="79"/>
      <c r="L349" s="79"/>
      <c r="M349" s="79"/>
      <c r="N349" s="79"/>
      <c r="O349" s="79"/>
      <c r="P349" s="79"/>
      <c r="Q349" s="79"/>
      <c r="R349" s="79"/>
      <c r="S349" s="79"/>
      <c r="T349" s="79"/>
      <c r="U349" s="79"/>
      <c r="V349" s="79"/>
      <c r="W349" s="79"/>
      <c r="X349" s="79"/>
      <c r="Y349" s="79"/>
      <c r="Z349" s="489">
        <f t="shared" si="142"/>
        <v>0</v>
      </c>
      <c r="AA349" s="489">
        <f t="shared" si="143"/>
        <v>0</v>
      </c>
      <c r="AB349" s="307"/>
      <c r="AC349" s="307"/>
      <c r="AD349" s="307"/>
      <c r="AE349" s="307"/>
      <c r="AF349" s="307"/>
      <c r="AG349" s="307"/>
      <c r="AH349" s="307"/>
      <c r="AI349" s="307"/>
      <c r="AJ349" s="595">
        <f t="shared" si="144"/>
        <v>0</v>
      </c>
      <c r="AK349" s="116"/>
      <c r="AL349" s="1199"/>
      <c r="AM349" s="31"/>
      <c r="AN349" s="1165"/>
      <c r="AO349" s="13">
        <v>250</v>
      </c>
      <c r="AP349" s="74"/>
      <c r="AQ349" s="75"/>
    </row>
    <row r="350" spans="1:43" ht="25.5" hidden="1" x14ac:dyDescent="0.75">
      <c r="A350" s="1133"/>
      <c r="B350" s="2" t="s">
        <v>366</v>
      </c>
      <c r="C350" s="559" t="s">
        <v>539</v>
      </c>
      <c r="D350" s="237"/>
      <c r="E350" s="79"/>
      <c r="F350" s="79"/>
      <c r="G350" s="79"/>
      <c r="H350" s="79"/>
      <c r="I350" s="79"/>
      <c r="J350" s="79"/>
      <c r="K350" s="79"/>
      <c r="L350" s="79"/>
      <c r="M350" s="79"/>
      <c r="N350" s="79"/>
      <c r="O350" s="79"/>
      <c r="P350" s="79"/>
      <c r="Q350" s="79"/>
      <c r="R350" s="79"/>
      <c r="S350" s="79"/>
      <c r="T350" s="79"/>
      <c r="U350" s="79"/>
      <c r="V350" s="79"/>
      <c r="W350" s="79"/>
      <c r="X350" s="79"/>
      <c r="Y350" s="79"/>
      <c r="Z350" s="489">
        <f t="shared" si="142"/>
        <v>0</v>
      </c>
      <c r="AA350" s="489">
        <f t="shared" si="143"/>
        <v>0</v>
      </c>
      <c r="AB350" s="307"/>
      <c r="AC350" s="307"/>
      <c r="AD350" s="307"/>
      <c r="AE350" s="307"/>
      <c r="AF350" s="307"/>
      <c r="AG350" s="307"/>
      <c r="AH350" s="307"/>
      <c r="AI350" s="307"/>
      <c r="AJ350" s="595">
        <f t="shared" si="144"/>
        <v>0</v>
      </c>
      <c r="AK350" s="116"/>
      <c r="AL350" s="1199"/>
      <c r="AM350" s="31"/>
      <c r="AN350" s="1165"/>
      <c r="AO350" s="13">
        <v>251</v>
      </c>
      <c r="AP350" s="74"/>
      <c r="AQ350" s="75"/>
    </row>
    <row r="351" spans="1:43" ht="25.5" hidden="1" x14ac:dyDescent="0.75">
      <c r="A351" s="1133"/>
      <c r="B351" s="2" t="s">
        <v>367</v>
      </c>
      <c r="C351" s="559" t="s">
        <v>540</v>
      </c>
      <c r="D351" s="237"/>
      <c r="E351" s="79"/>
      <c r="F351" s="79"/>
      <c r="G351" s="79"/>
      <c r="H351" s="79"/>
      <c r="I351" s="79"/>
      <c r="J351" s="79"/>
      <c r="K351" s="79"/>
      <c r="L351" s="79"/>
      <c r="M351" s="79"/>
      <c r="N351" s="79"/>
      <c r="O351" s="79"/>
      <c r="P351" s="79"/>
      <c r="Q351" s="79"/>
      <c r="R351" s="79"/>
      <c r="S351" s="79"/>
      <c r="T351" s="79"/>
      <c r="U351" s="79"/>
      <c r="V351" s="79"/>
      <c r="W351" s="79"/>
      <c r="X351" s="79"/>
      <c r="Y351" s="79"/>
      <c r="Z351" s="489">
        <f t="shared" si="142"/>
        <v>0</v>
      </c>
      <c r="AA351" s="489">
        <f t="shared" si="143"/>
        <v>0</v>
      </c>
      <c r="AB351" s="307"/>
      <c r="AC351" s="307"/>
      <c r="AD351" s="307"/>
      <c r="AE351" s="307"/>
      <c r="AF351" s="307"/>
      <c r="AG351" s="307"/>
      <c r="AH351" s="307"/>
      <c r="AI351" s="307"/>
      <c r="AJ351" s="595">
        <f t="shared" si="144"/>
        <v>0</v>
      </c>
      <c r="AK351" s="116"/>
      <c r="AL351" s="1199"/>
      <c r="AM351" s="31"/>
      <c r="AN351" s="1165"/>
      <c r="AO351" s="13">
        <v>252</v>
      </c>
      <c r="AP351" s="74"/>
      <c r="AQ351" s="75"/>
    </row>
    <row r="352" spans="1:43" ht="25.9" hidden="1" thickBot="1" x14ac:dyDescent="0.8">
      <c r="A352" s="1134"/>
      <c r="B352" s="3" t="s">
        <v>368</v>
      </c>
      <c r="C352" s="560" t="s">
        <v>541</v>
      </c>
      <c r="D352" s="141"/>
      <c r="E352" s="89"/>
      <c r="F352" s="89"/>
      <c r="G352" s="89"/>
      <c r="H352" s="89"/>
      <c r="I352" s="89"/>
      <c r="J352" s="89"/>
      <c r="K352" s="89"/>
      <c r="L352" s="89"/>
      <c r="M352" s="89"/>
      <c r="N352" s="89"/>
      <c r="O352" s="89"/>
      <c r="P352" s="89"/>
      <c r="Q352" s="89"/>
      <c r="R352" s="89"/>
      <c r="S352" s="89"/>
      <c r="T352" s="89"/>
      <c r="U352" s="89"/>
      <c r="V352" s="89"/>
      <c r="W352" s="89"/>
      <c r="X352" s="89"/>
      <c r="Y352" s="89"/>
      <c r="Z352" s="489">
        <f>SUM(AB352,AD352,AF352,AH352)</f>
        <v>0</v>
      </c>
      <c r="AA352" s="489">
        <f>SUM(AC352,AE352,AG352,AI352)</f>
        <v>0</v>
      </c>
      <c r="AB352" s="309"/>
      <c r="AC352" s="309"/>
      <c r="AD352" s="309"/>
      <c r="AE352" s="309"/>
      <c r="AF352" s="309"/>
      <c r="AG352" s="309"/>
      <c r="AH352" s="309"/>
      <c r="AI352" s="309"/>
      <c r="AJ352" s="596">
        <f t="shared" si="144"/>
        <v>0</v>
      </c>
      <c r="AK352" s="116"/>
      <c r="AL352" s="1199"/>
      <c r="AM352" s="31"/>
      <c r="AN352" s="1165"/>
      <c r="AO352" s="13">
        <v>253</v>
      </c>
      <c r="AP352" s="74"/>
      <c r="AQ352" s="75"/>
    </row>
    <row r="353" spans="1:43" ht="25.9" hidden="1" thickBot="1" x14ac:dyDescent="0.8">
      <c r="A353" s="956" t="s">
        <v>543</v>
      </c>
      <c r="B353" s="238" t="s">
        <v>669</v>
      </c>
      <c r="C353" s="579" t="s">
        <v>277</v>
      </c>
      <c r="D353" s="239"/>
      <c r="E353" s="228"/>
      <c r="F353" s="228"/>
      <c r="G353" s="228"/>
      <c r="H353" s="228"/>
      <c r="I353" s="228"/>
      <c r="J353" s="228"/>
      <c r="K353" s="229"/>
      <c r="L353" s="228"/>
      <c r="M353" s="229"/>
      <c r="N353" s="228"/>
      <c r="O353" s="229"/>
      <c r="P353" s="228"/>
      <c r="Q353" s="229"/>
      <c r="R353" s="228"/>
      <c r="S353" s="229"/>
      <c r="T353" s="228"/>
      <c r="U353" s="229"/>
      <c r="V353" s="228"/>
      <c r="W353" s="229"/>
      <c r="X353" s="228"/>
      <c r="Y353" s="229"/>
      <c r="Z353" s="228"/>
      <c r="AA353" s="344"/>
      <c r="AB353" s="376"/>
      <c r="AC353" s="377"/>
      <c r="AD353" s="377"/>
      <c r="AE353" s="377"/>
      <c r="AF353" s="377"/>
      <c r="AG353" s="377"/>
      <c r="AH353" s="377"/>
      <c r="AI353" s="303"/>
      <c r="AJ353" s="486">
        <f t="shared" ref="AJ353:AJ387" si="145">SUM(D353:AA353)</f>
        <v>0</v>
      </c>
      <c r="AK353" s="295" t="str">
        <f>CONCATENATE(IF(D353&gt;D346," * F07-02 for Age "&amp;D20&amp;" "&amp;D21&amp;" is more than F07-01"&amp;CHAR(10),""),IF(E353&gt;E346," * F07-02 for Age "&amp;D20&amp;" "&amp;E21&amp;" is more than F07-01"&amp;CHAR(10),""),IF(F353&gt;F346," * F07-02 for Age "&amp;F20&amp;" "&amp;F21&amp;" is more than F07-01"&amp;CHAR(10),""),IF(G353&gt;G346," * F07-02 for Age "&amp;F20&amp;" "&amp;G21&amp;" is more than F07-01"&amp;CHAR(10),""),IF(H353&gt;H346," * F07-02 for Age "&amp;H20&amp;" "&amp;H21&amp;" is more than F07-01"&amp;CHAR(10),""),IF(I353&gt;I346," * F07-02 for Age "&amp;H20&amp;" "&amp;I21&amp;" is more than F07-01"&amp;CHAR(10),""),IF(J353&gt;J346," * F07-02 for Age "&amp;J20&amp;" "&amp;J21&amp;" is more than F07-01"&amp;CHAR(10),""),IF(K353&gt;K346," * F07-02 for Age "&amp;J20&amp;" "&amp;K21&amp;" is more than F07-01"&amp;CHAR(10),""),IF(L353&gt;L346," * F07-02 for Age "&amp;L20&amp;" "&amp;L21&amp;" is more than F07-01"&amp;CHAR(10),""),IF(M353&gt;M346," * F07-02 for Age "&amp;L20&amp;" "&amp;M21&amp;" is more than F07-01"&amp;CHAR(10),""),IF(N353&gt;N346," * F07-02 for Age "&amp;N20&amp;" "&amp;N21&amp;" is more than F07-01"&amp;CHAR(10),""),IF(O353&gt;O346," * F07-02 for Age "&amp;N20&amp;" "&amp;O21&amp;" is more than F07-01"&amp;CHAR(10),""),IF(P353&gt;P346," * F07-02 for Age "&amp;P20&amp;" "&amp;P21&amp;" is more than F07-01"&amp;CHAR(10),""),IF(Q353&gt;Q346," * F07-02 for Age "&amp;P20&amp;" "&amp;Q21&amp;" is more than F07-01"&amp;CHAR(10),""),IF(R353&gt;R346," * F07-02 for Age "&amp;R20&amp;" "&amp;R21&amp;" is more than F07-01"&amp;CHAR(10),""),IF(S353&gt;S346," * F07-02 for Age "&amp;R20&amp;" "&amp;S21&amp;" is more than F07-01"&amp;CHAR(10),""),IF(T353&gt;T346," * F07-02 for Age "&amp;T20&amp;" "&amp;T21&amp;" is more than F07-01"&amp;CHAR(10),""),IF(U353&gt;U346," * F07-02 for Age "&amp;T20&amp;" "&amp;U21&amp;" is more than F07-01"&amp;CHAR(10),""),IF(V353&gt;V346," * F07-02 for Age "&amp;V20&amp;" "&amp;V21&amp;" is more than F07-01"&amp;CHAR(10),""),IF(W353&gt;W346," * F07-02 for Age "&amp;V20&amp;" "&amp;W21&amp;" is more than F07-01"&amp;CHAR(10),""),IF(X353&gt;X346," * F07-02 for Age "&amp;X20&amp;" "&amp;X21&amp;" is more than F07-01"&amp;CHAR(10),""),IF(Y353&gt;Y346," * F07-02 for Age "&amp;X20&amp;" "&amp;Y21&amp;" is more than F07-01"&amp;CHAR(10),""),IF(Z353&gt;Z346," * F07-02 for Age "&amp;Z20&amp;" "&amp;Z21&amp;" is more than F07-01"&amp;CHAR(10),""),IF(AA353&gt;AA346," * F07-02 for Age "&amp;Z20&amp;" "&amp;AA21&amp;" is more than F07-01"&amp;CHAR(10),""),IF(AJ353&gt;AJ346," * Total F07-02 is more than Total F07-01"&amp;CHAR(10),""))</f>
        <v/>
      </c>
      <c r="AL353" s="1199"/>
      <c r="AM353" s="60" t="str">
        <f>CONCATENATE(IF(AND(AJ346&gt;0,OR(SUM(AJ28,AJ34,AJ36,AJ38,AJ40,AJ42,AJ44,AJ46,AJ48,AJ50,AJ295,AJ299,AJ303,AJ307)=0,SUM(AJ27,AJ33,AJ35,AJ37,AJ39,AJ41,AJ43,AJ45,AJ47,AJ49,AJ294,AJ298,AJ302,AJ306)=0))," * This site started patients on ART yet it has 0 positives or zero tested "&amp;CHAR(10),""),"")</f>
        <v/>
      </c>
      <c r="AN353" s="1165"/>
      <c r="AO353" s="13">
        <v>254</v>
      </c>
      <c r="AP353" s="74"/>
      <c r="AQ353" s="75"/>
    </row>
    <row r="354" spans="1:43" ht="25.9" hidden="1" thickBot="1" x14ac:dyDescent="0.8">
      <c r="A354" s="1100" t="s">
        <v>921</v>
      </c>
      <c r="B354" s="466" t="s">
        <v>1290</v>
      </c>
      <c r="C354" s="561" t="s">
        <v>922</v>
      </c>
      <c r="D354" s="232">
        <f t="shared" ref="D354:AI354" si="146">SUM(D355:D357)</f>
        <v>0</v>
      </c>
      <c r="E354" s="232">
        <f t="shared" si="146"/>
        <v>0</v>
      </c>
      <c r="F354" s="232">
        <f t="shared" si="146"/>
        <v>0</v>
      </c>
      <c r="G354" s="232">
        <f t="shared" si="146"/>
        <v>0</v>
      </c>
      <c r="H354" s="232">
        <f t="shared" si="146"/>
        <v>0</v>
      </c>
      <c r="I354" s="232">
        <f t="shared" si="146"/>
        <v>0</v>
      </c>
      <c r="J354" s="232">
        <f t="shared" si="146"/>
        <v>0</v>
      </c>
      <c r="K354" s="232">
        <f t="shared" si="146"/>
        <v>0</v>
      </c>
      <c r="L354" s="232">
        <f t="shared" si="146"/>
        <v>0</v>
      </c>
      <c r="M354" s="232">
        <f t="shared" si="146"/>
        <v>0</v>
      </c>
      <c r="N354" s="232">
        <f t="shared" si="146"/>
        <v>0</v>
      </c>
      <c r="O354" s="232">
        <f t="shared" si="146"/>
        <v>0</v>
      </c>
      <c r="P354" s="232">
        <f t="shared" si="146"/>
        <v>0</v>
      </c>
      <c r="Q354" s="232">
        <f t="shared" si="146"/>
        <v>0</v>
      </c>
      <c r="R354" s="232">
        <f t="shared" si="146"/>
        <v>0</v>
      </c>
      <c r="S354" s="232">
        <f t="shared" si="146"/>
        <v>0</v>
      </c>
      <c r="T354" s="232">
        <f t="shared" si="146"/>
        <v>0</v>
      </c>
      <c r="U354" s="232">
        <f t="shared" si="146"/>
        <v>0</v>
      </c>
      <c r="V354" s="232">
        <f t="shared" si="146"/>
        <v>0</v>
      </c>
      <c r="W354" s="232">
        <f t="shared" si="146"/>
        <v>0</v>
      </c>
      <c r="X354" s="232">
        <f t="shared" si="146"/>
        <v>0</v>
      </c>
      <c r="Y354" s="232">
        <f t="shared" si="146"/>
        <v>0</v>
      </c>
      <c r="Z354" s="489">
        <f>SUM(AB354,AD354,AF354,AH354)</f>
        <v>0</v>
      </c>
      <c r="AA354" s="489">
        <f>SUM(AC354,AE354,AG354,AI354)</f>
        <v>0</v>
      </c>
      <c r="AB354" s="232">
        <f t="shared" si="146"/>
        <v>0</v>
      </c>
      <c r="AC354" s="232">
        <f t="shared" si="146"/>
        <v>0</v>
      </c>
      <c r="AD354" s="232">
        <f t="shared" si="146"/>
        <v>0</v>
      </c>
      <c r="AE354" s="232">
        <f t="shared" si="146"/>
        <v>0</v>
      </c>
      <c r="AF354" s="232">
        <f t="shared" si="146"/>
        <v>0</v>
      </c>
      <c r="AG354" s="232">
        <f t="shared" si="146"/>
        <v>0</v>
      </c>
      <c r="AH354" s="232">
        <f t="shared" si="146"/>
        <v>0</v>
      </c>
      <c r="AI354" s="232">
        <f t="shared" si="146"/>
        <v>0</v>
      </c>
      <c r="AJ354" s="595">
        <f t="shared" ref="AJ354:AJ357" si="147">SUM(D354:AA354)</f>
        <v>0</v>
      </c>
      <c r="AK354" s="897" t="str">
        <f>CONCATENATE(IF(D354&gt;D346," * Patients starting ART done for CD4 For age "&amp;$D$20&amp;" "&amp;$D$21&amp;" Should not be more than Total Patients starting ART"&amp;CHAR(10),""),IF(E354&gt;E346," * Patients starting ART done for CD4 For age "&amp;$D$20&amp;" "&amp;$E$21&amp;" Should not be more than Total Patients starting ART"&amp;CHAR(10),""),IF(F354&gt;F346," * Patients starting ART done for CD4 For age "&amp;$F$20&amp;" "&amp;$F$21&amp;" Should not be more than Total Patients starting ART"&amp;CHAR(10),""),IF(G354&gt;G346," * Patients starting ART done for CD4 For age "&amp;$F$20&amp;" "&amp;$G$21&amp;" Should not be more than Total Patients starting ART"&amp;CHAR(10),""),IF(H354&gt;H346," * Patients starting ART done for CD4 For age "&amp;$H$20&amp;" "&amp;$H$21&amp;" Should not be more than Total Patients starting ART"&amp;CHAR(10),""),IF(I354&gt;I346," * Patients starting ART done for CD4 For age "&amp;$H$20&amp;" "&amp;$I$21&amp;" Should not be more than Total Patients starting ART"&amp;CHAR(10),""),IF(J354&gt;J346," * Patients starting ART done for CD4 For age "&amp;$J$20&amp;" "&amp;$J$21&amp;" Should not be more than Total Patients starting ART"&amp;CHAR(10),""),IF(K354&gt;K346," * Patients starting ART done for CD4 For age "&amp;$J$20&amp;" "&amp;$K$21&amp;" Should not be more than Total Patients starting ART"&amp;CHAR(10),""),IF(L354&gt;L346," * Patients starting ART done for CD4 For age "&amp;$L$20&amp;" "&amp;$L$21&amp;" Should not be more than Total Patients starting ART"&amp;CHAR(10),""),IF(M354&gt;M346," * Patients starting ART done for CD4 For age "&amp;$L$20&amp;" "&amp;$M$21&amp;" Should not be more than Total Patients starting ART"&amp;CHAR(10),""),IF(N354&gt;N346," * Patients starting ART done for CD4 For age "&amp;$N$20&amp;" "&amp;$N$21&amp;" Should not be more than Total Patients starting ART"&amp;CHAR(10),""),IF(O354&gt;O346," * Patients starting ART done for CD4 For age "&amp;$N$20&amp;" "&amp;$O$21&amp;" Should not be more than Total Patients starting ART"&amp;CHAR(10),""),IF(P354&gt;P346," * Patients starting ART done for CD4 For age "&amp;$P$20&amp;" "&amp;$P$21&amp;" Should not be more than Total Patients starting ART"&amp;CHAR(10),""),IF(Q354&gt;Q346," * Patients starting ART done for CD4 For age "&amp;$P$20&amp;" "&amp;$Q$21&amp;" Should not be more than Total Patients starting ART"&amp;CHAR(10),""),IF(R354&gt;R346," * Patients starting ART done for CD4 For age "&amp;$R$20&amp;" "&amp;$R$21&amp;" Should not be more than Total Patients starting ART"&amp;CHAR(10),""),IF(S354&gt;S346," * Patients starting ART done for CD4 For age "&amp;$R$20&amp;" "&amp;$S$21&amp;" Should not be more than Total Patients starting ART"&amp;CHAR(10),""),IF(T354&gt;T346," * Patients starting ART done for CD4 For age "&amp;$T$20&amp;" "&amp;$T$21&amp;" Should not be more than Total Patients starting ART"&amp;CHAR(10),""),IF(U354&gt;U346," * Patients starting ART done for CD4 For age "&amp;$T$20&amp;" "&amp;$U$21&amp;" Should not be more than Total Patients starting ART"&amp;CHAR(10),""),IF(V354&gt;V346," * Patients starting ART done for CD4 For age "&amp;$V$20&amp;" "&amp;$V$21&amp;" Should not be more than Total Patients starting ART"&amp;CHAR(10),""),IF(W354&gt;W346," * Patients starting ART done for CD4 For age "&amp;$V$20&amp;" "&amp;$W$21&amp;" Should not be more than Total Patients starting ART"&amp;CHAR(10),""),IF(X354&gt;X346," * Patients starting ART done for CD4 For age "&amp;$X$20&amp;" "&amp;$X$21&amp;" Should not be more than Total Patients starting ART"&amp;CHAR(10),""),IF(Y354&gt;Y346," * Patients starting ART done for CD4 For age "&amp;$X$20&amp;" "&amp;$Y$21&amp;" Should not be more than Total Patients starting ART"&amp;CHAR(10),""),IF(Z354&gt;Z346," * Patients starting ART done for CD4 For age "&amp;$Z$20&amp;" "&amp;$Z$21&amp;" Should not be more than Total Patients starting ART"&amp;CHAR(10),""),IF(AA354&gt;AA346," * Patients starting ART done for CD4 For age "&amp;$Z$20&amp;" "&amp;$AA$21&amp;" Should not be more than Total Patients starting ART"&amp;CHAR(10),""))</f>
        <v/>
      </c>
      <c r="AL354" s="1199"/>
      <c r="AM354" s="60"/>
      <c r="AN354" s="1165"/>
      <c r="AO354" s="13">
        <v>255</v>
      </c>
      <c r="AP354" s="74"/>
      <c r="AQ354" s="75"/>
    </row>
    <row r="355" spans="1:43" ht="25.5" hidden="1" x14ac:dyDescent="0.75">
      <c r="A355" s="1101"/>
      <c r="B355" s="941" t="s">
        <v>1285</v>
      </c>
      <c r="C355" s="943" t="s">
        <v>1287</v>
      </c>
      <c r="D355" s="77"/>
      <c r="E355" s="77"/>
      <c r="F355" s="77"/>
      <c r="G355" s="77"/>
      <c r="H355" s="237"/>
      <c r="J355" s="79"/>
      <c r="K355" s="79"/>
      <c r="L355" s="79"/>
      <c r="M355" s="79"/>
      <c r="N355" s="79"/>
      <c r="O355" s="79"/>
      <c r="P355" s="79"/>
      <c r="Q355" s="79"/>
      <c r="R355" s="79"/>
      <c r="S355" s="79"/>
      <c r="T355" s="79"/>
      <c r="U355" s="79"/>
      <c r="V355" s="79"/>
      <c r="W355" s="79"/>
      <c r="X355" s="79"/>
      <c r="Y355" s="79"/>
      <c r="Z355" s="489">
        <f t="shared" ref="Z355:AA359" si="148">SUM(AB355,AD355,AF355,AH355)</f>
        <v>0</v>
      </c>
      <c r="AA355" s="489">
        <f>SUM(AC355,AE355,AG355,AI355)</f>
        <v>0</v>
      </c>
      <c r="AB355" s="307"/>
      <c r="AC355" s="307"/>
      <c r="AD355" s="307"/>
      <c r="AE355" s="307"/>
      <c r="AF355" s="307"/>
      <c r="AG355" s="307"/>
      <c r="AH355" s="307"/>
      <c r="AI355" s="307"/>
      <c r="AJ355" s="595">
        <f t="shared" si="147"/>
        <v>0</v>
      </c>
      <c r="AK355" s="873"/>
      <c r="AL355" s="1199"/>
      <c r="AM355" s="60"/>
      <c r="AN355" s="1165"/>
      <c r="AO355" s="13"/>
      <c r="AP355" s="74"/>
      <c r="AQ355" s="75"/>
    </row>
    <row r="356" spans="1:43" ht="25.5" hidden="1" x14ac:dyDescent="0.75">
      <c r="A356" s="1101"/>
      <c r="B356" s="941" t="s">
        <v>1291</v>
      </c>
      <c r="C356" s="944" t="s">
        <v>1288</v>
      </c>
      <c r="D356" s="77"/>
      <c r="E356" s="77"/>
      <c r="F356" s="77"/>
      <c r="G356" s="77"/>
      <c r="H356" s="237"/>
      <c r="I356" s="79"/>
      <c r="J356" s="79"/>
      <c r="K356" s="79"/>
      <c r="L356" s="79"/>
      <c r="M356" s="79"/>
      <c r="N356" s="79"/>
      <c r="O356" s="79"/>
      <c r="P356" s="79"/>
      <c r="Q356" s="79"/>
      <c r="R356" s="79"/>
      <c r="S356" s="79"/>
      <c r="T356" s="79"/>
      <c r="U356" s="79"/>
      <c r="V356" s="79"/>
      <c r="W356" s="79"/>
      <c r="X356" s="79"/>
      <c r="Y356" s="79"/>
      <c r="Z356" s="489">
        <f t="shared" si="148"/>
        <v>0</v>
      </c>
      <c r="AA356" s="489">
        <f t="shared" si="148"/>
        <v>0</v>
      </c>
      <c r="AB356" s="307"/>
      <c r="AC356" s="307"/>
      <c r="AD356" s="307"/>
      <c r="AE356" s="307"/>
      <c r="AF356" s="307"/>
      <c r="AG356" s="307"/>
      <c r="AH356" s="307"/>
      <c r="AI356" s="307"/>
      <c r="AJ356" s="595">
        <f t="shared" si="147"/>
        <v>0</v>
      </c>
      <c r="AK356" s="873"/>
      <c r="AL356" s="1199"/>
      <c r="AM356" s="60"/>
      <c r="AN356" s="1165"/>
      <c r="AO356" s="13"/>
      <c r="AP356" s="74"/>
      <c r="AQ356" s="75"/>
    </row>
    <row r="357" spans="1:43" ht="25.9" hidden="1" thickBot="1" x14ac:dyDescent="0.8">
      <c r="A357" s="1102"/>
      <c r="B357" s="941" t="s">
        <v>1286</v>
      </c>
      <c r="C357" s="945" t="s">
        <v>1289</v>
      </c>
      <c r="D357" s="141"/>
      <c r="E357" s="141"/>
      <c r="F357" s="141"/>
      <c r="G357" s="141"/>
      <c r="H357" s="141"/>
      <c r="I357" s="89"/>
      <c r="J357" s="89"/>
      <c r="K357" s="89"/>
      <c r="L357" s="89"/>
      <c r="M357" s="89"/>
      <c r="N357" s="89"/>
      <c r="O357" s="89"/>
      <c r="P357" s="89"/>
      <c r="Q357" s="89"/>
      <c r="R357" s="89"/>
      <c r="S357" s="89"/>
      <c r="T357" s="89"/>
      <c r="U357" s="89"/>
      <c r="V357" s="89"/>
      <c r="W357" s="89"/>
      <c r="X357" s="89"/>
      <c r="Y357" s="946"/>
      <c r="Z357" s="489">
        <f t="shared" si="148"/>
        <v>0</v>
      </c>
      <c r="AA357" s="489">
        <f t="shared" si="148"/>
        <v>0</v>
      </c>
      <c r="AB357" s="307"/>
      <c r="AC357" s="307"/>
      <c r="AD357" s="307"/>
      <c r="AE357" s="307"/>
      <c r="AF357" s="307"/>
      <c r="AG357" s="307"/>
      <c r="AH357" s="307"/>
      <c r="AI357" s="307"/>
      <c r="AJ357" s="595">
        <f t="shared" si="147"/>
        <v>0</v>
      </c>
      <c r="AK357" s="873"/>
      <c r="AL357" s="1199"/>
      <c r="AM357" s="60"/>
      <c r="AN357" s="1165"/>
      <c r="AO357" s="13"/>
      <c r="AP357" s="74"/>
      <c r="AQ357" s="75"/>
    </row>
    <row r="358" spans="1:43" ht="25.9" hidden="1" thickBot="1" x14ac:dyDescent="0.8">
      <c r="A358" s="1132" t="s">
        <v>544</v>
      </c>
      <c r="B358" s="525" t="s">
        <v>916</v>
      </c>
      <c r="C358" s="561" t="s">
        <v>531</v>
      </c>
      <c r="D358" s="526"/>
      <c r="E358" s="240"/>
      <c r="F358" s="240"/>
      <c r="G358" s="240"/>
      <c r="H358" s="240"/>
      <c r="I358" s="240"/>
      <c r="J358" s="240"/>
      <c r="K358" s="240"/>
      <c r="L358" s="240"/>
      <c r="M358" s="240"/>
      <c r="N358" s="240"/>
      <c r="O358" s="240"/>
      <c r="P358" s="240"/>
      <c r="Q358" s="240"/>
      <c r="R358" s="240"/>
      <c r="S358" s="240"/>
      <c r="T358" s="240"/>
      <c r="U358" s="240"/>
      <c r="V358" s="240"/>
      <c r="W358" s="240"/>
      <c r="X358" s="240"/>
      <c r="Y358" s="322"/>
      <c r="Z358" s="527">
        <f t="shared" si="148"/>
        <v>0</v>
      </c>
      <c r="AA358" s="527">
        <f t="shared" si="148"/>
        <v>0</v>
      </c>
      <c r="AB358" s="528"/>
      <c r="AC358" s="529"/>
      <c r="AD358" s="529"/>
      <c r="AE358" s="529"/>
      <c r="AF358" s="529"/>
      <c r="AG358" s="529"/>
      <c r="AH358" s="529"/>
      <c r="AI358" s="529"/>
      <c r="AJ358" s="530">
        <f t="shared" ref="AJ358" si="149">SUM(D358:AA358)</f>
        <v>0</v>
      </c>
      <c r="AK358" s="116" t="str">
        <f>CONCATENATE(IF(D358&gt;D359," * &lt; 28 Days Defaulters for Age "&amp;D20&amp;" "&amp;D21&amp;" is more than Current On ART"&amp;CHAR(10),""),IF(E358&gt;E359," * &lt; 28 Days Defaulters for Age "&amp;D20&amp;" "&amp;E21&amp;" is more than Current On ART"&amp;CHAR(10),""),IF(F358&gt;F359," * &lt; 28 Days Defaulters for Age "&amp;F20&amp;" "&amp;F21&amp;" is more than Current On ART"&amp;CHAR(10),""),IF(G358&gt;G359," * &lt; 28 Days Defaulters for Age "&amp;F20&amp;" "&amp;G21&amp;" is more than Current On ART"&amp;CHAR(10),""),IF(H358&gt;H359," * &lt; 28 Days Defaulters for Age "&amp;H20&amp;" "&amp;H21&amp;" is more than Current On ART"&amp;CHAR(10),""),IF(I358&gt;I359," * &lt; 28 Days Defaulters for Age "&amp;H20&amp;" "&amp;I21&amp;" is more than Current On ART"&amp;CHAR(10),""),IF(J358&gt;J359," * &lt; 28 Days Defaulters for Age "&amp;J20&amp;" "&amp;J21&amp;" is more than Current On ART"&amp;CHAR(10),""),IF(K358&gt;K359," * &lt; 28 Days Defaulters for Age "&amp;J20&amp;" "&amp;K21&amp;" is more than Current On ART"&amp;CHAR(10),""),IF(L358&gt;L359," * &lt; 28 Days Defaulters for Age "&amp;L20&amp;" "&amp;L21&amp;" is more than Current On ART"&amp;CHAR(10),""),IF(M358&gt;M359," * &lt; 28 Days Defaulters for Age "&amp;L20&amp;" "&amp;M21&amp;" is more than Current On ART"&amp;CHAR(10),""),IF(N358&gt;N359," * &lt; 28 Days Defaulters for Age "&amp;N20&amp;" "&amp;N21&amp;" is more than Current On ART"&amp;CHAR(10),""),IF(O358&gt;O359," * &lt; 28 Days Defaulters for Age "&amp;N20&amp;" "&amp;O21&amp;" is more than Current On ART"&amp;CHAR(10),""),IF(P358&gt;P359," * &lt; 28 Days Defaulters for Age "&amp;P20&amp;" "&amp;P21&amp;" is more than Current On ART"&amp;CHAR(10),""),IF(Q358&gt;Q359," * &lt; 28 Days Defaulters for Age "&amp;P20&amp;" "&amp;Q21&amp;" is more than Current On ART"&amp;CHAR(10),""),IF(R358&gt;R359," * &lt; 28 Days Defaulters for Age "&amp;R20&amp;" "&amp;R21&amp;" is more than Current On ART"&amp;CHAR(10),""),IF(S358&gt;S359," * &lt; 28 Days Defaulters for Age "&amp;R20&amp;" "&amp;S21&amp;" is more than Current On ART"&amp;CHAR(10),""),IF(T358&gt;T359," * &lt; 28 Days Defaulters for Age "&amp;T20&amp;" "&amp;T21&amp;" is more than Current On ART"&amp;CHAR(10),""),IF(U358&gt;U359," * &lt; 28 Days Defaulters for Age "&amp;T20&amp;" "&amp;U21&amp;" is more than Current On ART"&amp;CHAR(10),""),IF(V358&gt;V359," * &lt; 28 Days Defaulters for Age "&amp;V20&amp;" "&amp;V21&amp;" is more than Current On ART"&amp;CHAR(10),""),IF(W358&gt;W359," * &lt; 28 Days Defaulters for Age "&amp;V20&amp;" "&amp;W21&amp;" is more than Current On ART"&amp;CHAR(10),""),IF(X358&gt;X359," * &lt; 28 Days Defaulters for Age "&amp;X20&amp;" "&amp;X21&amp;" is more than Current On ART"&amp;CHAR(10),""),IF(Y358&gt;Y359," * &lt; 28 Days Defaulters for Age "&amp;X20&amp;" "&amp;Y21&amp;" is more than Current On ART"&amp;CHAR(10),""),IF(Z358&gt;Z359," * &lt; 28 Days Defaulters for Age "&amp;Z20&amp;" "&amp;Z21&amp;" is more than Current On ART"&amp;CHAR(10),""),IF(AA358&gt;AA359," * &lt; 28 Days Defaulters for Age "&amp;Z20&amp;" "&amp;AA21&amp;" is more than Current On ART"&amp;CHAR(10),""))</f>
        <v/>
      </c>
      <c r="AL358" s="1199"/>
      <c r="AM358" s="31"/>
      <c r="AN358" s="1165"/>
      <c r="AO358" s="13">
        <v>256</v>
      </c>
      <c r="AP358" s="74"/>
      <c r="AQ358" s="75"/>
    </row>
    <row r="359" spans="1:43" ht="25.9" hidden="1" thickBot="1" x14ac:dyDescent="0.8">
      <c r="A359" s="1134"/>
      <c r="B359" s="230" t="s">
        <v>793</v>
      </c>
      <c r="C359" s="579" t="s">
        <v>279</v>
      </c>
      <c r="D359" s="533">
        <f>SUM(D360:D365)</f>
        <v>0</v>
      </c>
      <c r="E359" s="534">
        <f t="shared" ref="E359:AG359" si="150">SUM(E360:E365)</f>
        <v>0</v>
      </c>
      <c r="F359" s="534">
        <f t="shared" si="150"/>
        <v>0</v>
      </c>
      <c r="G359" s="534">
        <f t="shared" si="150"/>
        <v>0</v>
      </c>
      <c r="H359" s="534">
        <f t="shared" si="150"/>
        <v>0</v>
      </c>
      <c r="I359" s="534">
        <f t="shared" si="150"/>
        <v>0</v>
      </c>
      <c r="J359" s="534">
        <f t="shared" si="150"/>
        <v>0</v>
      </c>
      <c r="K359" s="534">
        <f t="shared" si="150"/>
        <v>0</v>
      </c>
      <c r="L359" s="534">
        <f t="shared" si="150"/>
        <v>0</v>
      </c>
      <c r="M359" s="534">
        <f t="shared" si="150"/>
        <v>0</v>
      </c>
      <c r="N359" s="534">
        <f t="shared" si="150"/>
        <v>0</v>
      </c>
      <c r="O359" s="534">
        <f t="shared" si="150"/>
        <v>0</v>
      </c>
      <c r="P359" s="534">
        <f t="shared" si="150"/>
        <v>0</v>
      </c>
      <c r="Q359" s="534">
        <f t="shared" si="150"/>
        <v>0</v>
      </c>
      <c r="R359" s="534">
        <f t="shared" si="150"/>
        <v>0</v>
      </c>
      <c r="S359" s="534">
        <f t="shared" si="150"/>
        <v>0</v>
      </c>
      <c r="T359" s="534">
        <f t="shared" si="150"/>
        <v>0</v>
      </c>
      <c r="U359" s="534">
        <f t="shared" si="150"/>
        <v>0</v>
      </c>
      <c r="V359" s="534">
        <f t="shared" si="150"/>
        <v>0</v>
      </c>
      <c r="W359" s="534">
        <f t="shared" si="150"/>
        <v>0</v>
      </c>
      <c r="X359" s="534">
        <f t="shared" si="150"/>
        <v>0</v>
      </c>
      <c r="Y359" s="535">
        <f t="shared" si="150"/>
        <v>0</v>
      </c>
      <c r="Z359" s="522">
        <f t="shared" si="148"/>
        <v>0</v>
      </c>
      <c r="AA359" s="522">
        <f t="shared" si="148"/>
        <v>0</v>
      </c>
      <c r="AB359" s="533">
        <f t="shared" si="150"/>
        <v>0</v>
      </c>
      <c r="AC359" s="534">
        <f t="shared" si="150"/>
        <v>0</v>
      </c>
      <c r="AD359" s="534">
        <f t="shared" si="150"/>
        <v>0</v>
      </c>
      <c r="AE359" s="534">
        <f t="shared" si="150"/>
        <v>0</v>
      </c>
      <c r="AF359" s="534">
        <f t="shared" si="150"/>
        <v>0</v>
      </c>
      <c r="AG359" s="534">
        <f t="shared" si="150"/>
        <v>0</v>
      </c>
      <c r="AH359" s="534">
        <f t="shared" ref="AH359:AI359" si="151">SUM(AH360:AH365)</f>
        <v>0</v>
      </c>
      <c r="AI359" s="534">
        <f t="shared" si="151"/>
        <v>0</v>
      </c>
      <c r="AJ359" s="536">
        <f>SUM(AJ360:AJ365)</f>
        <v>0</v>
      </c>
      <c r="AK359" s="116" t="str">
        <f>CONCATENATE(IF(D359&lt;&gt;D372,""&amp;CHAR(10)&amp;"  * Current on ART by month of dispense F07-16 for age "&amp;D344&amp;" "&amp;D345&amp;" is not equal to Clients current On ART F07-03 age  "&amp;D344&amp;" "&amp;D345&amp;"",""),IF(E359&lt;&gt;E372,""&amp;CHAR(10)&amp;"  * Current on ART by month of dispense F07-16 for age "&amp;D344&amp;" "&amp;E345&amp;" is not equal to Clients current On ART F07-03 age  "&amp;D344&amp;" "&amp;E345&amp;"",""),IF(F359&lt;&gt;F372,""&amp;CHAR(10)&amp;"  * Current on ART by month of dispense F07-16 for age "&amp;F344&amp;" "&amp;F345&amp;" is not equal to Clients current On ART F07-03 age  "&amp;F344&amp;" "&amp;F345&amp;"",""),IF(G359&lt;&gt;G372,""&amp;CHAR(10)&amp;"  * Current on ART by month of dispense F07-16 for age "&amp;F344&amp;" "&amp;G345&amp;" is not equal to Clients current On ART F07-03 age  "&amp;F344&amp;" "&amp;G345&amp;"",""),IF(H359&lt;&gt;H372,""&amp;CHAR(10)&amp;"  * Current on ART by month of dispense F07-16 for age "&amp;H344&amp;" "&amp;H345&amp;" is not equal to Clients current On ART F07-03 age  "&amp;H344&amp;" "&amp;H345&amp;"",""),IF(I359&lt;&gt;I372,""&amp;CHAR(10)&amp;"  * Current on ART by month of dispense F07-16 for age "&amp;H344&amp;" "&amp;I345&amp;" is not equal to Clients current On ART F07-03 age  "&amp;H344&amp;" "&amp;I345&amp;"",""),IF(J359&lt;&gt;J372,""&amp;CHAR(10)&amp;"  * Current on ART by month of dispense F07-16 for age "&amp;J344&amp;" "&amp;J345&amp;" is not equal to Clients current On ART F07-03 age  "&amp;J344&amp;" "&amp;J345&amp;"",""),IF(K359&lt;&gt;K372,""&amp;CHAR(10)&amp;"  * Current on ART by month of dispense F07-16 for age "&amp;J344&amp;" "&amp;K345&amp;" is not equal to Clients current On ART F07-03 age  "&amp;J344&amp;" "&amp;K345&amp;"",""),IF(L359&lt;&gt;L372,""&amp;CHAR(10)&amp;"  * Current on ART by month of dispense F07-16 for age "&amp;L344&amp;" "&amp;L345&amp;" is not equal to Clients current On ART F07-03 age  "&amp;L344&amp;" "&amp;L345&amp;"",""),IF(M359&lt;&gt;M372,""&amp;CHAR(10)&amp;"  * Current on ART by month of dispense F07-16 for age "&amp;L344&amp;" "&amp;M345&amp;" is not equal to Clients current On ART F07-03 age  "&amp;L344&amp;" "&amp;M345&amp;"",""),IF(N359&lt;&gt;N372,""&amp;CHAR(10)&amp;"  * Current on ART by month of dispense F07-16 for age "&amp;N344&amp;" "&amp;N345&amp;" is not equal to Clients current On ART F07-03 age  "&amp;N344&amp;" "&amp;N345&amp;"",""),IF(O359&lt;&gt;O372,""&amp;CHAR(10)&amp;"  * Current on ART by month of dispense F07-16 for age "&amp;N344&amp;" "&amp;O345&amp;" is not equal to Clients current On ART F07-03 age  "&amp;N344&amp;" "&amp;O345&amp;"",""),IF(P359&lt;&gt;P372,""&amp;CHAR(10)&amp;"  * Current on ART by month of dispense F07-16 for age "&amp;P344&amp;" "&amp;P345&amp;" is not equal to Clients current On ART F07-03 age  "&amp;P344&amp;" "&amp;P345&amp;"",""),IF(Q359&lt;&gt;Q372,""&amp;CHAR(10)&amp;"  * Current on ART by month of dispense F07-16 for age "&amp;P344&amp;" "&amp;Q345&amp;" is not equal to Clients current On ART F07-03 age  "&amp;P344&amp;" "&amp;Q345&amp;"",""),IF(R359&lt;&gt;R372,""&amp;CHAR(10)&amp;"  * Current on ART by month of dispense F07-16 for age "&amp;R344&amp;" "&amp;R345&amp;" is not equal to Clients current On ART F07-03 age  "&amp;R344&amp;" "&amp;R345&amp;"",""),IF(S359&lt;&gt;S372,""&amp;CHAR(10)&amp;"  * Current on ART by month of dispense F07-16 for age "&amp;R344&amp;" "&amp;S345&amp;" is not equal to Clients current On ART F07-03 age  "&amp;R344&amp;" "&amp;S345&amp;"",""),IF(T359&lt;&gt;T372,""&amp;CHAR(10)&amp;"  * Current on ART by month of dispense F07-16 for age "&amp;T344&amp;" "&amp;T345&amp;" is not equal to Clients current On ART F07-03 age  "&amp;T344&amp;" "&amp;T345&amp;"",""),IF(U359&lt;&gt;U372,""&amp;CHAR(10)&amp;"  * Current on ART by month of dispense F07-16 for age "&amp;T344&amp;" "&amp;U345&amp;" is not equal to Clients current On ART F07-03 age  "&amp;T344&amp;" "&amp;U345&amp;"",""),IF(V359&lt;&gt;V372,""&amp;CHAR(10)&amp;"  * Current on ART by month of dispense F07-16 for age "&amp;V344&amp;" "&amp;V345&amp;" is not equal to Clients current On ART F07-03 age  "&amp;V344&amp;" "&amp;V345&amp;"",""),IF(W359&lt;&gt;W372,""&amp;CHAR(10)&amp;"  * Current on ART by month of dispense F07-16 for age "&amp;V344&amp;" "&amp;W345&amp;" is not equal to Clients current On ART F07-03 age  "&amp;V344&amp;" "&amp;W345&amp;"",""),IF(X359&lt;&gt;X372,""&amp;CHAR(10)&amp;"  * Current on ART by month of dispense F07-16 for age "&amp;X344&amp;" "&amp;X345&amp;" is not equal to Clients current On ART F07-03 age  "&amp;X344&amp;" "&amp;X345&amp;"",""),IF(Y359&lt;&gt;Y372,""&amp;CHAR(10)&amp;"  * Current on ART by month of dispense F07-16 for age "&amp;X344&amp;" "&amp;Y345&amp;" is not equal to Clients current On ART F07-03 age  "&amp;X344&amp;" "&amp;Y345&amp;"",""),IF(Z359&lt;&gt;Z372,""&amp;CHAR(10)&amp;"  * Current on ART by month of dispense F07-16 for age "&amp;Z344&amp;" "&amp;Z345&amp;" is not equal to Clients current On ART F07-03 age  "&amp;Z344&amp;" "&amp;Z345&amp;"",""),IF(AA359&lt;&gt;AA372,""&amp;CHAR(10)&amp;"  * Current on ART by month of dispense F07-16 for age "&amp;Z344&amp;" "&amp;AA345&amp;" is not equal to Clients current On ART F07-03 age  "&amp;Z344&amp;" "&amp;AA345&amp;"",""))</f>
        <v/>
      </c>
      <c r="AL359" s="1199"/>
      <c r="AM359" s="31"/>
      <c r="AN359" s="1165"/>
      <c r="AO359" s="13">
        <v>257</v>
      </c>
      <c r="AP359" s="74"/>
      <c r="AQ359" s="75"/>
    </row>
    <row r="360" spans="1:43" ht="25.5" hidden="1" x14ac:dyDescent="0.75">
      <c r="A360" s="1128" t="s">
        <v>414</v>
      </c>
      <c r="B360" s="244" t="s">
        <v>369</v>
      </c>
      <c r="C360" s="578" t="s">
        <v>383</v>
      </c>
      <c r="D360" s="531"/>
      <c r="E360" s="72"/>
      <c r="F360" s="72"/>
      <c r="G360" s="72"/>
      <c r="H360" s="72"/>
      <c r="I360" s="72"/>
      <c r="J360" s="72"/>
      <c r="K360" s="72"/>
      <c r="L360" s="72"/>
      <c r="M360" s="72"/>
      <c r="N360" s="72"/>
      <c r="O360" s="72"/>
      <c r="P360" s="72"/>
      <c r="Q360" s="72"/>
      <c r="R360" s="72"/>
      <c r="S360" s="72"/>
      <c r="T360" s="72"/>
      <c r="U360" s="72"/>
      <c r="V360" s="72"/>
      <c r="W360" s="72"/>
      <c r="X360" s="72"/>
      <c r="Y360" s="306"/>
      <c r="Z360" s="524">
        <f t="shared" ref="Z360:Z371" si="152">SUM(AB360,AD360,AF360,AH360)</f>
        <v>0</v>
      </c>
      <c r="AA360" s="524">
        <f t="shared" ref="AA360:AA371" si="153">SUM(AC360,AE360,AG360,AI360)</f>
        <v>0</v>
      </c>
      <c r="AB360" s="532"/>
      <c r="AC360" s="306"/>
      <c r="AD360" s="306"/>
      <c r="AE360" s="306"/>
      <c r="AF360" s="306"/>
      <c r="AG360" s="306"/>
      <c r="AH360" s="306"/>
      <c r="AI360" s="306"/>
      <c r="AJ360" s="66">
        <f t="shared" si="145"/>
        <v>0</v>
      </c>
      <c r="AK360" s="116"/>
      <c r="AL360" s="1199"/>
      <c r="AM360" s="31"/>
      <c r="AN360" s="1165"/>
      <c r="AO360" s="13">
        <v>258</v>
      </c>
      <c r="AP360" s="74"/>
      <c r="AQ360" s="75"/>
    </row>
    <row r="361" spans="1:43" ht="25.5" hidden="1" x14ac:dyDescent="0.75">
      <c r="A361" s="1129"/>
      <c r="B361" s="2" t="s">
        <v>364</v>
      </c>
      <c r="C361" s="559" t="s">
        <v>384</v>
      </c>
      <c r="D361" s="400"/>
      <c r="E361" s="79"/>
      <c r="F361" s="79"/>
      <c r="G361" s="79"/>
      <c r="H361" s="79"/>
      <c r="I361" s="79"/>
      <c r="J361" s="79"/>
      <c r="K361" s="79"/>
      <c r="L361" s="79"/>
      <c r="M361" s="79"/>
      <c r="N361" s="79"/>
      <c r="O361" s="79"/>
      <c r="P361" s="79"/>
      <c r="Q361" s="79"/>
      <c r="R361" s="79"/>
      <c r="S361" s="79"/>
      <c r="T361" s="79"/>
      <c r="U361" s="79"/>
      <c r="V361" s="79"/>
      <c r="W361" s="79"/>
      <c r="X361" s="79"/>
      <c r="Y361" s="307"/>
      <c r="Z361" s="489">
        <f t="shared" si="152"/>
        <v>0</v>
      </c>
      <c r="AA361" s="489">
        <f t="shared" si="153"/>
        <v>0</v>
      </c>
      <c r="AB361" s="349"/>
      <c r="AC361" s="307"/>
      <c r="AD361" s="307"/>
      <c r="AE361" s="307"/>
      <c r="AF361" s="307"/>
      <c r="AG361" s="307"/>
      <c r="AH361" s="307"/>
      <c r="AI361" s="307"/>
      <c r="AJ361" s="29">
        <f t="shared" si="145"/>
        <v>0</v>
      </c>
      <c r="AK361" s="116"/>
      <c r="AL361" s="1199"/>
      <c r="AM361" s="31"/>
      <c r="AN361" s="1165"/>
      <c r="AO361" s="13">
        <v>259</v>
      </c>
      <c r="AP361" s="74"/>
      <c r="AQ361" s="75"/>
    </row>
    <row r="362" spans="1:43" ht="25.5" hidden="1" x14ac:dyDescent="0.75">
      <c r="A362" s="1129"/>
      <c r="B362" s="2" t="s">
        <v>365</v>
      </c>
      <c r="C362" s="559" t="s">
        <v>385</v>
      </c>
      <c r="D362" s="400"/>
      <c r="E362" s="79"/>
      <c r="F362" s="79"/>
      <c r="G362" s="79"/>
      <c r="H362" s="79"/>
      <c r="I362" s="79"/>
      <c r="J362" s="79"/>
      <c r="K362" s="79"/>
      <c r="L362" s="79"/>
      <c r="M362" s="79"/>
      <c r="N362" s="79"/>
      <c r="O362" s="79"/>
      <c r="P362" s="79"/>
      <c r="Q362" s="79"/>
      <c r="R362" s="79"/>
      <c r="S362" s="79"/>
      <c r="T362" s="79"/>
      <c r="U362" s="79"/>
      <c r="V362" s="79"/>
      <c r="W362" s="79"/>
      <c r="X362" s="79"/>
      <c r="Y362" s="307"/>
      <c r="Z362" s="489">
        <f t="shared" si="152"/>
        <v>0</v>
      </c>
      <c r="AA362" s="489">
        <f t="shared" si="153"/>
        <v>0</v>
      </c>
      <c r="AB362" s="349"/>
      <c r="AC362" s="307"/>
      <c r="AD362" s="307"/>
      <c r="AE362" s="307"/>
      <c r="AF362" s="307"/>
      <c r="AG362" s="307"/>
      <c r="AH362" s="307"/>
      <c r="AI362" s="307"/>
      <c r="AJ362" s="29">
        <f t="shared" si="145"/>
        <v>0</v>
      </c>
      <c r="AK362" s="116"/>
      <c r="AL362" s="1199"/>
      <c r="AM362" s="31"/>
      <c r="AN362" s="1165"/>
      <c r="AO362" s="13">
        <v>260</v>
      </c>
      <c r="AP362" s="74"/>
      <c r="AQ362" s="75"/>
    </row>
    <row r="363" spans="1:43" ht="25.5" hidden="1" x14ac:dyDescent="0.75">
      <c r="A363" s="1129"/>
      <c r="B363" s="2" t="s">
        <v>366</v>
      </c>
      <c r="C363" s="559" t="s">
        <v>386</v>
      </c>
      <c r="D363" s="400"/>
      <c r="E363" s="79"/>
      <c r="F363" s="79"/>
      <c r="G363" s="79"/>
      <c r="H363" s="79"/>
      <c r="I363" s="79"/>
      <c r="J363" s="79"/>
      <c r="K363" s="79"/>
      <c r="L363" s="79"/>
      <c r="M363" s="79"/>
      <c r="N363" s="79"/>
      <c r="O363" s="79"/>
      <c r="P363" s="79"/>
      <c r="Q363" s="79"/>
      <c r="R363" s="79"/>
      <c r="S363" s="79"/>
      <c r="T363" s="79"/>
      <c r="U363" s="79"/>
      <c r="V363" s="79"/>
      <c r="W363" s="79"/>
      <c r="X363" s="79"/>
      <c r="Y363" s="307"/>
      <c r="Z363" s="489">
        <f t="shared" si="152"/>
        <v>0</v>
      </c>
      <c r="AA363" s="489">
        <f t="shared" si="153"/>
        <v>0</v>
      </c>
      <c r="AB363" s="349"/>
      <c r="AC363" s="307"/>
      <c r="AD363" s="307"/>
      <c r="AE363" s="307"/>
      <c r="AF363" s="307"/>
      <c r="AG363" s="307"/>
      <c r="AH363" s="307"/>
      <c r="AI363" s="307"/>
      <c r="AJ363" s="29">
        <f t="shared" si="145"/>
        <v>0</v>
      </c>
      <c r="AK363" s="116"/>
      <c r="AL363" s="1199"/>
      <c r="AM363" s="31"/>
      <c r="AN363" s="1165"/>
      <c r="AO363" s="13">
        <v>261</v>
      </c>
      <c r="AP363" s="74"/>
      <c r="AQ363" s="75"/>
    </row>
    <row r="364" spans="1:43" ht="25.5" hidden="1" x14ac:dyDescent="0.75">
      <c r="A364" s="1129"/>
      <c r="B364" s="2" t="s">
        <v>367</v>
      </c>
      <c r="C364" s="559" t="s">
        <v>387</v>
      </c>
      <c r="D364" s="400"/>
      <c r="E364" s="79"/>
      <c r="F364" s="79"/>
      <c r="G364" s="79"/>
      <c r="H364" s="79"/>
      <c r="I364" s="79"/>
      <c r="J364" s="79"/>
      <c r="K364" s="79"/>
      <c r="L364" s="79"/>
      <c r="M364" s="79"/>
      <c r="N364" s="79"/>
      <c r="O364" s="79"/>
      <c r="P364" s="79"/>
      <c r="Q364" s="79"/>
      <c r="R364" s="79"/>
      <c r="S364" s="79"/>
      <c r="T364" s="79"/>
      <c r="U364" s="79"/>
      <c r="V364" s="79"/>
      <c r="W364" s="79"/>
      <c r="X364" s="79"/>
      <c r="Y364" s="307"/>
      <c r="Z364" s="489">
        <f t="shared" si="152"/>
        <v>0</v>
      </c>
      <c r="AA364" s="489">
        <f t="shared" si="153"/>
        <v>0</v>
      </c>
      <c r="AB364" s="349"/>
      <c r="AC364" s="307"/>
      <c r="AD364" s="307"/>
      <c r="AE364" s="307"/>
      <c r="AF364" s="307"/>
      <c r="AG364" s="307"/>
      <c r="AH364" s="307"/>
      <c r="AI364" s="307"/>
      <c r="AJ364" s="29">
        <f t="shared" si="145"/>
        <v>0</v>
      </c>
      <c r="AK364" s="116"/>
      <c r="AL364" s="1199"/>
      <c r="AM364" s="31"/>
      <c r="AN364" s="1165"/>
      <c r="AO364" s="13">
        <v>262</v>
      </c>
      <c r="AP364" s="74"/>
      <c r="AQ364" s="75"/>
    </row>
    <row r="365" spans="1:43" ht="25.9" hidden="1" thickBot="1" x14ac:dyDescent="0.8">
      <c r="A365" s="1130"/>
      <c r="B365" s="3" t="s">
        <v>368</v>
      </c>
      <c r="C365" s="560" t="s">
        <v>388</v>
      </c>
      <c r="D365" s="401"/>
      <c r="E365" s="89"/>
      <c r="F365" s="89"/>
      <c r="G365" s="89"/>
      <c r="H365" s="89"/>
      <c r="I365" s="89"/>
      <c r="J365" s="89"/>
      <c r="K365" s="89"/>
      <c r="L365" s="89"/>
      <c r="M365" s="89"/>
      <c r="N365" s="89"/>
      <c r="O365" s="89"/>
      <c r="P365" s="89"/>
      <c r="Q365" s="89"/>
      <c r="R365" s="89"/>
      <c r="S365" s="89"/>
      <c r="T365" s="89"/>
      <c r="U365" s="89"/>
      <c r="V365" s="89"/>
      <c r="W365" s="89"/>
      <c r="X365" s="89"/>
      <c r="Y365" s="309"/>
      <c r="Z365" s="489">
        <f t="shared" si="152"/>
        <v>0</v>
      </c>
      <c r="AA365" s="489">
        <f t="shared" si="153"/>
        <v>0</v>
      </c>
      <c r="AB365" s="398"/>
      <c r="AC365" s="309"/>
      <c r="AD365" s="309"/>
      <c r="AE365" s="309"/>
      <c r="AF365" s="309"/>
      <c r="AG365" s="309"/>
      <c r="AH365" s="309"/>
      <c r="AI365" s="309"/>
      <c r="AJ365" s="90">
        <f t="shared" si="145"/>
        <v>0</v>
      </c>
      <c r="AK365" s="116"/>
      <c r="AL365" s="1199"/>
      <c r="AM365" s="31"/>
      <c r="AN365" s="1165"/>
      <c r="AO365" s="13">
        <v>263</v>
      </c>
      <c r="AP365" s="74"/>
      <c r="AQ365" s="75"/>
    </row>
    <row r="366" spans="1:43" ht="30.75" hidden="1" customHeight="1" x14ac:dyDescent="0.75">
      <c r="A366" s="1128" t="s">
        <v>415</v>
      </c>
      <c r="B366" s="1" t="s">
        <v>418</v>
      </c>
      <c r="C366" s="558" t="s">
        <v>394</v>
      </c>
      <c r="D366" s="399"/>
      <c r="E366" s="94"/>
      <c r="F366" s="94"/>
      <c r="G366" s="94"/>
      <c r="H366" s="94"/>
      <c r="I366" s="94"/>
      <c r="J366" s="94"/>
      <c r="K366" s="94"/>
      <c r="L366" s="94"/>
      <c r="M366" s="94"/>
      <c r="N366" s="94"/>
      <c r="O366" s="94"/>
      <c r="P366" s="94"/>
      <c r="Q366" s="94"/>
      <c r="R366" s="94"/>
      <c r="S366" s="94"/>
      <c r="T366" s="94"/>
      <c r="U366" s="94"/>
      <c r="V366" s="94"/>
      <c r="W366" s="94"/>
      <c r="X366" s="94"/>
      <c r="Y366" s="310"/>
      <c r="Z366" s="489">
        <f t="shared" si="152"/>
        <v>0</v>
      </c>
      <c r="AA366" s="489">
        <f t="shared" si="153"/>
        <v>0</v>
      </c>
      <c r="AB366" s="348"/>
      <c r="AC366" s="310"/>
      <c r="AD366" s="310"/>
      <c r="AE366" s="310"/>
      <c r="AF366" s="310"/>
      <c r="AG366" s="310"/>
      <c r="AH366" s="310"/>
      <c r="AI366" s="310"/>
      <c r="AJ366" s="65">
        <f t="shared" si="145"/>
        <v>0</v>
      </c>
      <c r="AK366" s="116"/>
      <c r="AL366" s="1199"/>
      <c r="AM366" s="31"/>
      <c r="AN366" s="1165"/>
      <c r="AO366" s="13">
        <v>264</v>
      </c>
      <c r="AP366" s="74"/>
      <c r="AQ366" s="75"/>
    </row>
    <row r="367" spans="1:43" ht="25.5" hidden="1" x14ac:dyDescent="0.75">
      <c r="A367" s="1129"/>
      <c r="B367" s="2" t="s">
        <v>389</v>
      </c>
      <c r="C367" s="559" t="s">
        <v>395</v>
      </c>
      <c r="D367" s="400"/>
      <c r="E367" s="79"/>
      <c r="F367" s="79"/>
      <c r="G367" s="79"/>
      <c r="H367" s="79"/>
      <c r="I367" s="79"/>
      <c r="J367" s="79"/>
      <c r="K367" s="79"/>
      <c r="L367" s="79"/>
      <c r="M367" s="79"/>
      <c r="N367" s="79"/>
      <c r="O367" s="79"/>
      <c r="P367" s="79"/>
      <c r="Q367" s="79"/>
      <c r="R367" s="79"/>
      <c r="S367" s="79"/>
      <c r="T367" s="79"/>
      <c r="U367" s="79"/>
      <c r="V367" s="79"/>
      <c r="W367" s="79"/>
      <c r="X367" s="79"/>
      <c r="Y367" s="307"/>
      <c r="Z367" s="489">
        <f t="shared" si="152"/>
        <v>0</v>
      </c>
      <c r="AA367" s="489">
        <f t="shared" si="153"/>
        <v>0</v>
      </c>
      <c r="AB367" s="349"/>
      <c r="AC367" s="307"/>
      <c r="AD367" s="307"/>
      <c r="AE367" s="307"/>
      <c r="AF367" s="307"/>
      <c r="AG367" s="307"/>
      <c r="AH367" s="307"/>
      <c r="AI367" s="307"/>
      <c r="AJ367" s="29">
        <f t="shared" si="145"/>
        <v>0</v>
      </c>
      <c r="AK367" s="116"/>
      <c r="AL367" s="1199"/>
      <c r="AM367" s="31"/>
      <c r="AN367" s="1165"/>
      <c r="AO367" s="13">
        <v>265</v>
      </c>
      <c r="AP367" s="74"/>
      <c r="AQ367" s="75"/>
    </row>
    <row r="368" spans="1:43" ht="25.5" hidden="1" x14ac:dyDescent="0.75">
      <c r="A368" s="1129"/>
      <c r="B368" s="2" t="s">
        <v>390</v>
      </c>
      <c r="C368" s="559" t="s">
        <v>396</v>
      </c>
      <c r="D368" s="400"/>
      <c r="E368" s="79"/>
      <c r="F368" s="79"/>
      <c r="G368" s="79"/>
      <c r="H368" s="79"/>
      <c r="I368" s="79"/>
      <c r="J368" s="79"/>
      <c r="K368" s="79"/>
      <c r="L368" s="79"/>
      <c r="M368" s="79"/>
      <c r="N368" s="79"/>
      <c r="O368" s="79"/>
      <c r="P368" s="79"/>
      <c r="Q368" s="79"/>
      <c r="R368" s="79"/>
      <c r="S368" s="79"/>
      <c r="T368" s="79"/>
      <c r="U368" s="79"/>
      <c r="V368" s="79"/>
      <c r="W368" s="79"/>
      <c r="X368" s="79"/>
      <c r="Y368" s="307"/>
      <c r="Z368" s="489">
        <f t="shared" si="152"/>
        <v>0</v>
      </c>
      <c r="AA368" s="489">
        <f t="shared" si="153"/>
        <v>0</v>
      </c>
      <c r="AB368" s="349"/>
      <c r="AC368" s="307"/>
      <c r="AD368" s="307"/>
      <c r="AE368" s="307"/>
      <c r="AF368" s="307"/>
      <c r="AG368" s="307"/>
      <c r="AH368" s="307"/>
      <c r="AI368" s="307"/>
      <c r="AJ368" s="29">
        <f t="shared" si="145"/>
        <v>0</v>
      </c>
      <c r="AK368" s="116"/>
      <c r="AL368" s="1199"/>
      <c r="AM368" s="31"/>
      <c r="AN368" s="1165"/>
      <c r="AO368" s="13">
        <v>266</v>
      </c>
      <c r="AP368" s="74"/>
      <c r="AQ368" s="75"/>
    </row>
    <row r="369" spans="1:43" ht="25.5" hidden="1" x14ac:dyDescent="0.75">
      <c r="A369" s="1129"/>
      <c r="B369" s="2" t="s">
        <v>391</v>
      </c>
      <c r="C369" s="559" t="s">
        <v>397</v>
      </c>
      <c r="D369" s="400"/>
      <c r="E369" s="79"/>
      <c r="F369" s="79"/>
      <c r="G369" s="79"/>
      <c r="H369" s="79"/>
      <c r="I369" s="79"/>
      <c r="J369" s="79"/>
      <c r="K369" s="79"/>
      <c r="L369" s="79"/>
      <c r="M369" s="79"/>
      <c r="N369" s="79"/>
      <c r="O369" s="79"/>
      <c r="P369" s="79"/>
      <c r="Q369" s="79"/>
      <c r="R369" s="79"/>
      <c r="S369" s="79"/>
      <c r="T369" s="79"/>
      <c r="U369" s="79"/>
      <c r="V369" s="79"/>
      <c r="W369" s="79"/>
      <c r="X369" s="79"/>
      <c r="Y369" s="307"/>
      <c r="Z369" s="489">
        <f t="shared" si="152"/>
        <v>0</v>
      </c>
      <c r="AA369" s="489">
        <f t="shared" si="153"/>
        <v>0</v>
      </c>
      <c r="AB369" s="349"/>
      <c r="AC369" s="307"/>
      <c r="AD369" s="307"/>
      <c r="AE369" s="307"/>
      <c r="AF369" s="307"/>
      <c r="AG369" s="307"/>
      <c r="AH369" s="307"/>
      <c r="AI369" s="307"/>
      <c r="AJ369" s="29">
        <f t="shared" si="145"/>
        <v>0</v>
      </c>
      <c r="AK369" s="116"/>
      <c r="AL369" s="1199"/>
      <c r="AM369" s="31"/>
      <c r="AN369" s="1165"/>
      <c r="AO369" s="13">
        <v>267</v>
      </c>
      <c r="AP369" s="74"/>
      <c r="AQ369" s="75"/>
    </row>
    <row r="370" spans="1:43" ht="25.5" hidden="1" x14ac:dyDescent="0.75">
      <c r="A370" s="1129"/>
      <c r="B370" s="2" t="s">
        <v>392</v>
      </c>
      <c r="C370" s="559" t="s">
        <v>398</v>
      </c>
      <c r="D370" s="400"/>
      <c r="E370" s="79"/>
      <c r="F370" s="79"/>
      <c r="G370" s="79"/>
      <c r="H370" s="79"/>
      <c r="I370" s="79"/>
      <c r="J370" s="79"/>
      <c r="K370" s="79"/>
      <c r="L370" s="79"/>
      <c r="M370" s="79"/>
      <c r="N370" s="79"/>
      <c r="O370" s="79"/>
      <c r="P370" s="79"/>
      <c r="Q370" s="79"/>
      <c r="R370" s="79"/>
      <c r="S370" s="79"/>
      <c r="T370" s="79"/>
      <c r="U370" s="79"/>
      <c r="V370" s="79"/>
      <c r="W370" s="79"/>
      <c r="X370" s="79"/>
      <c r="Y370" s="307"/>
      <c r="Z370" s="489">
        <f t="shared" si="152"/>
        <v>0</v>
      </c>
      <c r="AA370" s="489">
        <f t="shared" si="153"/>
        <v>0</v>
      </c>
      <c r="AB370" s="349"/>
      <c r="AC370" s="307"/>
      <c r="AD370" s="307"/>
      <c r="AE370" s="307"/>
      <c r="AF370" s="307"/>
      <c r="AG370" s="307"/>
      <c r="AH370" s="307"/>
      <c r="AI370" s="307"/>
      <c r="AJ370" s="29">
        <f t="shared" si="145"/>
        <v>0</v>
      </c>
      <c r="AK370" s="116"/>
      <c r="AL370" s="1199"/>
      <c r="AM370" s="31"/>
      <c r="AN370" s="1165"/>
      <c r="AO370" s="13">
        <v>268</v>
      </c>
      <c r="AP370" s="74"/>
      <c r="AQ370" s="75"/>
    </row>
    <row r="371" spans="1:43" ht="25.5" hidden="1" x14ac:dyDescent="0.75">
      <c r="A371" s="1129"/>
      <c r="B371" s="2" t="s">
        <v>393</v>
      </c>
      <c r="C371" s="559" t="s">
        <v>399</v>
      </c>
      <c r="D371" s="400"/>
      <c r="E371" s="79"/>
      <c r="F371" s="79"/>
      <c r="G371" s="79"/>
      <c r="H371" s="79"/>
      <c r="I371" s="79"/>
      <c r="J371" s="79"/>
      <c r="K371" s="79"/>
      <c r="L371" s="79"/>
      <c r="M371" s="79"/>
      <c r="N371" s="79"/>
      <c r="O371" s="79"/>
      <c r="P371" s="79"/>
      <c r="Q371" s="79"/>
      <c r="R371" s="79"/>
      <c r="S371" s="79"/>
      <c r="T371" s="79"/>
      <c r="U371" s="79"/>
      <c r="V371" s="79"/>
      <c r="W371" s="79"/>
      <c r="X371" s="79"/>
      <c r="Y371" s="307"/>
      <c r="Z371" s="489">
        <f t="shared" si="152"/>
        <v>0</v>
      </c>
      <c r="AA371" s="489">
        <f t="shared" si="153"/>
        <v>0</v>
      </c>
      <c r="AB371" s="349"/>
      <c r="AC371" s="307"/>
      <c r="AD371" s="307"/>
      <c r="AE371" s="307"/>
      <c r="AF371" s="307"/>
      <c r="AG371" s="307"/>
      <c r="AH371" s="307"/>
      <c r="AI371" s="307"/>
      <c r="AJ371" s="29">
        <f t="shared" si="145"/>
        <v>0</v>
      </c>
      <c r="AK371" s="116"/>
      <c r="AL371" s="1199"/>
      <c r="AM371" s="31"/>
      <c r="AN371" s="1165"/>
      <c r="AO371" s="13">
        <v>269</v>
      </c>
      <c r="AP371" s="74"/>
      <c r="AQ371" s="75"/>
    </row>
    <row r="372" spans="1:43" ht="25.9" hidden="1" thickBot="1" x14ac:dyDescent="0.8">
      <c r="A372" s="1129"/>
      <c r="B372" s="243" t="s">
        <v>413</v>
      </c>
      <c r="C372" s="560" t="s">
        <v>417</v>
      </c>
      <c r="D372" s="515">
        <f>SUM(D366:D371)</f>
        <v>0</v>
      </c>
      <c r="E372" s="516">
        <f t="shared" ref="E372:Y372" si="154">SUM(E366:E371)</f>
        <v>0</v>
      </c>
      <c r="F372" s="516">
        <f t="shared" si="154"/>
        <v>0</v>
      </c>
      <c r="G372" s="516">
        <f t="shared" si="154"/>
        <v>0</v>
      </c>
      <c r="H372" s="516">
        <f t="shared" si="154"/>
        <v>0</v>
      </c>
      <c r="I372" s="516">
        <f t="shared" si="154"/>
        <v>0</v>
      </c>
      <c r="J372" s="516">
        <f t="shared" si="154"/>
        <v>0</v>
      </c>
      <c r="K372" s="516">
        <f t="shared" si="154"/>
        <v>0</v>
      </c>
      <c r="L372" s="516">
        <f t="shared" si="154"/>
        <v>0</v>
      </c>
      <c r="M372" s="516">
        <f t="shared" si="154"/>
        <v>0</v>
      </c>
      <c r="N372" s="516">
        <f t="shared" si="154"/>
        <v>0</v>
      </c>
      <c r="O372" s="516">
        <f t="shared" si="154"/>
        <v>0</v>
      </c>
      <c r="P372" s="516">
        <f t="shared" si="154"/>
        <v>0</v>
      </c>
      <c r="Q372" s="516">
        <f t="shared" si="154"/>
        <v>0</v>
      </c>
      <c r="R372" s="516">
        <f t="shared" si="154"/>
        <v>0</v>
      </c>
      <c r="S372" s="516">
        <f t="shared" si="154"/>
        <v>0</v>
      </c>
      <c r="T372" s="516">
        <f t="shared" si="154"/>
        <v>0</v>
      </c>
      <c r="U372" s="516">
        <f t="shared" si="154"/>
        <v>0</v>
      </c>
      <c r="V372" s="516">
        <f t="shared" si="154"/>
        <v>0</v>
      </c>
      <c r="W372" s="516">
        <f t="shared" si="154"/>
        <v>0</v>
      </c>
      <c r="X372" s="516">
        <f t="shared" si="154"/>
        <v>0</v>
      </c>
      <c r="Y372" s="517">
        <f t="shared" si="154"/>
        <v>0</v>
      </c>
      <c r="Z372" s="518">
        <f t="shared" ref="Z372" si="155">SUM(AB372,AD372,AF372,AH372)</f>
        <v>0</v>
      </c>
      <c r="AA372" s="518">
        <f t="shared" ref="AA372" si="156">SUM(AC372,AE372,AG372,AI372)</f>
        <v>0</v>
      </c>
      <c r="AB372" s="519">
        <f t="shared" ref="AB372:AG372" si="157">SUM(AB366:AB371)</f>
        <v>0</v>
      </c>
      <c r="AC372" s="516">
        <f t="shared" si="157"/>
        <v>0</v>
      </c>
      <c r="AD372" s="516">
        <f t="shared" si="157"/>
        <v>0</v>
      </c>
      <c r="AE372" s="516">
        <f t="shared" si="157"/>
        <v>0</v>
      </c>
      <c r="AF372" s="516">
        <f t="shared" si="157"/>
        <v>0</v>
      </c>
      <c r="AG372" s="516">
        <f t="shared" si="157"/>
        <v>0</v>
      </c>
      <c r="AH372" s="516">
        <f t="shared" ref="AH372:AI372" si="158">SUM(AH366:AH371)</f>
        <v>0</v>
      </c>
      <c r="AI372" s="516">
        <f t="shared" si="158"/>
        <v>0</v>
      </c>
      <c r="AJ372" s="520">
        <f t="shared" si="145"/>
        <v>0</v>
      </c>
      <c r="AK372" s="116"/>
      <c r="AL372" s="1199"/>
      <c r="AM372" s="31"/>
      <c r="AN372" s="1165"/>
      <c r="AO372" s="13">
        <v>270</v>
      </c>
      <c r="AP372" s="74"/>
      <c r="AQ372" s="75"/>
    </row>
    <row r="373" spans="1:43" ht="25.9" hidden="1" thickBot="1" x14ac:dyDescent="0.8">
      <c r="A373" s="1130"/>
      <c r="B373" s="227" t="s">
        <v>435</v>
      </c>
      <c r="C373" s="579" t="s">
        <v>419</v>
      </c>
      <c r="D373" s="397"/>
      <c r="E373" s="229"/>
      <c r="F373" s="229"/>
      <c r="G373" s="229"/>
      <c r="H373" s="229"/>
      <c r="I373" s="229"/>
      <c r="J373" s="229"/>
      <c r="K373" s="229"/>
      <c r="L373" s="229"/>
      <c r="M373" s="229"/>
      <c r="N373" s="229"/>
      <c r="O373" s="229"/>
      <c r="P373" s="229"/>
      <c r="Q373" s="229"/>
      <c r="R373" s="229"/>
      <c r="S373" s="229"/>
      <c r="T373" s="229"/>
      <c r="U373" s="229"/>
      <c r="V373" s="229"/>
      <c r="W373" s="229"/>
      <c r="X373" s="229"/>
      <c r="Y373" s="521"/>
      <c r="Z373" s="522">
        <f t="shared" ref="Z373:Z383" si="159">SUM(AB373,AD373,AF373,AH373)</f>
        <v>0</v>
      </c>
      <c r="AA373" s="522">
        <f t="shared" ref="AA373:AA383" si="160">SUM(AC373,AE373,AG373,AI373)</f>
        <v>0</v>
      </c>
      <c r="AB373" s="347"/>
      <c r="AC373" s="521"/>
      <c r="AD373" s="521"/>
      <c r="AE373" s="521"/>
      <c r="AF373" s="521"/>
      <c r="AG373" s="521"/>
      <c r="AH373" s="521"/>
      <c r="AI373" s="521"/>
      <c r="AJ373" s="523">
        <f t="shared" si="145"/>
        <v>0</v>
      </c>
      <c r="AK373" s="116"/>
      <c r="AL373" s="1200"/>
      <c r="AM373" s="31"/>
      <c r="AN373" s="1203"/>
      <c r="AO373" s="13">
        <v>271</v>
      </c>
      <c r="AP373" s="74"/>
      <c r="AQ373" s="75"/>
    </row>
    <row r="374" spans="1:43" s="61" customFormat="1" ht="25.5" hidden="1" x14ac:dyDescent="0.75">
      <c r="A374" s="1139" t="s">
        <v>575</v>
      </c>
      <c r="B374" s="544" t="s">
        <v>914</v>
      </c>
      <c r="C374" s="558" t="s">
        <v>528</v>
      </c>
      <c r="D374" s="72"/>
      <c r="E374" s="72"/>
      <c r="F374" s="72"/>
      <c r="G374" s="72"/>
      <c r="H374" s="72"/>
      <c r="I374" s="72"/>
      <c r="J374" s="72"/>
      <c r="K374" s="72"/>
      <c r="L374" s="72"/>
      <c r="M374" s="72"/>
      <c r="N374" s="72"/>
      <c r="O374" s="72"/>
      <c r="P374" s="72"/>
      <c r="Q374" s="72"/>
      <c r="R374" s="72"/>
      <c r="S374" s="72"/>
      <c r="T374" s="72"/>
      <c r="U374" s="72"/>
      <c r="V374" s="72"/>
      <c r="W374" s="72"/>
      <c r="X374" s="72"/>
      <c r="Y374" s="72"/>
      <c r="Z374" s="489">
        <f t="shared" si="159"/>
        <v>0</v>
      </c>
      <c r="AA374" s="489">
        <f t="shared" si="160"/>
        <v>0</v>
      </c>
      <c r="AB374" s="72"/>
      <c r="AC374" s="72"/>
      <c r="AD374" s="72"/>
      <c r="AE374" s="72"/>
      <c r="AF374" s="72"/>
      <c r="AG374" s="72"/>
      <c r="AH374" s="72"/>
      <c r="AI374" s="72"/>
      <c r="AJ374" s="52">
        <f t="shared" si="145"/>
        <v>0</v>
      </c>
      <c r="AK374" s="30" t="str">
        <f>CONCATENATE(IF(D388&gt;D374," *  confirmed TB positive newly started on TB treatment "&amp;$D$20&amp;" "&amp;$D$21&amp;" is more than Screening positive for TB Newly enrolled on ART"&amp;CHAR(10),""),IF(E388&gt;E374," *  confirmed TB positive newly started on TB treatment "&amp;$D$20&amp;" "&amp;$E$21&amp;" is more than Screening positive for TB Newly enrolled on ART"&amp;CHAR(10),""),IF(F388&gt;F374," *  confirmed TB positive newly started on TB treatment "&amp;$F$20&amp;" "&amp;$F$21&amp;" is more than Screening positive for TB Newly enrolled on ART"&amp;CHAR(10),""),IF(G388&gt;G374," *  confirmed TB positive newly started on TB treatment "&amp;$F$20&amp;" "&amp;$G$21&amp;" is more than Screening positive for TB Newly enrolled on ART"&amp;CHAR(10),""),IF(H388&gt;H374," *  confirmed TB positive newly started on TB treatment "&amp;$H$20&amp;" "&amp;$H$21&amp;" is more than Screening positive for TB Newly enrolled on ART"&amp;CHAR(10),""),IF(I388&gt;I374," *  confirmed TB positive newly started on TB treatment "&amp;$H$20&amp;" "&amp;$I$21&amp;" is more than Screening positive for TB Newly enrolled on ART"&amp;CHAR(10),""),IF(J388&gt;J374," *  confirmed TB positive newly started on TB treatment "&amp;$J$20&amp;" "&amp;$J$21&amp;" is more than Screening positive for TB Newly enrolled on ART"&amp;CHAR(10),""),IF(K388&gt;K374," *  confirmed TB positive newly started on TB treatment "&amp;$J$20&amp;" "&amp;$K$21&amp;" is more than Screening positive for TB Newly enrolled on ART"&amp;CHAR(10),""),IF(L388&gt;L374," *  confirmed TB positive newly started on TB treatment "&amp;$L$20&amp;" "&amp;$L$21&amp;" is more than Screening positive for TB Newly enrolled on ART"&amp;CHAR(10),""),IF(M388&gt;M374," *  confirmed TB positive newly started on TB treatment "&amp;$L$20&amp;" "&amp;$M$21&amp;" is more than Screening positive for TB Newly enrolled on ART"&amp;CHAR(10),""),IF(N388&gt;N374," *  confirmed TB positive newly started on TB treatment "&amp;$N$20&amp;" "&amp;$N$21&amp;" is more than Screening positive for TB Newly enrolled on ART"&amp;CHAR(10),""),IF(O388&gt;O374," *  confirmed TB positive newly started on TB treatment "&amp;$N$20&amp;" "&amp;$O$21&amp;" is more than Screening positive for TB Newly enrolled on ART"&amp;CHAR(10),""),IF(P388&gt;P374," *  confirmed TB positive newly started on TB treatment "&amp;$P$20&amp;" "&amp;$P$21&amp;" is more than Screening positive for TB Newly enrolled on ART"&amp;CHAR(10),""),IF(Q388&gt;Q374," *  confirmed TB positive newly started on TB treatment "&amp;$P$20&amp;" "&amp;$Q$21&amp;" is more than Screening positive for TB Newly enrolled on ART"&amp;CHAR(10),""),IF(R388&gt;R374," *  confirmed TB positive newly started on TB treatment "&amp;$R$20&amp;" "&amp;$R$21&amp;" is more than Screening positive for TB Newly enrolled on ART"&amp;CHAR(10),""),IF(S388&gt;S374," *  confirmed TB positive newly started on TB treatment "&amp;$R$20&amp;" "&amp;$S$21&amp;" is more than Screening positive for TB Newly enrolled on ART"&amp;CHAR(10),""),IF(T388&gt;T374," *  confirmed TB positive newly started on TB treatment "&amp;$T$20&amp;" "&amp;$T$21&amp;" is more than Screening positive for TB Newly enrolled on ART"&amp;CHAR(10),""),IF(U388&gt;U374," *  confirmed TB positive newly started on TB treatment "&amp;$T$20&amp;" "&amp;$U$21&amp;" is more than Screening positive for TB Newly enrolled on ART"&amp;CHAR(10),""),IF(V388&gt;V374," *  confirmed TB positive newly started on TB treatment "&amp;$V$20&amp;" "&amp;$V$21&amp;" is more than Screening positive for TB Newly enrolled on ART"&amp;CHAR(10),""),IF(W388&gt;W374," *  confirmed TB positive newly started on TB treatment "&amp;$V$20&amp;" "&amp;$W$21&amp;" is more than Screening positive for TB Newly enrolled on ART"&amp;CHAR(10),""),IF(X388&gt;X374," *  confirmed TB positive newly started on TB treatment "&amp;$X$20&amp;" "&amp;$X$21&amp;" is more than Screening positive for TB Newly enrolled on ART"&amp;CHAR(10),""),IF(Y388&gt;Y374," *  confirmed TB positive newly started on TB treatment "&amp;$X$20&amp;" "&amp;$Y$21&amp;" is more than Screening positive for TB Newly enrolled on ART"&amp;CHAR(10),""),IF(Z388&gt;Z374," *  confirmed TB positive newly started on TB treatment "&amp;$Z$20&amp;" "&amp;$Z$21&amp;" is more than Screening positive for TB Newly enrolled on ART"&amp;CHAR(10),""),IF(AA388&gt;AA374," *  confirmed TB positive newly started on TB treatment "&amp;$Z$20&amp;" "&amp;$AA$21&amp;" is more than Screening positive for TB Newly enrolled on ART"&amp;CHAR(10),""))</f>
        <v/>
      </c>
      <c r="AL374" s="1201" t="str">
        <f>CONCATENATE(AK374,AK375,AK376,AK377,AK378,AK379,AK380,AK381,AK382,AK383,AK384,AK388,AK389,AK390)</f>
        <v/>
      </c>
      <c r="AM374" s="60" t="str">
        <f>CONCATENATE(IF(D388&lt;D374," *  confirmed TB positive newly started on TB treatment "&amp;$D$20&amp;" "&amp;$D$21&amp;" is less than Screening positive for TB Newly enrolled on ART"&amp;CHAR(10),""),IF(E388&lt;E374," *  confirmed TB positive newly started on TB treatment "&amp;$D$20&amp;" "&amp;$E$21&amp;" is less than Screening positive for TB Newly enrolled on ART"&amp;CHAR(10),""),IF(F388&lt;F374," *  confirmed TB positive newly started on TB treatment "&amp;$F$20&amp;" "&amp;$F$21&amp;" is less than Screening positive for TB Newly enrolled on ART"&amp;CHAR(10),""),IF(G388&lt;G374," *  confirmed TB positive newly started on TB treatment "&amp;$F$20&amp;" "&amp;$G$21&amp;" is less than Screening positive for TB Newly enrolled on ART"&amp;CHAR(10),""),IF(H388&lt;H374," *  confirmed TB positive newly started on TB treatment "&amp;$H$20&amp;" "&amp;$H$21&amp;" is less than Screening positive for TB Newly enrolled on ART"&amp;CHAR(10),""),IF(I388&lt;I374," *  confirmed TB positive newly started on TB treatment "&amp;$H$20&amp;" "&amp;$I$21&amp;" is less than Screening positive for TB Newly enrolled on ART"&amp;CHAR(10),""),IF(J388&lt;J374," *  confirmed TB positive newly started on TB treatment "&amp;$J$20&amp;" "&amp;$J$21&amp;" is less than Screening positive for TB Newly enrolled on ART"&amp;CHAR(10),""),IF(K388&lt;K374," *  confirmed TB positive newly started on TB treatment "&amp;$J$20&amp;" "&amp;$K$21&amp;" is less than Screening positive for TB Newly enrolled on ART"&amp;CHAR(10),""),IF(L388&lt;L374," *  confirmed TB positive newly started on TB treatment "&amp;$L$20&amp;" "&amp;$L$21&amp;" is less than Screening positive for TB Newly enrolled on ART"&amp;CHAR(10),""),IF(M388&lt;M374," *  confirmed TB positive newly started on TB treatment "&amp;$L$20&amp;" "&amp;$M$21&amp;" is less than Screening positive for TB Newly enrolled on ART"&amp;CHAR(10),""),IF(N388&lt;N374," *  confirmed TB positive newly started on TB treatment "&amp;$N$20&amp;" "&amp;$N$21&amp;" is less than Screening positive for TB Newly enrolled on ART"&amp;CHAR(10),""),IF(O388&lt;O374," *  confirmed TB positive newly started on TB treatment "&amp;$N$20&amp;" "&amp;$O$21&amp;" is less than Screening positive for TB Newly enrolled on ART"&amp;CHAR(10),""),IF(P388&lt;P374," *  confirmed TB positive newly started on TB treatment "&amp;$P$20&amp;" "&amp;$P$21&amp;" is less than Screening positive for TB Newly enrolled on ART"&amp;CHAR(10),""),IF(Q388&lt;Q374," *  confirmed TB positive newly started on TB treatment "&amp;$P$20&amp;" "&amp;$Q$21&amp;" is less than Screening positive for TB Newly enrolled on ART"&amp;CHAR(10),""),IF(R388&lt;R374," *  confirmed TB positive newly started on TB treatment "&amp;$R$20&amp;" "&amp;$R$21&amp;" is less than Screening positive for TB Newly enrolled on ART"&amp;CHAR(10),""),IF(S388&lt;S374," *  confirmed TB positive newly started on TB treatment "&amp;$R$20&amp;" "&amp;$S$21&amp;" is less than Screening positive for TB Newly enrolled on ART"&amp;CHAR(10),""),IF(T388&lt;T374," *  confirmed TB positive newly started on TB treatment "&amp;$T$20&amp;" "&amp;$T$21&amp;" is less than Screening positive for TB Newly enrolled on ART"&amp;CHAR(10),""),IF(U388&lt;U374," *  confirmed TB positive newly started on TB treatment "&amp;$T$20&amp;" "&amp;$U$21&amp;" is less than Screening positive for TB Newly enrolled on ART"&amp;CHAR(10),""),IF(V388&lt;V374," *  confirmed TB positive newly started on TB treatment "&amp;$V$20&amp;" "&amp;$V$21&amp;" is less than Screening positive for TB Newly enrolled on ART"&amp;CHAR(10),""),IF(W388&lt;W374," *  confirmed TB positive newly started on TB treatment "&amp;$V$20&amp;" "&amp;$W$21&amp;" is less than Screening positive for TB Newly enrolled on ART"&amp;CHAR(10),""),IF(X388&lt;X374," *  confirmed TB positive newly started on TB treatment "&amp;$X$20&amp;" "&amp;$X$21&amp;" is less than Screening positive for TB Newly enrolled on ART"&amp;CHAR(10),""),IF(Y388&lt;Y374," *  confirmed TB positive newly started on TB treatment "&amp;$X$20&amp;" "&amp;$Y$21&amp;" is less than Screening positive for TB Newly enrolled on ART"&amp;CHAR(10),""),IF(Z388&lt;Z374," *  confirmed TB positive newly started on TB treatment "&amp;$Z$20&amp;" "&amp;$Z$21&amp;" is less than Screening positive for TB Newly enrolled on ART"&amp;CHAR(10),""),IF(AA388&lt;AA374," *  confirmed TB positive newly started on TB treatment "&amp;$Z$20&amp;" "&amp;$AA$21&amp;" is less than Screening positive for TB Newly enrolled on ART"&amp;CHAR(10),""))</f>
        <v/>
      </c>
      <c r="AN374" s="1164" t="str">
        <f>CONCATENATE(AM374,AM375,AM376,AM377,AM378,AM379,AM380,AM381,AM382,AM383,AM384,AM388,AM389,AM390)</f>
        <v/>
      </c>
      <c r="AO374" s="13">
        <v>272</v>
      </c>
      <c r="AP374" s="80"/>
      <c r="AQ374" s="75"/>
    </row>
    <row r="375" spans="1:43" ht="25.5" hidden="1" x14ac:dyDescent="0.75">
      <c r="A375" s="1140"/>
      <c r="B375" s="543" t="s">
        <v>945</v>
      </c>
      <c r="C375" s="559" t="s">
        <v>529</v>
      </c>
      <c r="D375" s="79"/>
      <c r="E375" s="79"/>
      <c r="F375" s="79"/>
      <c r="G375" s="79"/>
      <c r="H375" s="79"/>
      <c r="I375" s="79"/>
      <c r="J375" s="79"/>
      <c r="K375" s="79"/>
      <c r="L375" s="79"/>
      <c r="M375" s="79"/>
      <c r="N375" s="79"/>
      <c r="O375" s="79"/>
      <c r="P375" s="79"/>
      <c r="Q375" s="79"/>
      <c r="R375" s="79"/>
      <c r="S375" s="79"/>
      <c r="T375" s="79"/>
      <c r="U375" s="79"/>
      <c r="V375" s="79"/>
      <c r="W375" s="79"/>
      <c r="X375" s="79"/>
      <c r="Y375" s="79"/>
      <c r="Z375" s="489">
        <f t="shared" si="159"/>
        <v>0</v>
      </c>
      <c r="AA375" s="489">
        <f t="shared" si="160"/>
        <v>0</v>
      </c>
      <c r="AB375" s="79"/>
      <c r="AC375" s="79"/>
      <c r="AD375" s="79"/>
      <c r="AE375" s="79"/>
      <c r="AF375" s="79"/>
      <c r="AG375" s="79"/>
      <c r="AH375" s="79"/>
      <c r="AI375" s="79"/>
      <c r="AJ375" s="173">
        <f t="shared" si="145"/>
        <v>0</v>
      </c>
      <c r="AK375" s="542" t="str">
        <f>CONCATENATE(IF(D389&gt;D375," *  Confirmed TB positive already on ART and on TB treatment "&amp;$D$20&amp;" "&amp;$D$21&amp;" is more than Screening positive for TB Previously enrolled on ART"&amp;CHAR(10),""),IF(E389&gt;E375," *  Confirmed TB positive already on ART and on TB treatment "&amp;$D$20&amp;" "&amp;$E$21&amp;" is more than Screening positive for TB Previously enrolled on ART"&amp;CHAR(10),""),IF(F389&gt;F375," *  Confirmed TB positive already on ART and on TB treatment "&amp;$F$20&amp;" "&amp;$F$21&amp;" is more than Screening positive for TB Previously enrolled on ART"&amp;CHAR(10),""),IF(G389&gt;G375," *  Confirmed TB positive already on ART and on TB treatment "&amp;$F$20&amp;" "&amp;$G$21&amp;" is more than Screening positive for TB Previously enrolled on ART"&amp;CHAR(10),""),IF(H389&gt;H375," *  Confirmed TB positive already on ART and on TB treatment "&amp;$H$20&amp;" "&amp;$H$21&amp;" is more than Screening positive for TB Previously enrolled on ART"&amp;CHAR(10),""),IF(I389&gt;I375," *  Confirmed TB positive already on ART and on TB treatment "&amp;$H$20&amp;" "&amp;$I$21&amp;" is more than Screening positive for TB Previously enrolled on ART"&amp;CHAR(10),""),IF(J389&gt;J375," *  Confirmed TB positive already on ART and on TB treatment "&amp;$J$20&amp;" "&amp;$J$21&amp;" is more than Screening positive for TB Previously enrolled on ART"&amp;CHAR(10),""),IF(K389&gt;K375," *  Confirmed TB positive already on ART and on TB treatment "&amp;$J$20&amp;" "&amp;$K$21&amp;" is more than Screening positive for TB Previously enrolled on ART"&amp;CHAR(10),""),IF(L389&gt;L375," *  Confirmed TB positive already on ART and on TB treatment "&amp;$L$20&amp;" "&amp;$L$21&amp;" is more than Screening positive for TB Previously enrolled on ART"&amp;CHAR(10),""),IF(M389&gt;M375," *  Confirmed TB positive already on ART and on TB treatment "&amp;$L$20&amp;" "&amp;$M$21&amp;" is more than Screening positive for TB Previously enrolled on ART"&amp;CHAR(10),""),IF(N389&gt;N375," *  Confirmed TB positive already on ART and on TB treatment "&amp;$N$20&amp;" "&amp;$N$21&amp;" is more than Screening positive for TB Previously enrolled on ART"&amp;CHAR(10),""),IF(O389&gt;O375," *  Confirmed TB positive already on ART and on TB treatment "&amp;$N$20&amp;" "&amp;$O$21&amp;" is more than Screening positive for TB Previously enrolled on ART"&amp;CHAR(10),""),IF(P389&gt;P375," *  Confirmed TB positive already on ART and on TB treatment "&amp;$P$20&amp;" "&amp;$P$21&amp;" is more than Screening positive for TB Previously enrolled on ART"&amp;CHAR(10),""),IF(Q389&gt;Q375," *  Confirmed TB positive already on ART and on TB treatment "&amp;$P$20&amp;" "&amp;$Q$21&amp;" is more than Screening positive for TB Previously enrolled on ART"&amp;CHAR(10),""),IF(R389&gt;R375," *  Confirmed TB positive already on ART and on TB treatment "&amp;$R$20&amp;" "&amp;$R$21&amp;" is more than Screening positive for TB Previously enrolled on ART"&amp;CHAR(10),""),IF(S389&gt;S375," *  Confirmed TB positive already on ART and on TB treatment "&amp;$R$20&amp;" "&amp;$S$21&amp;" is more than Screening positive for TB Previously enrolled on ART"&amp;CHAR(10),""),IF(T389&gt;T375," *  Confirmed TB positive already on ART and on TB treatment "&amp;$T$20&amp;" "&amp;$T$21&amp;" is more than Screening positive for TB Previously enrolled on ART"&amp;CHAR(10),""),IF(U389&gt;U375," *  Confirmed TB positive already on ART and on TB treatment "&amp;$T$20&amp;" "&amp;$U$21&amp;" is more than Screening positive for TB Previously enrolled on ART"&amp;CHAR(10),""),IF(V389&gt;V375," *  Confirmed TB positive already on ART and on TB treatment "&amp;$V$20&amp;" "&amp;$V$21&amp;" is more than Screening positive for TB Previously enrolled on ART"&amp;CHAR(10),""),IF(W389&gt;W375," *  Confirmed TB positive already on ART and on TB treatment "&amp;$V$20&amp;" "&amp;$W$21&amp;" is more than Screening positive for TB Previously enrolled on ART"&amp;CHAR(10),""),IF(X389&gt;X375," *  Confirmed TB positive already on ART and on TB treatment "&amp;$X$20&amp;" "&amp;$X$21&amp;" is more than Screening positive for TB Previously enrolled on ART"&amp;CHAR(10),""),IF(Y389&gt;Y375," *  Confirmed TB positive already on ART and on TB treatment "&amp;$X$20&amp;" "&amp;$Y$21&amp;" is more than Screening positive for TB Previously enrolled on ART"&amp;CHAR(10),""),IF(Z389&gt;Z375," *  Confirmed TB positive already on ART and on TB treatment "&amp;$Z$20&amp;" "&amp;$Z$21&amp;" is more than Screening positive for TB Previously enrolled on ART"&amp;CHAR(10),""),IF(AA389&gt;AA375," *  Confirmed TB positive already on ART and on TB treatment "&amp;$Z$20&amp;" "&amp;$AA$21&amp;" is more than Screening positive for TB Previously enrolled on ART"&amp;CHAR(10),""))</f>
        <v/>
      </c>
      <c r="AL375" s="1199"/>
      <c r="AM375" s="31" t="str">
        <f>CONCATENATE(IF(D389&lt;D375," *  Confirmed TB positive already on ART and on TB treatment "&amp;$D$20&amp;" "&amp;$D$21&amp;" is less than Screening positive for TB Previously enrolled on ART"&amp;CHAR(10),""),IF(E389&lt;E375," *  Confirmed TB positive already on ART and on TB treatment "&amp;$D$20&amp;" "&amp;$E$21&amp;" is less than Screening positive for TB Previously enrolled on ART"&amp;CHAR(10),""),IF(F389&lt;F375," *  Confirmed TB positive already on ART and on TB treatment "&amp;$F$20&amp;" "&amp;$F$21&amp;" is less than Screening positive for TB Previously enrolled on ART"&amp;CHAR(10),""),IF(G389&lt;G375," *  Confirmed TB positive already on ART and on TB treatment "&amp;$F$20&amp;" "&amp;$G$21&amp;" is less than Screening positive for TB Previously enrolled on ART"&amp;CHAR(10),""),IF(H389&lt;H375," *  Confirmed TB positive already on ART and on TB treatment "&amp;$H$20&amp;" "&amp;$H$21&amp;" is less than Screening positive for TB Previously enrolled on ART"&amp;CHAR(10),""),IF(I389&lt;I375," *  Confirmed TB positive already on ART and on TB treatment "&amp;$H$20&amp;" "&amp;$I$21&amp;" is less than Screening positive for TB Previously enrolled on ART"&amp;CHAR(10),""),IF(J389&lt;J375," *  Confirmed TB positive already on ART and on TB treatment "&amp;$J$20&amp;" "&amp;$J$21&amp;" is less than Screening positive for TB Previously enrolled on ART"&amp;CHAR(10),""),IF(K389&lt;K375," *  Confirmed TB positive already on ART and on TB treatment "&amp;$J$20&amp;" "&amp;$K$21&amp;" is less than Screening positive for TB Previously enrolled on ART"&amp;CHAR(10),""),IF(L389&lt;L375," *  Confirmed TB positive already on ART and on TB treatment "&amp;$L$20&amp;" "&amp;$L$21&amp;" is less than Screening positive for TB Previously enrolled on ART"&amp;CHAR(10),""),IF(M389&lt;M375," *  Confirmed TB positive already on ART and on TB treatment "&amp;$L$20&amp;" "&amp;$M$21&amp;" is less than Screening positive for TB Previously enrolled on ART"&amp;CHAR(10),""),IF(N389&lt;N375," *  Confirmed TB positive already on ART and on TB treatment "&amp;$N$20&amp;" "&amp;$N$21&amp;" is less than Screening positive for TB Previously enrolled on ART"&amp;CHAR(10),""),IF(O389&lt;O375," *  Confirmed TB positive already on ART and on TB treatment "&amp;$N$20&amp;" "&amp;$O$21&amp;" is less than Screening positive for TB Previously enrolled on ART"&amp;CHAR(10),""),IF(P389&lt;P375," *  Confirmed TB positive already on ART and on TB treatment "&amp;$P$20&amp;" "&amp;$P$21&amp;" is less than Screening positive for TB Previously enrolled on ART"&amp;CHAR(10),""),IF(Q389&lt;Q375," *  Confirmed TB positive already on ART and on TB treatment "&amp;$P$20&amp;" "&amp;$Q$21&amp;" is less than Screening positive for TB Previously enrolled on ART"&amp;CHAR(10),""),IF(R389&lt;R375," *  Confirmed TB positive already on ART and on TB treatment "&amp;$R$20&amp;" "&amp;$R$21&amp;" is less than Screening positive for TB Previously enrolled on ART"&amp;CHAR(10),""),IF(S389&lt;S375," *  Confirmed TB positive already on ART and on TB treatment "&amp;$R$20&amp;" "&amp;$S$21&amp;" is less than Screening positive for TB Previously enrolled on ART"&amp;CHAR(10),""),IF(T389&lt;T375," *  Confirmed TB positive already on ART and on TB treatment "&amp;$T$20&amp;" "&amp;$T$21&amp;" is less than Screening positive for TB Previously enrolled on ART"&amp;CHAR(10),""),IF(U389&lt;U375," *  Confirmed TB positive already on ART and on TB treatment "&amp;$T$20&amp;" "&amp;$U$21&amp;" is less than Screening positive for TB Previously enrolled on ART"&amp;CHAR(10),""),IF(V389&lt;V375," *  Confirmed TB positive already on ART and on TB treatment "&amp;$V$20&amp;" "&amp;$V$21&amp;" is less than Screening positive for TB Previously enrolled on ART"&amp;CHAR(10),""),IF(W389&lt;W375," *  Confirmed TB positive already on ART and on TB treatment "&amp;$V$20&amp;" "&amp;$W$21&amp;" is less than Screening positive for TB Previously enrolled on ART"&amp;CHAR(10),""),IF(X389&lt;X375," *  Confirmed TB positive already on ART and on TB treatment "&amp;$X$20&amp;" "&amp;$X$21&amp;" is less than Screening positive for TB Previously enrolled on ART"&amp;CHAR(10),""),IF(Y389&lt;Y375," *  Confirmed TB positive already on ART and on TB treatment "&amp;$X$20&amp;" "&amp;$Y$21&amp;" is less than Screening positive for TB Previously enrolled on ART"&amp;CHAR(10),""),IF(Z389&lt;Z375," *  Confirmed TB positive already on ART and on TB treatment "&amp;$Z$20&amp;" "&amp;$Z$21&amp;" is less than Screening positive for TB Previously enrolled on ART"&amp;CHAR(10),""),IF(AA389&lt;AA375," *  Confirmed TB positive already on ART and on TB treatment "&amp;$Z$20&amp;" "&amp;$AA$21&amp;" is less than Screening positive for TB Previously enrolled on ART"&amp;CHAR(10),""))</f>
        <v/>
      </c>
      <c r="AN375" s="1165"/>
      <c r="AO375" s="13">
        <v>273</v>
      </c>
      <c r="AP375" s="74"/>
      <c r="AQ375" s="75"/>
    </row>
    <row r="376" spans="1:43" ht="25.9" hidden="1" thickBot="1" x14ac:dyDescent="0.8">
      <c r="A376" s="1140"/>
      <c r="B376" s="243" t="s">
        <v>785</v>
      </c>
      <c r="C376" s="560" t="s">
        <v>527</v>
      </c>
      <c r="D376" s="242">
        <f t="shared" ref="D376:Y376" si="161">D374+D375</f>
        <v>0</v>
      </c>
      <c r="E376" s="242">
        <f t="shared" si="161"/>
        <v>0</v>
      </c>
      <c r="F376" s="242">
        <f t="shared" si="161"/>
        <v>0</v>
      </c>
      <c r="G376" s="242">
        <f t="shared" si="161"/>
        <v>0</v>
      </c>
      <c r="H376" s="242">
        <f t="shared" si="161"/>
        <v>0</v>
      </c>
      <c r="I376" s="242">
        <f t="shared" si="161"/>
        <v>0</v>
      </c>
      <c r="J376" s="242">
        <f t="shared" si="161"/>
        <v>0</v>
      </c>
      <c r="K376" s="242">
        <f t="shared" si="161"/>
        <v>0</v>
      </c>
      <c r="L376" s="242">
        <f t="shared" si="161"/>
        <v>0</v>
      </c>
      <c r="M376" s="242">
        <f t="shared" si="161"/>
        <v>0</v>
      </c>
      <c r="N376" s="242">
        <f t="shared" si="161"/>
        <v>0</v>
      </c>
      <c r="O376" s="242">
        <f t="shared" si="161"/>
        <v>0</v>
      </c>
      <c r="P376" s="242">
        <f t="shared" si="161"/>
        <v>0</v>
      </c>
      <c r="Q376" s="242">
        <f t="shared" si="161"/>
        <v>0</v>
      </c>
      <c r="R376" s="242">
        <f t="shared" si="161"/>
        <v>0</v>
      </c>
      <c r="S376" s="242">
        <f t="shared" si="161"/>
        <v>0</v>
      </c>
      <c r="T376" s="242">
        <f t="shared" si="161"/>
        <v>0</v>
      </c>
      <c r="U376" s="242">
        <f t="shared" si="161"/>
        <v>0</v>
      </c>
      <c r="V376" s="242">
        <f t="shared" si="161"/>
        <v>0</v>
      </c>
      <c r="W376" s="242">
        <f t="shared" si="161"/>
        <v>0</v>
      </c>
      <c r="X376" s="242">
        <f t="shared" si="161"/>
        <v>0</v>
      </c>
      <c r="Y376" s="242">
        <f t="shared" si="161"/>
        <v>0</v>
      </c>
      <c r="Z376" s="489">
        <f t="shared" si="159"/>
        <v>0</v>
      </c>
      <c r="AA376" s="489">
        <f t="shared" si="160"/>
        <v>0</v>
      </c>
      <c r="AB376" s="242">
        <f t="shared" ref="AB376:AI376" si="162">AB374+AB375</f>
        <v>0</v>
      </c>
      <c r="AC376" s="242">
        <f t="shared" si="162"/>
        <v>0</v>
      </c>
      <c r="AD376" s="242">
        <f t="shared" si="162"/>
        <v>0</v>
      </c>
      <c r="AE376" s="242">
        <f t="shared" si="162"/>
        <v>0</v>
      </c>
      <c r="AF376" s="242">
        <f t="shared" si="162"/>
        <v>0</v>
      </c>
      <c r="AG376" s="242">
        <f t="shared" si="162"/>
        <v>0</v>
      </c>
      <c r="AH376" s="242">
        <f t="shared" si="162"/>
        <v>0</v>
      </c>
      <c r="AI376" s="242">
        <f t="shared" si="162"/>
        <v>0</v>
      </c>
      <c r="AJ376" s="192">
        <f t="shared" si="145"/>
        <v>0</v>
      </c>
      <c r="AK376" s="116"/>
      <c r="AL376" s="1199"/>
      <c r="AM376" s="31"/>
      <c r="AN376" s="1165"/>
      <c r="AO376" s="13">
        <v>274</v>
      </c>
      <c r="AP376" s="74"/>
      <c r="AQ376" s="75"/>
    </row>
    <row r="377" spans="1:43" ht="25.5" hidden="1" x14ac:dyDescent="0.75">
      <c r="A377" s="1140"/>
      <c r="B377" s="244" t="s">
        <v>570</v>
      </c>
      <c r="C377" s="578" t="s">
        <v>530</v>
      </c>
      <c r="D377" s="138"/>
      <c r="E377" s="72"/>
      <c r="F377" s="72"/>
      <c r="G377" s="72"/>
      <c r="H377" s="72"/>
      <c r="I377" s="72"/>
      <c r="J377" s="72"/>
      <c r="K377" s="72"/>
      <c r="L377" s="72"/>
      <c r="M377" s="72"/>
      <c r="N377" s="72"/>
      <c r="O377" s="72"/>
      <c r="P377" s="72"/>
      <c r="Q377" s="72"/>
      <c r="R377" s="72"/>
      <c r="S377" s="72"/>
      <c r="T377" s="72"/>
      <c r="U377" s="72"/>
      <c r="V377" s="72"/>
      <c r="W377" s="72"/>
      <c r="X377" s="72"/>
      <c r="Y377" s="72"/>
      <c r="Z377" s="489">
        <f t="shared" si="159"/>
        <v>0</v>
      </c>
      <c r="AA377" s="489">
        <f t="shared" si="160"/>
        <v>0</v>
      </c>
      <c r="AB377" s="72"/>
      <c r="AC377" s="72"/>
      <c r="AD377" s="72"/>
      <c r="AE377" s="72"/>
      <c r="AF377" s="72"/>
      <c r="AG377" s="72"/>
      <c r="AH377" s="72"/>
      <c r="AI377" s="72"/>
      <c r="AJ377" s="52">
        <f t="shared" si="145"/>
        <v>0</v>
      </c>
      <c r="AK377" s="116"/>
      <c r="AL377" s="1199"/>
      <c r="AM377" s="31"/>
      <c r="AN377" s="1165"/>
      <c r="AO377" s="13">
        <v>275</v>
      </c>
      <c r="AP377" s="74"/>
      <c r="AQ377" s="75"/>
    </row>
    <row r="378" spans="1:43" ht="25.5" hidden="1" x14ac:dyDescent="0.75">
      <c r="A378" s="1140"/>
      <c r="B378" s="2" t="s">
        <v>571</v>
      </c>
      <c r="C378" s="559" t="s">
        <v>564</v>
      </c>
      <c r="D378" s="237"/>
      <c r="E378" s="79"/>
      <c r="F378" s="79"/>
      <c r="G378" s="79"/>
      <c r="H378" s="79"/>
      <c r="I378" s="79"/>
      <c r="J378" s="79"/>
      <c r="K378" s="79"/>
      <c r="L378" s="79"/>
      <c r="M378" s="79"/>
      <c r="N378" s="79"/>
      <c r="O378" s="79"/>
      <c r="P378" s="79"/>
      <c r="Q378" s="79"/>
      <c r="R378" s="79"/>
      <c r="S378" s="79"/>
      <c r="T378" s="79"/>
      <c r="U378" s="79"/>
      <c r="V378" s="79"/>
      <c r="W378" s="79"/>
      <c r="X378" s="79"/>
      <c r="Y378" s="79"/>
      <c r="Z378" s="489">
        <f t="shared" si="159"/>
        <v>0</v>
      </c>
      <c r="AA378" s="489">
        <f t="shared" si="160"/>
        <v>0</v>
      </c>
      <c r="AB378" s="79"/>
      <c r="AC378" s="79"/>
      <c r="AD378" s="79"/>
      <c r="AE378" s="79"/>
      <c r="AF378" s="79"/>
      <c r="AG378" s="79"/>
      <c r="AH378" s="79"/>
      <c r="AI378" s="79"/>
      <c r="AJ378" s="173">
        <f t="shared" si="145"/>
        <v>0</v>
      </c>
      <c r="AK378" s="116" t="str">
        <f>IF(AJ359&gt;0,IF(AJ379&lt;1," No Patient was screened for TB",""),"")</f>
        <v/>
      </c>
      <c r="AL378" s="1199"/>
      <c r="AM378" s="31"/>
      <c r="AN378" s="1165"/>
      <c r="AO378" s="13">
        <v>276</v>
      </c>
      <c r="AP378" s="74"/>
      <c r="AQ378" s="75"/>
    </row>
    <row r="379" spans="1:43" ht="25.9" hidden="1" thickBot="1" x14ac:dyDescent="0.8">
      <c r="A379" s="1140"/>
      <c r="B379" s="243" t="s">
        <v>786</v>
      </c>
      <c r="C379" s="560" t="s">
        <v>281</v>
      </c>
      <c r="D379" s="245">
        <f>SUM(D378,D377,D376)</f>
        <v>0</v>
      </c>
      <c r="E379" s="245">
        <f t="shared" ref="E379:Y379" si="163">SUM(E378,E377,E376)</f>
        <v>0</v>
      </c>
      <c r="F379" s="245">
        <f t="shared" si="163"/>
        <v>0</v>
      </c>
      <c r="G379" s="245">
        <f t="shared" si="163"/>
        <v>0</v>
      </c>
      <c r="H379" s="245">
        <f t="shared" si="163"/>
        <v>0</v>
      </c>
      <c r="I379" s="245">
        <f t="shared" si="163"/>
        <v>0</v>
      </c>
      <c r="J379" s="245">
        <f t="shared" si="163"/>
        <v>0</v>
      </c>
      <c r="K379" s="245">
        <f t="shared" si="163"/>
        <v>0</v>
      </c>
      <c r="L379" s="245">
        <f t="shared" si="163"/>
        <v>0</v>
      </c>
      <c r="M379" s="245">
        <f t="shared" si="163"/>
        <v>0</v>
      </c>
      <c r="N379" s="245">
        <f t="shared" si="163"/>
        <v>0</v>
      </c>
      <c r="O379" s="245">
        <f t="shared" si="163"/>
        <v>0</v>
      </c>
      <c r="P379" s="245">
        <f t="shared" si="163"/>
        <v>0</v>
      </c>
      <c r="Q379" s="245">
        <f t="shared" si="163"/>
        <v>0</v>
      </c>
      <c r="R379" s="245">
        <f t="shared" si="163"/>
        <v>0</v>
      </c>
      <c r="S379" s="245">
        <f t="shared" si="163"/>
        <v>0</v>
      </c>
      <c r="T379" s="245">
        <f t="shared" si="163"/>
        <v>0</v>
      </c>
      <c r="U379" s="245">
        <f t="shared" si="163"/>
        <v>0</v>
      </c>
      <c r="V379" s="245">
        <f t="shared" si="163"/>
        <v>0</v>
      </c>
      <c r="W379" s="245">
        <f t="shared" si="163"/>
        <v>0</v>
      </c>
      <c r="X379" s="245">
        <f t="shared" si="163"/>
        <v>0</v>
      </c>
      <c r="Y379" s="245">
        <f t="shared" si="163"/>
        <v>0</v>
      </c>
      <c r="Z379" s="245">
        <f t="shared" ref="Z379" si="164">SUM(Z378,Z377,Z376)</f>
        <v>0</v>
      </c>
      <c r="AA379" s="245">
        <f t="shared" ref="AA379" si="165">SUM(AA378,AA377,AA376)</f>
        <v>0</v>
      </c>
      <c r="AB379" s="245">
        <f t="shared" ref="AB379" si="166">SUM(AB378,AB377,AB376)</f>
        <v>0</v>
      </c>
      <c r="AC379" s="245">
        <f t="shared" ref="AC379" si="167">SUM(AC378,AC377,AC376)</f>
        <v>0</v>
      </c>
      <c r="AD379" s="245">
        <f t="shared" ref="AD379" si="168">SUM(AD378,AD377,AD376)</f>
        <v>0</v>
      </c>
      <c r="AE379" s="245">
        <f t="shared" ref="AE379" si="169">SUM(AE378,AE377,AE376)</f>
        <v>0</v>
      </c>
      <c r="AF379" s="245">
        <f t="shared" ref="AF379" si="170">SUM(AF378,AF377,AF376)</f>
        <v>0</v>
      </c>
      <c r="AG379" s="245">
        <f t="shared" ref="AG379" si="171">SUM(AG378,AG377,AG376)</f>
        <v>0</v>
      </c>
      <c r="AH379" s="245">
        <f t="shared" ref="AH379" si="172">SUM(AH378,AH377,AH376)</f>
        <v>0</v>
      </c>
      <c r="AI379" s="245">
        <f t="shared" ref="AI379" si="173">SUM(AI378,AI377,AI376)</f>
        <v>0</v>
      </c>
      <c r="AJ379" s="192">
        <f t="shared" si="145"/>
        <v>0</v>
      </c>
      <c r="AK379" s="116" t="str">
        <f>CONCATENATE(IF(D379&gt;D359," * Total Screened For TB  for Age "&amp;D20&amp;" "&amp;D21&amp;" is more than Current On ART "&amp;CHAR(10),""),IF(E379&gt;E359," * Total Screened For TB  for Age "&amp;D20&amp;" "&amp;E21&amp;" is more than Current On ART "&amp;CHAR(10),""),IF(F379&gt;F359," * Total Screened For TB  for Age "&amp;F20&amp;" "&amp;F21&amp;" is more than Current On ART "&amp;CHAR(10),""),IF(G379&gt;G359," * Total Screened For TB  for Age "&amp;F20&amp;" "&amp;G21&amp;" is more than Current On ART "&amp;CHAR(10),""),IF(H379&gt;H359," * Total Screened For TB  for Age "&amp;H20&amp;" "&amp;H21&amp;" is more than Current On ART "&amp;CHAR(10),""),IF(I379&gt;I359," * Total Screened For TB  for Age "&amp;H20&amp;" "&amp;I21&amp;" is more than Current On ART "&amp;CHAR(10),""),IF(J379&gt;J359," * Total Screened For TB  for Age "&amp;J20&amp;" "&amp;J21&amp;" is more than Current On ART "&amp;CHAR(10),""),IF(K379&gt;K359," * Total Screened For TB  for Age "&amp;J20&amp;" "&amp;K21&amp;" is more than Current On ART "&amp;CHAR(10),""),IF(L379&gt;L359," * Total Screened For TB  for Age "&amp;L20&amp;" "&amp;L21&amp;" is more than Current On ART "&amp;CHAR(10),""),IF(M379&gt;M359," * Total Screened For TB  for Age "&amp;L20&amp;" "&amp;M21&amp;" is more than Current On ART "&amp;CHAR(10),""),IF(N379&gt;N359," * Total Screened For TB  for Age "&amp;N20&amp;" "&amp;N21&amp;" is more than Current On ART "&amp;CHAR(10),""),IF(O379&gt;O359," * Total Screened For TB  for Age "&amp;N20&amp;" "&amp;O21&amp;" is more than Current On ART "&amp;CHAR(10),""),IF(P379&gt;P359," * Total Screened For TB  for Age "&amp;P20&amp;" "&amp;P21&amp;" is more than Current On ART "&amp;CHAR(10),""),IF(Q379&gt;Q359," * Total Screened For TB  for Age "&amp;P20&amp;" "&amp;Q21&amp;" is more than Current On ART "&amp;CHAR(10),""),IF(R379&gt;R359," * Total Screened For TB  for Age "&amp;R20&amp;" "&amp;R21&amp;" is more than Current On ART "&amp;CHAR(10),""),IF(S379&gt;S359," * Total Screened For TB  for Age "&amp;R20&amp;" "&amp;S21&amp;" is more than Current On ART "&amp;CHAR(10),""),IF(T379&gt;T359," * Total Screened For TB  for Age "&amp;T20&amp;" "&amp;T21&amp;" is more than Current On ART "&amp;CHAR(10),""),IF(U379&gt;U359," * Total Screened For TB  for Age "&amp;T20&amp;" "&amp;U21&amp;" is more than Current On ART "&amp;CHAR(10),""),IF(V379&gt;V359," * Total Screened For TB  for Age "&amp;V20&amp;" "&amp;V21&amp;" is more than Current On ART "&amp;CHAR(10),""),IF(W379&gt;W359," * Total Screened For TB  for Age "&amp;V20&amp;" "&amp;W21&amp;" is more than Current On ART "&amp;CHAR(10),""),IF(X379&gt;X359," * Total Screened For TB  for Age "&amp;X20&amp;" "&amp;X21&amp;" is more than Current On ART "&amp;CHAR(10),""),IF(Y379&gt;Y359," * Total Screened For TB  for Age "&amp;X20&amp;" "&amp;Y21&amp;" is more than Current On ART "&amp;CHAR(10),""),IF(Z379&gt;Z359," * Total Screened For TB  for Age "&amp;Z20&amp;" "&amp;Z21&amp;" is more than Current On ART "&amp;CHAR(10),""),IF(AA379&gt;AA359," * Total Screened For TB  for Age "&amp;Z20&amp;" "&amp;AA21&amp;" is more than Current On ART "&amp;CHAR(10),""))</f>
        <v/>
      </c>
      <c r="AL379" s="1199"/>
      <c r="AM379" s="31" t="str">
        <f>CONCATENATE(IF(D379&lt;D359," * Screened for TB for Age "&amp;D20&amp;" "&amp;D21&amp;" is less than Current On ART"&amp;CHAR(10),""),IF(E379&lt;E359," * Screened for TB for Age "&amp;D20&amp;" "&amp;E21&amp;" is less than Current On ART"&amp;CHAR(10),""),IF(F379&lt;F359," * Screened for TB for Age "&amp;F20&amp;" "&amp;F21&amp;" is less than Current On ART"&amp;CHAR(10),""),IF(G379&lt;G359," * Screened for TB for Age "&amp;F20&amp;" "&amp;G21&amp;" is less than Current On ART"&amp;CHAR(10),""),IF(H379&lt;H359," * Screened for TB for Age "&amp;H20&amp;" "&amp;H21&amp;" is less than Current On ART"&amp;CHAR(10),""),IF(I379&lt;I359," * Screened for TB for Age "&amp;H20&amp;" "&amp;I21&amp;" is less than Current On ART"&amp;CHAR(10),""),IF(J379&lt;J359," * Screened for TB for Age "&amp;J20&amp;" "&amp;J21&amp;" is less than Current On ART"&amp;CHAR(10),""),IF(K379&lt;K359," * Screened for TB for Age "&amp;J20&amp;" "&amp;K21&amp;" is less than Current On ART"&amp;CHAR(10),""),IF(L379&lt;L359," * Screened for TB for Age "&amp;L20&amp;" "&amp;L21&amp;" is less than Current On ART"&amp;CHAR(10),""),IF(M379&lt;M359," * Screened for TB for Age "&amp;L20&amp;" "&amp;M21&amp;" is less than Current On ART"&amp;CHAR(10),""),IF(N379&lt;N359," * Screened for TB for Age "&amp;N20&amp;" "&amp;N21&amp;" is less than Current On ART"&amp;CHAR(10),""),IF(O379&lt;O359," * Screened for TB for Age "&amp;N20&amp;" "&amp;O21&amp;" is less than Current On ART"&amp;CHAR(10),""),IF(P379&lt;P359," * Screened for TB for Age "&amp;P20&amp;" "&amp;P21&amp;" is less than Current On ART"&amp;CHAR(10),""),IF(Q379&lt;Q359," * Screened for TB for Age "&amp;P20&amp;" "&amp;Q21&amp;" is less than Current On ART"&amp;CHAR(10),""),IF(R379&lt;R359," * Screened for TB for Age "&amp;R20&amp;" "&amp;R21&amp;" is less than Current On ART"&amp;CHAR(10),""),IF(S379&lt;S359," * Screened for TB for Age "&amp;R20&amp;" "&amp;S21&amp;" is less than Current On ART"&amp;CHAR(10),""),IF(T379&lt;T359," * Screened for TB for Age "&amp;T20&amp;" "&amp;T21&amp;" is less than Current On ART"&amp;CHAR(10),""),IF(U379&lt;U359," * Screened for TB for Age "&amp;T20&amp;" "&amp;U21&amp;" is less than Current On ART"&amp;CHAR(10),""),IF(V379&lt;V359," * Screened for TB for Age "&amp;V20&amp;" "&amp;V21&amp;" is less than Current On ART"&amp;CHAR(10),""),IF(W379&lt;W359," * Screened for TB for Age "&amp;V20&amp;" "&amp;W21&amp;" is less than Current On ART"&amp;CHAR(10),""),IF(X379&lt;X359," * Screened for TB for Age "&amp;X20&amp;" "&amp;X21&amp;" is less than Current On ART"&amp;CHAR(10),""),IF(Y379&lt;Y359," * Screened for TB for Age "&amp;X20&amp;" "&amp;Y21&amp;" is less than Current On ART"&amp;CHAR(10),""),IF(Z379&lt;Z359," * Screened for TB for Age "&amp;Z20&amp;" "&amp;Z21&amp;" is less than Current On ART"&amp;CHAR(10),""),IF(AA379&lt;AA359," * Screened for TB for Age "&amp;Z20&amp;" "&amp;AA21&amp;" is less than Current On ART"&amp;CHAR(10),""))</f>
        <v/>
      </c>
      <c r="AN379" s="1165"/>
      <c r="AO379" s="13">
        <v>277</v>
      </c>
      <c r="AP379" s="74"/>
      <c r="AQ379" s="75"/>
    </row>
    <row r="380" spans="1:43" ht="25.5" hidden="1" x14ac:dyDescent="0.75">
      <c r="A380" s="1140"/>
      <c r="B380" s="1" t="s">
        <v>955</v>
      </c>
      <c r="C380" s="558" t="s">
        <v>565</v>
      </c>
      <c r="D380" s="236"/>
      <c r="E380" s="94"/>
      <c r="F380" s="94"/>
      <c r="G380" s="94"/>
      <c r="H380" s="94"/>
      <c r="I380" s="94"/>
      <c r="J380" s="94"/>
      <c r="K380" s="94"/>
      <c r="L380" s="94"/>
      <c r="M380" s="94"/>
      <c r="N380" s="94"/>
      <c r="O380" s="94"/>
      <c r="P380" s="94"/>
      <c r="Q380" s="94"/>
      <c r="R380" s="94"/>
      <c r="S380" s="94"/>
      <c r="T380" s="94"/>
      <c r="U380" s="94"/>
      <c r="V380" s="94"/>
      <c r="W380" s="94"/>
      <c r="X380" s="94"/>
      <c r="Y380" s="94"/>
      <c r="Z380" s="489">
        <f t="shared" si="159"/>
        <v>0</v>
      </c>
      <c r="AA380" s="489">
        <f t="shared" si="160"/>
        <v>0</v>
      </c>
      <c r="AB380" s="94"/>
      <c r="AC380" s="94"/>
      <c r="AD380" s="94"/>
      <c r="AE380" s="94"/>
      <c r="AF380" s="94"/>
      <c r="AG380" s="94"/>
      <c r="AH380" s="94"/>
      <c r="AI380" s="94"/>
      <c r="AJ380" s="188">
        <f t="shared" si="145"/>
        <v>0</v>
      </c>
      <c r="AK380" s="116"/>
      <c r="AL380" s="1199"/>
      <c r="AM380" s="31"/>
      <c r="AN380" s="1165"/>
      <c r="AO380" s="13">
        <v>278</v>
      </c>
      <c r="AP380" s="74"/>
      <c r="AQ380" s="75"/>
    </row>
    <row r="381" spans="1:43" s="61" customFormat="1" ht="25.5" hidden="1" x14ac:dyDescent="0.75">
      <c r="A381" s="1140"/>
      <c r="B381" s="2" t="s">
        <v>956</v>
      </c>
      <c r="C381" s="559" t="s">
        <v>566</v>
      </c>
      <c r="D381" s="237"/>
      <c r="E381" s="79"/>
      <c r="F381" s="79"/>
      <c r="G381" s="79"/>
      <c r="H381" s="79"/>
      <c r="I381" s="79"/>
      <c r="J381" s="79"/>
      <c r="K381" s="79"/>
      <c r="L381" s="79"/>
      <c r="M381" s="79"/>
      <c r="N381" s="79"/>
      <c r="O381" s="79"/>
      <c r="P381" s="79"/>
      <c r="Q381" s="79"/>
      <c r="R381" s="79"/>
      <c r="S381" s="79"/>
      <c r="T381" s="79"/>
      <c r="U381" s="79"/>
      <c r="V381" s="79"/>
      <c r="W381" s="79"/>
      <c r="X381" s="79"/>
      <c r="Y381" s="79"/>
      <c r="Z381" s="489">
        <f t="shared" si="159"/>
        <v>0</v>
      </c>
      <c r="AA381" s="489">
        <f t="shared" si="160"/>
        <v>0</v>
      </c>
      <c r="AB381" s="79"/>
      <c r="AC381" s="79"/>
      <c r="AD381" s="79"/>
      <c r="AE381" s="79"/>
      <c r="AF381" s="79"/>
      <c r="AG381" s="79"/>
      <c r="AH381" s="79"/>
      <c r="AI381" s="79"/>
      <c r="AJ381" s="173">
        <f t="shared" si="145"/>
        <v>0</v>
      </c>
      <c r="AK381" s="116"/>
      <c r="AL381" s="1199"/>
      <c r="AM381" s="60"/>
      <c r="AN381" s="1165"/>
      <c r="AO381" s="13">
        <v>279</v>
      </c>
      <c r="AP381" s="80"/>
      <c r="AQ381" s="75"/>
    </row>
    <row r="382" spans="1:43" ht="25.5" hidden="1" x14ac:dyDescent="0.75">
      <c r="A382" s="1140"/>
      <c r="B382" s="2" t="s">
        <v>957</v>
      </c>
      <c r="C382" s="559" t="s">
        <v>567</v>
      </c>
      <c r="D382" s="237"/>
      <c r="E382" s="79"/>
      <c r="F382" s="79"/>
      <c r="G382" s="79"/>
      <c r="H382" s="79"/>
      <c r="I382" s="79"/>
      <c r="J382" s="79"/>
      <c r="K382" s="79"/>
      <c r="L382" s="79"/>
      <c r="M382" s="79"/>
      <c r="N382" s="79"/>
      <c r="O382" s="79"/>
      <c r="P382" s="79"/>
      <c r="Q382" s="79"/>
      <c r="R382" s="79"/>
      <c r="S382" s="79"/>
      <c r="T382" s="79"/>
      <c r="U382" s="79"/>
      <c r="V382" s="79"/>
      <c r="W382" s="79"/>
      <c r="X382" s="79"/>
      <c r="Y382" s="79"/>
      <c r="Z382" s="489">
        <f t="shared" si="159"/>
        <v>0</v>
      </c>
      <c r="AA382" s="489">
        <f t="shared" si="160"/>
        <v>0</v>
      </c>
      <c r="AB382" s="79"/>
      <c r="AC382" s="79"/>
      <c r="AD382" s="79"/>
      <c r="AE382" s="79"/>
      <c r="AF382" s="79"/>
      <c r="AG382" s="79"/>
      <c r="AH382" s="79"/>
      <c r="AI382" s="79"/>
      <c r="AJ382" s="173">
        <f t="shared" si="145"/>
        <v>0</v>
      </c>
      <c r="AK382" s="116"/>
      <c r="AL382" s="1199"/>
      <c r="AM382" s="31"/>
      <c r="AN382" s="1165"/>
      <c r="AO382" s="13">
        <v>280</v>
      </c>
      <c r="AP382" s="74"/>
      <c r="AQ382" s="75"/>
    </row>
    <row r="383" spans="1:43" ht="32.25" hidden="1" customHeight="1" thickBot="1" x14ac:dyDescent="0.8">
      <c r="A383" s="1140"/>
      <c r="B383" s="243" t="s">
        <v>787</v>
      </c>
      <c r="C383" s="560" t="s">
        <v>573</v>
      </c>
      <c r="D383" s="246">
        <f t="shared" ref="D383:Y383" si="174">SUM(D380:D382)</f>
        <v>0</v>
      </c>
      <c r="E383" s="246">
        <f t="shared" si="174"/>
        <v>0</v>
      </c>
      <c r="F383" s="246">
        <f t="shared" si="174"/>
        <v>0</v>
      </c>
      <c r="G383" s="246">
        <f t="shared" si="174"/>
        <v>0</v>
      </c>
      <c r="H383" s="246">
        <f t="shared" si="174"/>
        <v>0</v>
      </c>
      <c r="I383" s="246">
        <f t="shared" si="174"/>
        <v>0</v>
      </c>
      <c r="J383" s="246">
        <f t="shared" si="174"/>
        <v>0</v>
      </c>
      <c r="K383" s="246">
        <f t="shared" si="174"/>
        <v>0</v>
      </c>
      <c r="L383" s="246">
        <f t="shared" si="174"/>
        <v>0</v>
      </c>
      <c r="M383" s="246">
        <f t="shared" si="174"/>
        <v>0</v>
      </c>
      <c r="N383" s="246">
        <f t="shared" si="174"/>
        <v>0</v>
      </c>
      <c r="O383" s="246">
        <f t="shared" si="174"/>
        <v>0</v>
      </c>
      <c r="P383" s="246">
        <f t="shared" si="174"/>
        <v>0</v>
      </c>
      <c r="Q383" s="246">
        <f t="shared" si="174"/>
        <v>0</v>
      </c>
      <c r="R383" s="246">
        <f t="shared" si="174"/>
        <v>0</v>
      </c>
      <c r="S383" s="246">
        <f t="shared" si="174"/>
        <v>0</v>
      </c>
      <c r="T383" s="246">
        <f t="shared" si="174"/>
        <v>0</v>
      </c>
      <c r="U383" s="246">
        <f t="shared" si="174"/>
        <v>0</v>
      </c>
      <c r="V383" s="246">
        <f t="shared" si="174"/>
        <v>0</v>
      </c>
      <c r="W383" s="246">
        <f t="shared" si="174"/>
        <v>0</v>
      </c>
      <c r="X383" s="246">
        <f t="shared" si="174"/>
        <v>0</v>
      </c>
      <c r="Y383" s="246">
        <f t="shared" si="174"/>
        <v>0</v>
      </c>
      <c r="Z383" s="489">
        <f t="shared" si="159"/>
        <v>0</v>
      </c>
      <c r="AA383" s="489">
        <f t="shared" si="160"/>
        <v>0</v>
      </c>
      <c r="AB383" s="246">
        <f t="shared" ref="AB383:AI383" si="175">SUM(AB380:AB382)</f>
        <v>0</v>
      </c>
      <c r="AC383" s="246">
        <f t="shared" si="175"/>
        <v>0</v>
      </c>
      <c r="AD383" s="246">
        <f t="shared" si="175"/>
        <v>0</v>
      </c>
      <c r="AE383" s="246">
        <f t="shared" si="175"/>
        <v>0</v>
      </c>
      <c r="AF383" s="246">
        <f t="shared" si="175"/>
        <v>0</v>
      </c>
      <c r="AG383" s="246">
        <f t="shared" si="175"/>
        <v>0</v>
      </c>
      <c r="AH383" s="246">
        <f t="shared" si="175"/>
        <v>0</v>
      </c>
      <c r="AI383" s="246">
        <f t="shared" si="175"/>
        <v>0</v>
      </c>
      <c r="AJ383" s="192">
        <f t="shared" si="145"/>
        <v>0</v>
      </c>
      <c r="AK383" s="30" t="str">
        <f>CONCATENATE(IF(D384&gt;D383," *  Positive Result Returned For bacteriologic diagnosis "&amp;$D$20&amp;" "&amp;$D$21&amp;" is more than Total Patients whose specimens were sent"&amp;CHAR(10),""),IF(E384&gt;E383," *  Positive Result Returned For bacteriologic diagnosis "&amp;$D$20&amp;" "&amp;$E$21&amp;" is more than Total Patients whose specimens were sent"&amp;CHAR(10),""),IF(F384&gt;F383," *  Positive Result Returned For bacteriologic diagnosis "&amp;$F$20&amp;" "&amp;$F$21&amp;" is more than Total Patients whose specimens were sent"&amp;CHAR(10),""),IF(G384&gt;G383," *  Positive Result Returned For bacteriologic diagnosis "&amp;$F$20&amp;" "&amp;$G$21&amp;" is more than Total Patients whose specimens were sent"&amp;CHAR(10),""),IF(H384&gt;H383," *  Positive Result Returned For bacteriologic diagnosis "&amp;$H$20&amp;" "&amp;$H$21&amp;" is more than Total Patients whose specimens were sent"&amp;CHAR(10),""),IF(I384&gt;I383," *  Positive Result Returned For bacteriologic diagnosis "&amp;$H$20&amp;" "&amp;$I$21&amp;" is more than Total Patients whose specimens were sent"&amp;CHAR(10),""),IF(J384&gt;J383," *  Positive Result Returned For bacteriologic diagnosis "&amp;$J$20&amp;" "&amp;$J$21&amp;" is more than Total Patients whose specimens were sent"&amp;CHAR(10),""),IF(K384&gt;K383," *  Positive Result Returned For bacteriologic diagnosis "&amp;$J$20&amp;" "&amp;$K$21&amp;" is more than Total Patients whose specimens were sent"&amp;CHAR(10),""),IF(L384&gt;L383," *  Positive Result Returned For bacteriologic diagnosis "&amp;$L$20&amp;" "&amp;$L$21&amp;" is more than Total Patients whose specimens were sent"&amp;CHAR(10),""),IF(M384&gt;M383," *  Positive Result Returned For bacteriologic diagnosis "&amp;$L$20&amp;" "&amp;$M$21&amp;" is more than Total Patients whose specimens were sent"&amp;CHAR(10),""),IF(N384&gt;N383," *  Positive Result Returned For bacteriologic diagnosis "&amp;$N$20&amp;" "&amp;$N$21&amp;" is more than Total Patients whose specimens were sent"&amp;CHAR(10),""),IF(O384&gt;O383," *  Positive Result Returned For bacteriologic diagnosis "&amp;$N$20&amp;" "&amp;$O$21&amp;" is more than Total Patients whose specimens were sent"&amp;CHAR(10),""),IF(P384&gt;P383," *  Positive Result Returned For bacteriologic diagnosis "&amp;$P$20&amp;" "&amp;$P$21&amp;" is more than Total Patients whose specimens were sent"&amp;CHAR(10),""),IF(Q384&gt;Q383," *  Positive Result Returned For bacteriologic diagnosis "&amp;$P$20&amp;" "&amp;$Q$21&amp;" is more than Total Patients whose specimens were sent"&amp;CHAR(10),""),IF(R384&gt;R383," *  Positive Result Returned For bacteriologic diagnosis "&amp;$R$20&amp;" "&amp;$R$21&amp;" is more than Total Patients whose specimens were sent"&amp;CHAR(10),""),IF(S384&gt;S383," *  Positive Result Returned For bacteriologic diagnosis "&amp;$R$20&amp;" "&amp;$S$21&amp;" is more than Total Patients whose specimens were sent"&amp;CHAR(10),""),IF(T384&gt;T383," *  Positive Result Returned For bacteriologic diagnosis "&amp;$T$20&amp;" "&amp;$T$21&amp;" is more than Total Patients whose specimens were sent"&amp;CHAR(10),""),IF(U384&gt;U383," *  Positive Result Returned For bacteriologic diagnosis "&amp;$T$20&amp;" "&amp;$U$21&amp;" is more than Total Patients whose specimens were sent"&amp;CHAR(10),""),IF(V384&gt;V383," *  Positive Result Returned For bacteriologic diagnosis "&amp;$V$20&amp;" "&amp;$V$21&amp;" is more than Total Patients whose specimens were sent"&amp;CHAR(10),""),IF(W384&gt;W383," *  Positive Result Returned For bacteriologic diagnosis "&amp;$V$20&amp;" "&amp;$W$21&amp;" is more than Total Patients whose specimens were sent"&amp;CHAR(10),""),IF(X384&gt;X383," *  Positive Result Returned For bacteriologic diagnosis "&amp;$X$20&amp;" "&amp;$X$21&amp;" is more than Total Patients whose specimens were sent"&amp;CHAR(10),""),IF(Y384&gt;Y383," *  Positive Result Returned For bacteriologic diagnosis "&amp;$X$20&amp;" "&amp;$Y$21&amp;" is more than Total Patients whose specimens were sent"&amp;CHAR(10),""),IF(Z384&gt;Z383," *  Positive Result Returned For bacteriologic diagnosis "&amp;$Z$20&amp;" "&amp;$Z$21&amp;" is more than Total Patients whose specimens were sent"&amp;CHAR(10),""),IF(AA384&gt;AA383," *  Positive Result Returned For bacteriologic diagnosis "&amp;$Z$20&amp;" "&amp;$AA$21&amp;" is more than Total Patients whose specimens were sent"&amp;CHAR(10),""))</f>
        <v/>
      </c>
      <c r="AL383" s="1199"/>
      <c r="AM383" s="31"/>
      <c r="AN383" s="1165"/>
      <c r="AO383" s="13">
        <v>281</v>
      </c>
      <c r="AP383" s="74"/>
      <c r="AQ383" s="75"/>
    </row>
    <row r="384" spans="1:43" ht="51.4" hidden="1" thickBot="1" x14ac:dyDescent="0.8">
      <c r="A384" s="1141"/>
      <c r="B384" s="979" t="s">
        <v>572</v>
      </c>
      <c r="C384" s="554" t="s">
        <v>574</v>
      </c>
      <c r="D384" s="947"/>
      <c r="E384" s="947"/>
      <c r="F384" s="947"/>
      <c r="G384" s="947"/>
      <c r="H384" s="947"/>
      <c r="I384" s="947"/>
      <c r="J384" s="947"/>
      <c r="K384" s="947"/>
      <c r="L384" s="947"/>
      <c r="M384" s="947"/>
      <c r="N384" s="947"/>
      <c r="O384" s="947"/>
      <c r="P384" s="947"/>
      <c r="Q384" s="947"/>
      <c r="R384" s="947"/>
      <c r="S384" s="947"/>
      <c r="T384" s="947"/>
      <c r="U384" s="947"/>
      <c r="V384" s="947"/>
      <c r="W384" s="947"/>
      <c r="X384" s="947"/>
      <c r="Y384" s="947"/>
      <c r="Z384" s="518">
        <f t="shared" ref="Z384" si="176">SUM(AB384,AD384,AF384,AH384)</f>
        <v>0</v>
      </c>
      <c r="AA384" s="518">
        <f t="shared" ref="AA384" si="177">SUM(AC384,AE384,AG384,AI384)</f>
        <v>0</v>
      </c>
      <c r="AB384" s="947"/>
      <c r="AC384" s="947"/>
      <c r="AD384" s="947"/>
      <c r="AE384" s="947"/>
      <c r="AF384" s="947"/>
      <c r="AG384" s="947"/>
      <c r="AH384" s="947"/>
      <c r="AI384" s="947"/>
      <c r="AJ384" s="378">
        <f t="shared" si="145"/>
        <v>0</v>
      </c>
      <c r="AK384" s="30" t="str">
        <f>CONCATENATE(IF(D376&lt;D383," *  Total Screening positive for TB ( Presumptive TB Clients ) "&amp;$D$20&amp;" "&amp;$D$21&amp;" is less than Total Patients whose specimens were sent"&amp;CHAR(10),""),IF(E376&lt;E383," *  Total Screening positive for TB ( Presumptive TB Clients ) "&amp;$D$20&amp;" "&amp;$E$21&amp;" is less than Total Patients whose specimens were sent"&amp;CHAR(10),""),IF(F376&lt;F383," *  Total Screening positive for TB ( Presumptive TB Clients ) "&amp;$F$20&amp;" "&amp;$F$21&amp;" is less than Total Patients whose specimens were sent"&amp;CHAR(10),""),IF(G376&lt;G383," *  Total Screening positive for TB ( Presumptive TB Clients ) "&amp;$F$20&amp;" "&amp;$G$21&amp;" is less than Total Patients whose specimens were sent"&amp;CHAR(10),""),IF(H376&lt;H383," *  Total Screening positive for TB ( Presumptive TB Clients ) "&amp;$H$20&amp;" "&amp;$H$21&amp;" is less than Total Patients whose specimens were sent"&amp;CHAR(10),""),IF(I376&lt;I383," *  Total Screening positive for TB ( Presumptive TB Clients ) "&amp;$H$20&amp;" "&amp;$I$21&amp;" is less than Total Patients whose specimens were sent"&amp;CHAR(10),""),IF(J376&lt;J383," *  Total Screening positive for TB ( Presumptive TB Clients ) "&amp;$J$20&amp;" "&amp;$J$21&amp;" is less than Total Patients whose specimens were sent"&amp;CHAR(10),""),IF(K376&lt;K383," *  Total Screening positive for TB ( Presumptive TB Clients ) "&amp;$J$20&amp;" "&amp;$K$21&amp;" is less than Total Patients whose specimens were sent"&amp;CHAR(10),""),IF(L376&lt;L383," *  Total Screening positive for TB ( Presumptive TB Clients ) "&amp;$L$20&amp;" "&amp;$L$21&amp;" is less than Total Patients whose specimens were sent"&amp;CHAR(10),""),IF(M376&lt;M383," *  Total Screening positive for TB ( Presumptive TB Clients ) "&amp;$L$20&amp;" "&amp;$M$21&amp;" is less than Total Patients whose specimens were sent"&amp;CHAR(10),""),IF(N376&lt;N383," *  Total Screening positive for TB ( Presumptive TB Clients ) "&amp;$N$20&amp;" "&amp;$N$21&amp;" is less than Total Patients whose specimens were sent"&amp;CHAR(10),""),IF(O376&lt;O383," *  Total Screening positive for TB ( Presumptive TB Clients ) "&amp;$N$20&amp;" "&amp;$O$21&amp;" is less than Total Patients whose specimens were sent"&amp;CHAR(10),""),IF(P376&lt;P383," *  Total Screening positive for TB ( Presumptive TB Clients ) "&amp;$P$20&amp;" "&amp;$P$21&amp;" is less than Total Patients whose specimens were sent"&amp;CHAR(10),""),IF(Q376&lt;Q383," *  Total Screening positive for TB ( Presumptive TB Clients ) "&amp;$P$20&amp;" "&amp;$Q$21&amp;" is less than Total Patients whose specimens were sent"&amp;CHAR(10),""),IF(R376&lt;R383," *  Total Screening positive for TB ( Presumptive TB Clients ) "&amp;$R$20&amp;" "&amp;$R$21&amp;" is less than Total Patients whose specimens were sent"&amp;CHAR(10),""),IF(S376&lt;S383," *  Total Screening positive for TB ( Presumptive TB Clients ) "&amp;$R$20&amp;" "&amp;$S$21&amp;" is less than Total Patients whose specimens were sent"&amp;CHAR(10),""),IF(T376&lt;T383," *  Total Screening positive for TB ( Presumptive TB Clients ) "&amp;$T$20&amp;" "&amp;$T$21&amp;" is less than Total Patients whose specimens were sent"&amp;CHAR(10),""),IF(U376&lt;U383," *  Total Screening positive for TB ( Presumptive TB Clients ) "&amp;$T$20&amp;" "&amp;$U$21&amp;" is less than Total Patients whose specimens were sent"&amp;CHAR(10),""),IF(V376&lt;V383," *  Total Screening positive for TB ( Presumptive TB Clients ) "&amp;$V$20&amp;" "&amp;$V$21&amp;" is less than Total Patients whose specimens were sent"&amp;CHAR(10),""),IF(W376&lt;W383," *  Total Screening positive for TB ( Presumptive TB Clients ) "&amp;$V$20&amp;" "&amp;$W$21&amp;" is less than Total Patients whose specimens were sent"&amp;CHAR(10),""),IF(X376&lt;X383," *  Total Screening positive for TB ( Presumptive TB Clients ) "&amp;$X$20&amp;" "&amp;$X$21&amp;" is less than Total Patients whose specimens were sent"&amp;CHAR(10),""),IF(Y376&lt;Y383," *  Total Screening positive for TB ( Presumptive TB Clients ) "&amp;$X$20&amp;" "&amp;$Y$21&amp;" is less than Total Patients whose specimens were sent"&amp;CHAR(10),""),IF(Z376&lt;Z383," *  Total Screening positive for TB ( Presumptive TB Clients ) "&amp;$Z$20&amp;" "&amp;$Z$21&amp;" is less than Total Patients whose specimens were sent"&amp;CHAR(10),""),IF(AA376&lt;AA383," *  Total Screening positive for TB ( Presumptive TB Clients ) "&amp;$Z$20&amp;" "&amp;$AA$21&amp;" is less than Total Patients whose specimens were sent"&amp;CHAR(10),""))</f>
        <v/>
      </c>
      <c r="AL384" s="1199"/>
      <c r="AM384" s="31"/>
      <c r="AN384" s="1165"/>
      <c r="AO384" s="13">
        <v>282</v>
      </c>
      <c r="AP384" s="74"/>
      <c r="AQ384" s="75"/>
    </row>
    <row r="385" spans="1:43" ht="25.5" hidden="1" x14ac:dyDescent="0.75">
      <c r="A385" s="1103" t="s">
        <v>1293</v>
      </c>
      <c r="B385" s="989" t="s">
        <v>1294</v>
      </c>
      <c r="C385" s="1000" t="s">
        <v>1297</v>
      </c>
      <c r="D385" s="619"/>
      <c r="E385" s="619"/>
      <c r="F385" s="619"/>
      <c r="G385" s="619"/>
      <c r="H385" s="619"/>
      <c r="I385" s="619"/>
      <c r="J385" s="619"/>
      <c r="K385" s="619"/>
      <c r="L385" s="619"/>
      <c r="M385" s="619"/>
      <c r="N385" s="619"/>
      <c r="O385" s="619"/>
      <c r="P385" s="619"/>
      <c r="Q385" s="619"/>
      <c r="R385" s="619"/>
      <c r="S385" s="619"/>
      <c r="T385" s="619"/>
      <c r="U385" s="619"/>
      <c r="V385" s="619"/>
      <c r="W385" s="619"/>
      <c r="X385" s="619"/>
      <c r="Y385" s="619"/>
      <c r="Z385" s="998"/>
      <c r="AA385" s="998"/>
      <c r="AB385" s="619"/>
      <c r="AC385" s="619"/>
      <c r="AD385" s="619"/>
      <c r="AE385" s="619"/>
      <c r="AF385" s="619"/>
      <c r="AG385" s="619"/>
      <c r="AH385" s="619"/>
      <c r="AI385" s="619"/>
      <c r="AJ385" s="687">
        <f t="shared" si="145"/>
        <v>0</v>
      </c>
      <c r="AK385" s="30" t="str">
        <f>CONCATENATE(IF(D379&lt;&gt;(D385+D386+D387)," * Total "&amp;A385&amp;" "&amp;$D$20&amp;" "&amp;$D$21&amp;" should be equal to "&amp;B379&amp;""&amp;CHAR(10),""),IF(E379&lt;&gt;(E385+E386+E387)," * Total "&amp;A385&amp;" "&amp;$D$20&amp;" "&amp;$E$21&amp;" should be equal to  "&amp;B379&amp;""&amp;CHAR(10),""),IF(F379&lt;&gt;(F385+F386+F387)," * Total "&amp;A385&amp;" "&amp;$F$20&amp;" "&amp;$F$21&amp;" should be equal to  "&amp;B379&amp;""&amp;CHAR(10),""),IF(G379&lt;&gt;(G385+G386+G387)," * Total "&amp;A385&amp;" "&amp;$F$20&amp;" "&amp;$G$21&amp;" should be equal to  "&amp;B379&amp;""&amp;CHAR(10),""),IF(H379&lt;&gt;(H385+H386+H387)," * Total "&amp;A385&amp;" "&amp;$H$20&amp;" "&amp;$H$21&amp;" should be equal to  "&amp;B379&amp;""&amp;CHAR(10),""),IF(I379&lt;&gt;(I385+I386+I387)," * Total "&amp;A385&amp;" "&amp;$H$20&amp;" "&amp;$I$21&amp;" should be equal to  "&amp;B379&amp;""&amp;CHAR(10),""),IF(J379&lt;&gt;(J385+J386+J387)," * Total "&amp;A385&amp;" "&amp;$J$20&amp;" "&amp;$J$21&amp;" should be equal to  "&amp;B379&amp;""&amp;CHAR(10),""),IF(K379&lt;&gt;(K385+K386+K387)," * Total "&amp;A385&amp;" "&amp;$J$20&amp;" "&amp;$K$21&amp;" should be equal to  "&amp;B379&amp;""&amp;CHAR(10),""),IF(L379&lt;&gt;(L385+L386+L387)," * Total "&amp;A385&amp;" "&amp;$L$20&amp;" "&amp;$L$21&amp;" should be equal to  "&amp;B379&amp;""&amp;CHAR(10),""),IF(M379&lt;&gt;(M385+M386+M387)," * Total "&amp;A385&amp;" "&amp;$L$20&amp;" "&amp;$M$21&amp;" should be equal to  "&amp;B379&amp;""&amp;CHAR(10),""),IF(N379&lt;&gt;(N385+N386+N387)," * Total "&amp;A385&amp;" "&amp;$N$20&amp;" "&amp;$N$21&amp;" should be equal to  "&amp;B379&amp;""&amp;CHAR(10),""),IF(O379&lt;&gt;(O385+O386+O387)," * Total "&amp;A385&amp;" "&amp;$N$20&amp;" "&amp;$O$21&amp;" should be equal to  "&amp;B379&amp;""&amp;CHAR(10),""),IF(P379&lt;&gt;(P385+P386+P387)," * Total "&amp;A385&amp;" "&amp;$P$20&amp;" "&amp;$P$21&amp;" should be equal to  "&amp;B379&amp;""&amp;CHAR(10),""),IF(Q379&lt;&gt;(Q385+Q386+Q387)," * Total "&amp;A385&amp;" "&amp;$P$20&amp;" "&amp;$Q$21&amp;" should be equal to  "&amp;B379&amp;""&amp;CHAR(10),""),IF(R379&lt;&gt;(R385+R386+R387)," * Total "&amp;A385&amp;" "&amp;$R$20&amp;" "&amp;$R$21&amp;" should be equal to  "&amp;B379&amp;""&amp;CHAR(10),""),IF(S379&lt;&gt;(S385+S386+S387)," * Total "&amp;A385&amp;" "&amp;$R$20&amp;" "&amp;$S$21&amp;" should be equal to  "&amp;B379&amp;""&amp;CHAR(10),""),IF(T379&lt;&gt;(T385+T386+T387)," * Total "&amp;A385&amp;" "&amp;$T$20&amp;" "&amp;$T$21&amp;" should be equal to  "&amp;B379&amp;""&amp;CHAR(10),""),IF(U379&lt;&gt;(U385+U386+U387)," * Total "&amp;A385&amp;" "&amp;$T$20&amp;" "&amp;$U$21&amp;" should be equal to  "&amp;B379&amp;""&amp;CHAR(10),""),IF(V379&lt;&gt;(V385+V386+V387)," * Total "&amp;A385&amp;" "&amp;$V$20&amp;" "&amp;$V$21&amp;" should be equal to  "&amp;B379&amp;""&amp;CHAR(10),""),IF(W379&lt;&gt;(W385+W386+W387)," * Total "&amp;A385&amp;" "&amp;$V$20&amp;" "&amp;$W$21&amp;" should be equal to  "&amp;B379&amp;""&amp;CHAR(10),""),IF(X379&lt;&gt;(X385+X386+X387)," * Total "&amp;A385&amp;" "&amp;$X$20&amp;" "&amp;$X$21&amp;" should be equal to  "&amp;B379&amp;""&amp;CHAR(10),""),IF(Y379&lt;&gt;(Y385+Y386+Y387)," * Total "&amp;A385&amp;" "&amp;$X$20&amp;" "&amp;$Y$21&amp;" should be equal to  "&amp;B379&amp;""&amp;CHAR(10),""),IF(Z379&lt;&gt;(Z385+Z386+Z387)," * Total "&amp;A385&amp;" "&amp;$Z$20&amp;" "&amp;$Z$21&amp;" should be equal to  "&amp;B379&amp;""&amp;CHAR(10),""),IF(AA379&lt;&gt;(AA385+AA386+AA387)," * Total "&amp;A385&amp;" "&amp;$Z$20&amp;" "&amp;$AA$21&amp;" should be equal to  "&amp;B379&amp;""&amp;CHAR(10),""))</f>
        <v/>
      </c>
      <c r="AL385" s="1199"/>
      <c r="AM385" s="31"/>
      <c r="AN385" s="1165"/>
      <c r="AO385" s="13"/>
      <c r="AP385" s="74"/>
      <c r="AQ385" s="75"/>
    </row>
    <row r="386" spans="1:43" ht="25.5" hidden="1" x14ac:dyDescent="0.75">
      <c r="A386" s="1104"/>
      <c r="B386" s="990" t="s">
        <v>1312</v>
      </c>
      <c r="C386" s="1001" t="s">
        <v>1298</v>
      </c>
      <c r="D386" s="657"/>
      <c r="E386" s="657"/>
      <c r="F386" s="657"/>
      <c r="G386" s="657"/>
      <c r="H386" s="657"/>
      <c r="I386" s="657"/>
      <c r="J386" s="657"/>
      <c r="K386" s="657"/>
      <c r="L386" s="657"/>
      <c r="M386" s="657"/>
      <c r="N386" s="657"/>
      <c r="O386" s="657"/>
      <c r="P386" s="657"/>
      <c r="Q386" s="657"/>
      <c r="R386" s="657"/>
      <c r="S386" s="657"/>
      <c r="T386" s="657"/>
      <c r="U386" s="657"/>
      <c r="V386" s="657"/>
      <c r="W386" s="657"/>
      <c r="X386" s="657"/>
      <c r="Y386" s="657"/>
      <c r="Z386" s="606"/>
      <c r="AA386" s="606"/>
      <c r="AB386" s="657"/>
      <c r="AC386" s="657"/>
      <c r="AD386" s="657"/>
      <c r="AE386" s="657"/>
      <c r="AF386" s="657"/>
      <c r="AG386" s="657"/>
      <c r="AH386" s="657"/>
      <c r="AI386" s="657"/>
      <c r="AJ386" s="709">
        <f t="shared" si="145"/>
        <v>0</v>
      </c>
      <c r="AK386" s="30"/>
      <c r="AL386" s="1199"/>
      <c r="AM386" s="31"/>
      <c r="AN386" s="1165"/>
      <c r="AO386" s="13"/>
      <c r="AP386" s="74"/>
      <c r="AQ386" s="75"/>
    </row>
    <row r="387" spans="1:43" ht="51.4" hidden="1" thickBot="1" x14ac:dyDescent="0.8">
      <c r="A387" s="1105"/>
      <c r="B387" s="991" t="s">
        <v>1348</v>
      </c>
      <c r="C387" s="1002" t="s">
        <v>1299</v>
      </c>
      <c r="D387" s="673"/>
      <c r="E387" s="673"/>
      <c r="F387" s="673"/>
      <c r="G387" s="673"/>
      <c r="H387" s="673"/>
      <c r="I387" s="673"/>
      <c r="J387" s="673"/>
      <c r="K387" s="673"/>
      <c r="L387" s="673"/>
      <c r="M387" s="673"/>
      <c r="N387" s="673"/>
      <c r="O387" s="673"/>
      <c r="P387" s="673"/>
      <c r="Q387" s="673"/>
      <c r="R387" s="673"/>
      <c r="S387" s="673"/>
      <c r="T387" s="673"/>
      <c r="U387" s="673"/>
      <c r="V387" s="673"/>
      <c r="W387" s="673"/>
      <c r="X387" s="673"/>
      <c r="Y387" s="673"/>
      <c r="Z387" s="999"/>
      <c r="AA387" s="999"/>
      <c r="AB387" s="673"/>
      <c r="AC387" s="673"/>
      <c r="AD387" s="673"/>
      <c r="AE387" s="673"/>
      <c r="AF387" s="673"/>
      <c r="AG387" s="673"/>
      <c r="AH387" s="673"/>
      <c r="AI387" s="673"/>
      <c r="AJ387" s="688">
        <f t="shared" si="145"/>
        <v>0</v>
      </c>
      <c r="AK387" s="30"/>
      <c r="AL387" s="1199"/>
      <c r="AM387" s="31"/>
      <c r="AN387" s="1165"/>
      <c r="AO387" s="13"/>
      <c r="AP387" s="74"/>
      <c r="AQ387" s="75"/>
    </row>
    <row r="388" spans="1:43" ht="25.5" hidden="1" x14ac:dyDescent="0.75">
      <c r="A388" s="1136" t="s">
        <v>789</v>
      </c>
      <c r="B388" s="69" t="s">
        <v>1252</v>
      </c>
      <c r="C388" s="872" t="s">
        <v>577</v>
      </c>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524">
        <f t="shared" ref="Z388" si="178">SUM(AB388,AD388,AF388,AH388)</f>
        <v>0</v>
      </c>
      <c r="AA388" s="524">
        <f t="shared" ref="AA388" si="179">SUM(AC388,AE388,AG388,AI388)</f>
        <v>0</v>
      </c>
      <c r="AB388" s="138"/>
      <c r="AC388" s="138"/>
      <c r="AD388" s="138"/>
      <c r="AE388" s="138"/>
      <c r="AF388" s="138"/>
      <c r="AG388" s="138"/>
      <c r="AH388" s="138"/>
      <c r="AI388" s="532"/>
      <c r="AJ388" s="997">
        <f t="shared" ref="AJ388" si="180">SUM(D388:AA388)</f>
        <v>0</v>
      </c>
      <c r="AK388" s="116"/>
      <c r="AL388" s="1199"/>
      <c r="AM388" s="31"/>
      <c r="AN388" s="1165"/>
      <c r="AO388" s="13">
        <v>283</v>
      </c>
      <c r="AP388" s="74"/>
      <c r="AQ388" s="75"/>
    </row>
    <row r="389" spans="1:43" ht="25.5" hidden="1" x14ac:dyDescent="0.75">
      <c r="A389" s="1137"/>
      <c r="B389" s="76" t="s">
        <v>1253</v>
      </c>
      <c r="C389" s="559" t="s">
        <v>578</v>
      </c>
      <c r="D389" s="79"/>
      <c r="E389" s="79"/>
      <c r="F389" s="79"/>
      <c r="G389" s="79"/>
      <c r="H389" s="79"/>
      <c r="I389" s="79"/>
      <c r="J389" s="79"/>
      <c r="K389" s="79"/>
      <c r="L389" s="79"/>
      <c r="M389" s="79"/>
      <c r="N389" s="79"/>
      <c r="O389" s="79"/>
      <c r="P389" s="79"/>
      <c r="Q389" s="79"/>
      <c r="R389" s="79"/>
      <c r="S389" s="79"/>
      <c r="T389" s="79"/>
      <c r="U389" s="79"/>
      <c r="V389" s="79"/>
      <c r="W389" s="79"/>
      <c r="X389" s="79"/>
      <c r="Y389" s="79"/>
      <c r="Z389" s="489">
        <f t="shared" ref="Z389" si="181">SUM(AB389,AD389,AF389,AH389)</f>
        <v>0</v>
      </c>
      <c r="AA389" s="489">
        <f t="shared" ref="AA389" si="182">SUM(AC389,AE389,AG389,AI389)</f>
        <v>0</v>
      </c>
      <c r="AB389" s="79"/>
      <c r="AC389" s="79"/>
      <c r="AD389" s="79"/>
      <c r="AE389" s="79"/>
      <c r="AF389" s="79"/>
      <c r="AG389" s="79"/>
      <c r="AH389" s="79"/>
      <c r="AI389" s="307"/>
      <c r="AJ389" s="597">
        <f t="shared" ref="AJ389" si="183">SUM(D389:AA389)</f>
        <v>0</v>
      </c>
      <c r="AK389" s="116" t="str">
        <f>CONCATENATE(IF(D390&gt;D384," *  Confirmed ART Patients TB positive and started on TB treatment "&amp;$D$20&amp;" "&amp;$D$21&amp;" is less than  ART patients who had a positive result returned F07-50"&amp;CHAR(10),""),IF(E390&gt;E384," *  Confirmed ART Patients TB positive and started on TB treatment "&amp;$D$20&amp;" "&amp;$E$21&amp;" is less than  ART patients who had a positive result returned F07-50"&amp;CHAR(10),""),IF(F390&gt;F384," *  Confirmed ART Patients TB positive and started on TB treatment "&amp;$F$20&amp;" "&amp;$F$21&amp;" is less than  ART patients who had a positive result returned F07-50"&amp;CHAR(10),""),IF(G390&gt;G384," *  Confirmed ART Patients TB positive and started on TB treatment "&amp;$F$20&amp;" "&amp;$G$21&amp;" is less than  ART patients who had a positive result returned F07-50"&amp;CHAR(10),""),IF(H390&gt;H384," *  Confirmed ART Patients TB positive and started on TB treatment "&amp;$H$20&amp;" "&amp;$H$21&amp;" is less than  ART patients who had a positive result returned F07-50"&amp;CHAR(10),""),IF(I390&gt;I384," *  Confirmed ART Patients TB positive and started on TB treatment "&amp;$H$20&amp;" "&amp;$I$21&amp;" is less than  ART patients who had a positive result returned F07-50"&amp;CHAR(10),""),IF(J390&gt;J384," *  Confirmed ART Patients TB positive and started on TB treatment "&amp;$J$20&amp;" "&amp;$J$21&amp;" is less than  ART patients who had a positive result returned F07-50"&amp;CHAR(10),""),IF(K390&gt;K384," *  Confirmed ART Patients TB positive and started on TB treatment "&amp;$J$20&amp;" "&amp;$K$21&amp;" is less than  ART patients who had a positive result returned F07-50"&amp;CHAR(10),""),IF(L390&gt;L384," *  Confirmed ART Patients TB positive and started on TB treatment "&amp;$L$20&amp;" "&amp;$L$21&amp;" is less than  ART patients who had a positive result returned F07-50"&amp;CHAR(10),""),IF(M390&gt;M384," *  Confirmed ART Patients TB positive and started on TB treatment "&amp;$L$20&amp;" "&amp;$M$21&amp;" is less than  ART patients who had a positive result returned F07-50"&amp;CHAR(10),""),IF(N390&gt;N384," *  Confirmed ART Patients TB positive and started on TB treatment "&amp;$N$20&amp;" "&amp;$N$21&amp;" is less than  ART patients who had a positive result returned F07-50"&amp;CHAR(10),""),IF(O390&gt;O384," *  Confirmed ART Patients TB positive and started on TB treatment "&amp;$N$20&amp;" "&amp;$O$21&amp;" is less than  ART patients who had a positive result returned F07-50"&amp;CHAR(10),""),IF(P390&gt;P384," *  Confirmed ART Patients TB positive and started on TB treatment "&amp;$P$20&amp;" "&amp;$P$21&amp;" is less than  ART patients who had a positive result returned F07-50"&amp;CHAR(10),""),IF(Q390&gt;Q384," *  Confirmed ART Patients TB positive and started on TB treatment "&amp;$P$20&amp;" "&amp;$Q$21&amp;" is less than  ART patients who had a positive result returned F07-50"&amp;CHAR(10),""),IF(R390&gt;R384," *  Confirmed ART Patients TB positive and started on TB treatment "&amp;$R$20&amp;" "&amp;$R$21&amp;" is less than  ART patients who had a positive result returned F07-50"&amp;CHAR(10),""),IF(S390&gt;S384," *  Confirmed ART Patients TB positive and started on TB treatment "&amp;$R$20&amp;" "&amp;$S$21&amp;" is less than  ART patients who had a positive result returned F07-50"&amp;CHAR(10),""),IF(T390&gt;T384," *  Confirmed ART Patients TB positive and started on TB treatment "&amp;$T$20&amp;" "&amp;$T$21&amp;" is less than  ART patients who had a positive result returned F07-50"&amp;CHAR(10),""),IF(U390&gt;U384," *  Confirmed ART Patients TB positive and started on TB treatment "&amp;$T$20&amp;" "&amp;$U$21&amp;" is less than  ART patients who had a positive result returned F07-50"&amp;CHAR(10),""),IF(V390&gt;V384," *  Confirmed ART Patients TB positive and started on TB treatment "&amp;$V$20&amp;" "&amp;$V$21&amp;" is less than  ART patients who had a positive result returned F07-50"&amp;CHAR(10),""),IF(W390&gt;W384," *  Confirmed ART Patients TB positive and started on TB treatment "&amp;$V$20&amp;" "&amp;$W$21&amp;" is less than  ART patients who had a positive result returned F07-50"&amp;CHAR(10),""),IF(X390&gt;X384," *  Confirmed ART Patients TB positive and started on TB treatment "&amp;$X$20&amp;" "&amp;$X$21&amp;" is less than  ART patients who had a positive result returned F07-50"&amp;CHAR(10),""),IF(Y390&gt;Y384," *  Confirmed ART Patients TB positive and started on TB treatment "&amp;$X$20&amp;" "&amp;$Y$21&amp;" is less than  ART patients who had a positive result returned F07-50"&amp;CHAR(10),""),IF(Z390&gt;Z384," *  Confirmed ART Patients TB positive and started on TB treatment "&amp;$Z$20&amp;" "&amp;$Z$21&amp;" is less than  ART patients who had a positive result returned F07-50"&amp;CHAR(10),""),IF(AA390&gt;AA384," *  Confirmed ART Patients TB positive and started on TB treatment "&amp;$Z$20&amp;" "&amp;$AA$21&amp;" is less than  ART patients who had a positive result returned F07-50"&amp;CHAR(10),""))</f>
        <v/>
      </c>
      <c r="AL389" s="1199"/>
      <c r="AM389" s="31"/>
      <c r="AN389" s="1165"/>
      <c r="AO389" s="13">
        <v>284</v>
      </c>
      <c r="AP389" s="74"/>
      <c r="AQ389" s="75"/>
    </row>
    <row r="390" spans="1:43" ht="25.9" hidden="1" thickBot="1" x14ac:dyDescent="0.8">
      <c r="A390" s="1138"/>
      <c r="B390" s="241" t="s">
        <v>1254</v>
      </c>
      <c r="C390" s="560" t="s">
        <v>579</v>
      </c>
      <c r="D390" s="242">
        <f>D388+D389</f>
        <v>0</v>
      </c>
      <c r="E390" s="242">
        <f t="shared" ref="E390:Z390" si="184">E388+E389</f>
        <v>0</v>
      </c>
      <c r="F390" s="242">
        <f t="shared" si="184"/>
        <v>0</v>
      </c>
      <c r="G390" s="242">
        <f t="shared" si="184"/>
        <v>0</v>
      </c>
      <c r="H390" s="242">
        <f t="shared" si="184"/>
        <v>0</v>
      </c>
      <c r="I390" s="242">
        <f t="shared" si="184"/>
        <v>0</v>
      </c>
      <c r="J390" s="242">
        <f t="shared" si="184"/>
        <v>0</v>
      </c>
      <c r="K390" s="242">
        <f t="shared" si="184"/>
        <v>0</v>
      </c>
      <c r="L390" s="242">
        <f t="shared" si="184"/>
        <v>0</v>
      </c>
      <c r="M390" s="242">
        <f t="shared" si="184"/>
        <v>0</v>
      </c>
      <c r="N390" s="242">
        <f t="shared" si="184"/>
        <v>0</v>
      </c>
      <c r="O390" s="242">
        <f t="shared" si="184"/>
        <v>0</v>
      </c>
      <c r="P390" s="242">
        <f t="shared" si="184"/>
        <v>0</v>
      </c>
      <c r="Q390" s="242">
        <f t="shared" si="184"/>
        <v>0</v>
      </c>
      <c r="R390" s="242">
        <f t="shared" si="184"/>
        <v>0</v>
      </c>
      <c r="S390" s="242">
        <f t="shared" si="184"/>
        <v>0</v>
      </c>
      <c r="T390" s="242">
        <f t="shared" si="184"/>
        <v>0</v>
      </c>
      <c r="U390" s="242">
        <f t="shared" si="184"/>
        <v>0</v>
      </c>
      <c r="V390" s="242">
        <f t="shared" si="184"/>
        <v>0</v>
      </c>
      <c r="W390" s="242">
        <f t="shared" si="184"/>
        <v>0</v>
      </c>
      <c r="X390" s="242">
        <f t="shared" si="184"/>
        <v>0</v>
      </c>
      <c r="Y390" s="242">
        <f t="shared" si="184"/>
        <v>0</v>
      </c>
      <c r="Z390" s="242">
        <f t="shared" si="184"/>
        <v>0</v>
      </c>
      <c r="AA390" s="242">
        <f t="shared" ref="AA390:AI390" si="185">AA388+AA389</f>
        <v>0</v>
      </c>
      <c r="AB390" s="242">
        <f t="shared" si="185"/>
        <v>0</v>
      </c>
      <c r="AC390" s="242">
        <f t="shared" si="185"/>
        <v>0</v>
      </c>
      <c r="AD390" s="242">
        <f t="shared" si="185"/>
        <v>0</v>
      </c>
      <c r="AE390" s="242">
        <f t="shared" si="185"/>
        <v>0</v>
      </c>
      <c r="AF390" s="242">
        <f t="shared" si="185"/>
        <v>0</v>
      </c>
      <c r="AG390" s="242">
        <f t="shared" si="185"/>
        <v>0</v>
      </c>
      <c r="AH390" s="242">
        <f t="shared" si="185"/>
        <v>0</v>
      </c>
      <c r="AI390" s="346">
        <f t="shared" si="185"/>
        <v>0</v>
      </c>
      <c r="AJ390" s="396">
        <f t="shared" ref="AJ390" si="186">SUM(D390:AA390)</f>
        <v>0</v>
      </c>
      <c r="AK390" s="116" t="str">
        <f>CONCATENATE(IF(D390&gt;D379," * ART Patients TB positive and started on TB Treatment  for Age "&amp;D20&amp;" "&amp;D21&amp;" is more than Total Screened for TB"&amp;CHAR(10),""),IF(E390&gt;E379," * ART Patients TB positive and started on TB Treatment  for Age "&amp;D20&amp;" "&amp;E21&amp;" is more than Total Screened for TB"&amp;CHAR(10),""),IF(F390&gt;F379," * ART Patients TB positive and started on TB Treatment  for Age "&amp;F20&amp;" "&amp;F21&amp;" is more than Total Screened for TB"&amp;CHAR(10),""),IF(G390&gt;G379," * ART Patients TB positive and started on TB Treatment  for Age "&amp;F20&amp;" "&amp;G21&amp;" is more than Total Screened for TB"&amp;CHAR(10),""),IF(H390&gt;H379," * ART Patients TB positive and started on TB Treatment  for Age "&amp;H20&amp;" "&amp;H21&amp;" is more than Total Screened for TB"&amp;CHAR(10),""),IF(I390&gt;I379," * ART Patients TB positive and started on TB Treatment  for Age "&amp;H20&amp;" "&amp;I21&amp;" is more than Total Screened for TB"&amp;CHAR(10),""),IF(J390&gt;J379," * ART Patients TB positive and started on TB Treatment  for Age "&amp;J20&amp;" "&amp;J21&amp;" is more than Total Screened for TB"&amp;CHAR(10),""),IF(K390&gt;K379," * ART Patients TB positive and started on TB Treatment  for Age "&amp;J20&amp;" "&amp;K21&amp;" is more than Total Screened for TB"&amp;CHAR(10),""),IF(L390&gt;L379," * ART Patients TB positive and started on TB Treatment  for Age "&amp;L20&amp;" "&amp;L21&amp;" is more than Total Screened for TB"&amp;CHAR(10),""),IF(M390&gt;M379," * ART Patients TB positive and started on TB Treatment  for Age "&amp;L20&amp;" "&amp;M21&amp;" is more than Total Screened for TB"&amp;CHAR(10),""),IF(N390&gt;N379," * ART Patients TB positive and started on TB Treatment  for Age "&amp;N20&amp;" "&amp;N21&amp;" is more than Total Screened for TB"&amp;CHAR(10),""),IF(O390&gt;O379," * ART Patients TB positive and started on TB Treatment  for Age "&amp;N20&amp;" "&amp;O21&amp;" is more than Total Screened for TB"&amp;CHAR(10),""),IF(P390&gt;P379," * ART Patients TB positive and started on TB Treatment  for Age "&amp;P20&amp;" "&amp;P21&amp;" is more than Total Screened for TB"&amp;CHAR(10),""),IF(Q390&gt;Q379," * ART Patients TB positive and started on TB Treatment  for Age "&amp;P20&amp;" "&amp;Q21&amp;" is more than Total Screened for TB"&amp;CHAR(10),""),IF(R390&gt;R379," * ART Patients TB positive and started on TB Treatment  for Age "&amp;R20&amp;" "&amp;R21&amp;" is more than Total Screened for TB"&amp;CHAR(10),""),IF(S390&gt;S379," * ART Patients TB positive and started on TB Treatment  for Age "&amp;R20&amp;" "&amp;S21&amp;" is more than Total Screened for TB"&amp;CHAR(10),""),IF(T390&gt;T379," * ART Patients TB positive and started on TB Treatment  for Age "&amp;T20&amp;" "&amp;T21&amp;" is more than Total Screened for TB"&amp;CHAR(10),""),IF(U390&gt;U379," * ART Patients TB positive and started on TB Treatment  for Age "&amp;T20&amp;" "&amp;U21&amp;" is more than Total Screened for TB"&amp;CHAR(10),""),IF(V390&gt;V379," * ART Patients TB positive and started on TB Treatment  for Age "&amp;V20&amp;" "&amp;V21&amp;" is more than Total Screened for TB"&amp;CHAR(10),""),IF(W390&gt;W379," * ART Patients TB positive and started on TB Treatment  for Age "&amp;V20&amp;" "&amp;W21&amp;" is more than Total Screened for TB"&amp;CHAR(10),""),IF(X390&gt;X379," * ART Patients TB positive and started on TB Treatment  for Age "&amp;X20&amp;" "&amp;X21&amp;" is more than Total Screened for TB"&amp;CHAR(10),""),IF(Y390&gt;Y379," * ART Patients TB positive and started on TB Treatment  for Age "&amp;X20&amp;" "&amp;Y21&amp;" is more than Total Screened for TB"&amp;CHAR(10),""),IF(Z390&gt;Z379," * ART Patients TB positive and started on TB Treatment  for Age "&amp;Z20&amp;" "&amp;Z21&amp;" is more than Total Screened for TB"&amp;CHAR(10),""),IF(AA390&gt;AA379," * ART Patients TB positive and started on TB Treatment  for Age "&amp;Z20&amp;" "&amp;AA21&amp;" is more than Total Screened for TB"&amp;CHAR(10),""))</f>
        <v/>
      </c>
      <c r="AL390" s="1200"/>
      <c r="AM390" s="31"/>
      <c r="AN390" s="1203"/>
      <c r="AO390" s="13">
        <v>285</v>
      </c>
      <c r="AP390" s="74"/>
      <c r="AQ390" s="75"/>
    </row>
    <row r="391" spans="1:43" ht="25.5" hidden="1" x14ac:dyDescent="0.75">
      <c r="A391" s="1136" t="s">
        <v>576</v>
      </c>
      <c r="B391" s="107" t="s">
        <v>894</v>
      </c>
      <c r="C391" s="558" t="s">
        <v>580</v>
      </c>
      <c r="D391" s="247">
        <f t="shared" ref="D391:AA391" si="187">D8+D11+D15</f>
        <v>0</v>
      </c>
      <c r="E391" s="247">
        <f t="shared" si="187"/>
        <v>0</v>
      </c>
      <c r="F391" s="247">
        <f t="shared" si="187"/>
        <v>0</v>
      </c>
      <c r="G391" s="247">
        <f t="shared" si="187"/>
        <v>0</v>
      </c>
      <c r="H391" s="247">
        <f t="shared" si="187"/>
        <v>0</v>
      </c>
      <c r="I391" s="247">
        <f t="shared" si="187"/>
        <v>0</v>
      </c>
      <c r="J391" s="247">
        <f t="shared" si="187"/>
        <v>0</v>
      </c>
      <c r="K391" s="247">
        <f t="shared" si="187"/>
        <v>0</v>
      </c>
      <c r="L391" s="247">
        <f t="shared" si="187"/>
        <v>0</v>
      </c>
      <c r="M391" s="247">
        <f t="shared" si="187"/>
        <v>0</v>
      </c>
      <c r="N391" s="247">
        <f t="shared" si="187"/>
        <v>0</v>
      </c>
      <c r="O391" s="247">
        <f t="shared" si="187"/>
        <v>0</v>
      </c>
      <c r="P391" s="247">
        <f t="shared" si="187"/>
        <v>0</v>
      </c>
      <c r="Q391" s="247">
        <f t="shared" si="187"/>
        <v>0</v>
      </c>
      <c r="R391" s="247">
        <f t="shared" si="187"/>
        <v>0</v>
      </c>
      <c r="S391" s="247">
        <f t="shared" si="187"/>
        <v>0</v>
      </c>
      <c r="T391" s="247">
        <f t="shared" si="187"/>
        <v>0</v>
      </c>
      <c r="U391" s="247">
        <f t="shared" si="187"/>
        <v>0</v>
      </c>
      <c r="V391" s="247">
        <f t="shared" si="187"/>
        <v>0</v>
      </c>
      <c r="W391" s="247">
        <f t="shared" si="187"/>
        <v>0</v>
      </c>
      <c r="X391" s="247">
        <f t="shared" si="187"/>
        <v>0</v>
      </c>
      <c r="Y391" s="247">
        <f t="shared" si="187"/>
        <v>0</v>
      </c>
      <c r="Z391" s="247">
        <f t="shared" si="187"/>
        <v>0</v>
      </c>
      <c r="AA391" s="462">
        <f t="shared" si="187"/>
        <v>0</v>
      </c>
      <c r="AB391" s="464"/>
      <c r="AC391" s="463"/>
      <c r="AD391" s="463"/>
      <c r="AE391" s="463"/>
      <c r="AF391" s="463"/>
      <c r="AG391" s="463"/>
      <c r="AH391" s="463"/>
      <c r="AI391" s="465"/>
      <c r="AJ391" s="247">
        <f>AJ8+AJ11+AJ15</f>
        <v>0</v>
      </c>
      <c r="AK391" s="116"/>
      <c r="AL391" s="1201" t="str">
        <f>CONCATENATE(AK391,AK392,AK393,AK394,AK395,AK396,AK397,AK398)</f>
        <v/>
      </c>
      <c r="AM391" s="31"/>
      <c r="AN391" s="1164" t="str">
        <f>CONCATENATE(AM391,AM392,AM393,AM394,AM395,AM396,AM397,AM398)</f>
        <v/>
      </c>
      <c r="AO391" s="13">
        <v>286</v>
      </c>
      <c r="AP391" s="74"/>
      <c r="AQ391" s="75"/>
    </row>
    <row r="392" spans="1:43" ht="30.75" hidden="1" customHeight="1" x14ac:dyDescent="0.75">
      <c r="A392" s="1137"/>
      <c r="B392" s="76" t="s">
        <v>906</v>
      </c>
      <c r="C392" s="559" t="s">
        <v>581</v>
      </c>
      <c r="D392" s="237"/>
      <c r="E392" s="79"/>
      <c r="F392" s="79"/>
      <c r="G392" s="79"/>
      <c r="H392" s="79"/>
      <c r="I392" s="79"/>
      <c r="J392" s="79"/>
      <c r="K392" s="79"/>
      <c r="L392" s="79"/>
      <c r="M392" s="79"/>
      <c r="N392" s="79"/>
      <c r="O392" s="79"/>
      <c r="P392" s="79"/>
      <c r="Q392" s="79"/>
      <c r="R392" s="79"/>
      <c r="S392" s="79"/>
      <c r="T392" s="79"/>
      <c r="U392" s="79"/>
      <c r="V392" s="79"/>
      <c r="W392" s="79"/>
      <c r="X392" s="79"/>
      <c r="Y392" s="79"/>
      <c r="Z392" s="79"/>
      <c r="AA392" s="307"/>
      <c r="AB392" s="375"/>
      <c r="AC392" s="345"/>
      <c r="AD392" s="345"/>
      <c r="AE392" s="345"/>
      <c r="AF392" s="345"/>
      <c r="AG392" s="345"/>
      <c r="AH392" s="345"/>
      <c r="AI392" s="302"/>
      <c r="AJ392" s="173">
        <f>SUM(D392:AA392)</f>
        <v>0</v>
      </c>
      <c r="AK392" s="116"/>
      <c r="AL392" s="1199"/>
      <c r="AM392" s="31"/>
      <c r="AN392" s="1165"/>
      <c r="AO392" s="13">
        <v>287</v>
      </c>
      <c r="AP392" s="74"/>
      <c r="AQ392" s="75"/>
    </row>
    <row r="393" spans="1:43" ht="25.5" hidden="1" x14ac:dyDescent="0.75">
      <c r="A393" s="1137"/>
      <c r="B393" s="76" t="s">
        <v>563</v>
      </c>
      <c r="C393" s="559" t="s">
        <v>582</v>
      </c>
      <c r="D393" s="237"/>
      <c r="E393" s="237"/>
      <c r="F393" s="237"/>
      <c r="G393" s="237"/>
      <c r="H393" s="237"/>
      <c r="I393" s="237"/>
      <c r="J393" s="237"/>
      <c r="K393" s="237"/>
      <c r="L393" s="237"/>
      <c r="M393" s="237"/>
      <c r="N393" s="237"/>
      <c r="O393" s="237"/>
      <c r="P393" s="237"/>
      <c r="Q393" s="237"/>
      <c r="R393" s="237"/>
      <c r="S393" s="237"/>
      <c r="T393" s="237"/>
      <c r="U393" s="237"/>
      <c r="V393" s="237"/>
      <c r="W393" s="237"/>
      <c r="X393" s="237"/>
      <c r="Y393" s="237"/>
      <c r="Z393" s="237"/>
      <c r="AA393" s="349"/>
      <c r="AB393" s="375"/>
      <c r="AC393" s="345"/>
      <c r="AD393" s="345"/>
      <c r="AE393" s="345"/>
      <c r="AF393" s="345"/>
      <c r="AG393" s="345"/>
      <c r="AH393" s="345"/>
      <c r="AI393" s="302"/>
      <c r="AJ393" s="173">
        <f t="shared" ref="AJ393:AJ398" si="188">SUM(D393:AA393)</f>
        <v>0</v>
      </c>
      <c r="AK393" s="116"/>
      <c r="AL393" s="1199"/>
      <c r="AM393" s="31"/>
      <c r="AN393" s="1165"/>
      <c r="AO393" s="13">
        <v>288</v>
      </c>
      <c r="AP393" s="74"/>
      <c r="AQ393" s="75"/>
    </row>
    <row r="394" spans="1:43" ht="25.5" hidden="1" x14ac:dyDescent="0.75">
      <c r="A394" s="1137"/>
      <c r="B394" s="76" t="s">
        <v>955</v>
      </c>
      <c r="C394" s="559" t="s">
        <v>583</v>
      </c>
      <c r="D394" s="237"/>
      <c r="E394" s="237"/>
      <c r="F394" s="237"/>
      <c r="G394" s="237"/>
      <c r="H394" s="237"/>
      <c r="I394" s="237"/>
      <c r="J394" s="237"/>
      <c r="K394" s="237"/>
      <c r="L394" s="237"/>
      <c r="M394" s="237"/>
      <c r="N394" s="237"/>
      <c r="O394" s="237"/>
      <c r="P394" s="237"/>
      <c r="Q394" s="237"/>
      <c r="R394" s="237"/>
      <c r="S394" s="237"/>
      <c r="T394" s="237"/>
      <c r="U394" s="237"/>
      <c r="V394" s="237"/>
      <c r="W394" s="237"/>
      <c r="X394" s="237"/>
      <c r="Y394" s="237"/>
      <c r="Z394" s="237"/>
      <c r="AA394" s="349"/>
      <c r="AB394" s="375"/>
      <c r="AC394" s="345"/>
      <c r="AD394" s="345"/>
      <c r="AE394" s="345"/>
      <c r="AF394" s="345"/>
      <c r="AG394" s="345"/>
      <c r="AH394" s="345"/>
      <c r="AI394" s="302"/>
      <c r="AJ394" s="173">
        <f t="shared" si="188"/>
        <v>0</v>
      </c>
      <c r="AK394" s="116"/>
      <c r="AL394" s="1199"/>
      <c r="AM394" s="31"/>
      <c r="AN394" s="1165"/>
      <c r="AO394" s="13">
        <v>289</v>
      </c>
      <c r="AP394" s="74"/>
      <c r="AQ394" s="75"/>
    </row>
    <row r="395" spans="1:43" ht="25.5" hidden="1" x14ac:dyDescent="0.75">
      <c r="A395" s="1137"/>
      <c r="B395" s="76" t="s">
        <v>956</v>
      </c>
      <c r="C395" s="559" t="s">
        <v>584</v>
      </c>
      <c r="D395" s="237"/>
      <c r="E395" s="237"/>
      <c r="F395" s="237"/>
      <c r="G395" s="237"/>
      <c r="H395" s="237"/>
      <c r="I395" s="237"/>
      <c r="J395" s="237"/>
      <c r="K395" s="237"/>
      <c r="L395" s="237"/>
      <c r="M395" s="237"/>
      <c r="N395" s="237"/>
      <c r="O395" s="237"/>
      <c r="P395" s="237"/>
      <c r="Q395" s="237"/>
      <c r="R395" s="237"/>
      <c r="S395" s="237"/>
      <c r="T395" s="237"/>
      <c r="U395" s="237"/>
      <c r="V395" s="237"/>
      <c r="W395" s="237"/>
      <c r="X395" s="237"/>
      <c r="Y395" s="237"/>
      <c r="Z395" s="237"/>
      <c r="AA395" s="349"/>
      <c r="AB395" s="375"/>
      <c r="AC395" s="345"/>
      <c r="AD395" s="345"/>
      <c r="AE395" s="345"/>
      <c r="AF395" s="345"/>
      <c r="AG395" s="345"/>
      <c r="AH395" s="345"/>
      <c r="AI395" s="302"/>
      <c r="AJ395" s="173">
        <f t="shared" si="188"/>
        <v>0</v>
      </c>
      <c r="AK395" s="116"/>
      <c r="AL395" s="1199"/>
      <c r="AM395" s="31"/>
      <c r="AN395" s="1165"/>
      <c r="AO395" s="13">
        <v>290</v>
      </c>
      <c r="AP395" s="74"/>
      <c r="AQ395" s="75"/>
    </row>
    <row r="396" spans="1:43" ht="25.5" hidden="1" x14ac:dyDescent="0.75">
      <c r="A396" s="1137"/>
      <c r="B396" s="76" t="s">
        <v>957</v>
      </c>
      <c r="C396" s="559" t="s">
        <v>585</v>
      </c>
      <c r="D396" s="237"/>
      <c r="E396" s="237"/>
      <c r="F396" s="237"/>
      <c r="G396" s="237"/>
      <c r="H396" s="237"/>
      <c r="I396" s="237"/>
      <c r="J396" s="237"/>
      <c r="K396" s="237"/>
      <c r="L396" s="237"/>
      <c r="M396" s="237"/>
      <c r="N396" s="237"/>
      <c r="O396" s="237"/>
      <c r="P396" s="237"/>
      <c r="Q396" s="237"/>
      <c r="R396" s="237"/>
      <c r="S396" s="237"/>
      <c r="T396" s="237"/>
      <c r="U396" s="237"/>
      <c r="V396" s="237"/>
      <c r="W396" s="237"/>
      <c r="X396" s="237"/>
      <c r="Y396" s="237"/>
      <c r="Z396" s="237"/>
      <c r="AA396" s="349"/>
      <c r="AB396" s="375"/>
      <c r="AC396" s="345"/>
      <c r="AD396" s="345"/>
      <c r="AE396" s="345"/>
      <c r="AF396" s="345"/>
      <c r="AG396" s="345"/>
      <c r="AH396" s="345"/>
      <c r="AI396" s="302"/>
      <c r="AJ396" s="173">
        <f t="shared" si="188"/>
        <v>0</v>
      </c>
      <c r="AK396" s="116"/>
      <c r="AL396" s="1199"/>
      <c r="AM396" s="31"/>
      <c r="AN396" s="1165"/>
      <c r="AO396" s="13">
        <v>291</v>
      </c>
      <c r="AP396" s="74"/>
      <c r="AQ396" s="75"/>
    </row>
    <row r="397" spans="1:43" ht="51" hidden="1" x14ac:dyDescent="0.75">
      <c r="A397" s="1137"/>
      <c r="B397" s="76" t="s">
        <v>911</v>
      </c>
      <c r="C397" s="559" t="s">
        <v>586</v>
      </c>
      <c r="D397" s="237"/>
      <c r="E397" s="237"/>
      <c r="F397" s="237"/>
      <c r="G397" s="237"/>
      <c r="H397" s="237"/>
      <c r="I397" s="237"/>
      <c r="J397" s="237"/>
      <c r="K397" s="237"/>
      <c r="L397" s="237"/>
      <c r="M397" s="237"/>
      <c r="N397" s="237"/>
      <c r="O397" s="237"/>
      <c r="P397" s="237"/>
      <c r="Q397" s="237"/>
      <c r="R397" s="237"/>
      <c r="S397" s="237"/>
      <c r="T397" s="237"/>
      <c r="U397" s="237"/>
      <c r="V397" s="237"/>
      <c r="W397" s="237"/>
      <c r="X397" s="237"/>
      <c r="Y397" s="237"/>
      <c r="Z397" s="237"/>
      <c r="AA397" s="349"/>
      <c r="AB397" s="375"/>
      <c r="AC397" s="345"/>
      <c r="AD397" s="345"/>
      <c r="AE397" s="345"/>
      <c r="AF397" s="345"/>
      <c r="AG397" s="345"/>
      <c r="AH397" s="345"/>
      <c r="AI397" s="302"/>
      <c r="AJ397" s="173">
        <f t="shared" si="188"/>
        <v>0</v>
      </c>
      <c r="AK397" s="116"/>
      <c r="AL397" s="1199"/>
      <c r="AM397" s="31"/>
      <c r="AN397" s="1165"/>
      <c r="AO397" s="13">
        <v>292</v>
      </c>
      <c r="AP397" s="74"/>
      <c r="AQ397" s="75"/>
    </row>
    <row r="398" spans="1:43" ht="25.9" hidden="1" thickBot="1" x14ac:dyDescent="0.8">
      <c r="A398" s="1154"/>
      <c r="B398" s="118" t="s">
        <v>910</v>
      </c>
      <c r="C398" s="560" t="s">
        <v>790</v>
      </c>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350"/>
      <c r="AB398" s="376"/>
      <c r="AC398" s="377"/>
      <c r="AD398" s="377"/>
      <c r="AE398" s="377"/>
      <c r="AF398" s="377"/>
      <c r="AG398" s="377"/>
      <c r="AH398" s="377"/>
      <c r="AI398" s="303"/>
      <c r="AJ398" s="173">
        <f t="shared" si="188"/>
        <v>0</v>
      </c>
      <c r="AK398" s="122"/>
      <c r="AL398" s="1375"/>
      <c r="AM398" s="123"/>
      <c r="AN398" s="1166"/>
      <c r="AO398" s="13">
        <v>293</v>
      </c>
      <c r="AP398" s="74"/>
      <c r="AQ398" s="75"/>
    </row>
    <row r="399" spans="1:43" ht="25.9" hidden="1" thickBot="1" x14ac:dyDescent="0.8">
      <c r="A399" s="1143" t="s">
        <v>118</v>
      </c>
      <c r="B399" s="1144"/>
      <c r="C399" s="1144"/>
      <c r="D399" s="1144"/>
      <c r="E399" s="1144"/>
      <c r="F399" s="1144"/>
      <c r="G399" s="1144"/>
      <c r="H399" s="1144"/>
      <c r="I399" s="1144"/>
      <c r="J399" s="1144"/>
      <c r="K399" s="1144"/>
      <c r="L399" s="1144"/>
      <c r="M399" s="1144"/>
      <c r="N399" s="1144"/>
      <c r="O399" s="1144"/>
      <c r="P399" s="1144"/>
      <c r="Q399" s="1144"/>
      <c r="R399" s="1144"/>
      <c r="S399" s="1144"/>
      <c r="T399" s="1144"/>
      <c r="U399" s="1144"/>
      <c r="V399" s="1144"/>
      <c r="W399" s="1144"/>
      <c r="X399" s="1144"/>
      <c r="Y399" s="1144"/>
      <c r="Z399" s="1144"/>
      <c r="AA399" s="1144"/>
      <c r="AB399" s="1145"/>
      <c r="AC399" s="1145"/>
      <c r="AD399" s="1145"/>
      <c r="AE399" s="1145"/>
      <c r="AF399" s="1145"/>
      <c r="AG399" s="1145"/>
      <c r="AH399" s="1145"/>
      <c r="AI399" s="1145"/>
      <c r="AJ399" s="1144"/>
      <c r="AK399" s="1144"/>
      <c r="AL399" s="1144"/>
      <c r="AM399" s="1144"/>
      <c r="AN399" s="1146"/>
      <c r="AO399" s="13">
        <v>294</v>
      </c>
      <c r="AP399" s="74"/>
      <c r="AQ399" s="75"/>
    </row>
    <row r="400" spans="1:43" ht="26.25" hidden="1" customHeight="1" x14ac:dyDescent="0.75">
      <c r="A400" s="1122" t="s">
        <v>36</v>
      </c>
      <c r="B400" s="1126" t="s">
        <v>321</v>
      </c>
      <c r="C400" s="1155" t="s">
        <v>305</v>
      </c>
      <c r="D400" s="1142" t="s">
        <v>0</v>
      </c>
      <c r="E400" s="1142"/>
      <c r="F400" s="1142" t="s">
        <v>1</v>
      </c>
      <c r="G400" s="1142"/>
      <c r="H400" s="1142" t="s">
        <v>2</v>
      </c>
      <c r="I400" s="1142"/>
      <c r="J400" s="1142" t="s">
        <v>3</v>
      </c>
      <c r="K400" s="1142"/>
      <c r="L400" s="1142" t="s">
        <v>4</v>
      </c>
      <c r="M400" s="1142"/>
      <c r="N400" s="1142" t="s">
        <v>5</v>
      </c>
      <c r="O400" s="1142"/>
      <c r="P400" s="1142" t="s">
        <v>6</v>
      </c>
      <c r="Q400" s="1142"/>
      <c r="R400" s="1142" t="s">
        <v>7</v>
      </c>
      <c r="S400" s="1142"/>
      <c r="T400" s="1142" t="s">
        <v>8</v>
      </c>
      <c r="U400" s="1142"/>
      <c r="V400" s="1142" t="s">
        <v>23</v>
      </c>
      <c r="W400" s="1142"/>
      <c r="X400" s="1142" t="s">
        <v>24</v>
      </c>
      <c r="Y400" s="1142"/>
      <c r="Z400" s="1142" t="s">
        <v>9</v>
      </c>
      <c r="AA400" s="1142"/>
      <c r="AB400" s="297"/>
      <c r="AC400" s="297"/>
      <c r="AD400" s="297"/>
      <c r="AE400" s="297"/>
      <c r="AF400" s="297"/>
      <c r="AG400" s="297"/>
      <c r="AH400" s="484"/>
      <c r="AI400" s="484"/>
      <c r="AJ400" s="1157" t="s">
        <v>19</v>
      </c>
      <c r="AK400" s="1159" t="s">
        <v>354</v>
      </c>
      <c r="AL400" s="1235" t="s">
        <v>360</v>
      </c>
      <c r="AM400" s="1149" t="s">
        <v>361</v>
      </c>
      <c r="AN400" s="1169" t="s">
        <v>361</v>
      </c>
      <c r="AO400" s="13">
        <v>295</v>
      </c>
      <c r="AP400" s="74"/>
      <c r="AQ400" s="75"/>
    </row>
    <row r="401" spans="1:43" ht="27" hidden="1" customHeight="1" thickBot="1" x14ac:dyDescent="0.8">
      <c r="A401" s="1123"/>
      <c r="B401" s="1127"/>
      <c r="C401" s="1156"/>
      <c r="D401" s="115" t="s">
        <v>10</v>
      </c>
      <c r="E401" s="115" t="s">
        <v>11</v>
      </c>
      <c r="F401" s="115" t="s">
        <v>10</v>
      </c>
      <c r="G401" s="115" t="s">
        <v>11</v>
      </c>
      <c r="H401" s="115" t="s">
        <v>10</v>
      </c>
      <c r="I401" s="115" t="s">
        <v>11</v>
      </c>
      <c r="J401" s="115" t="s">
        <v>10</v>
      </c>
      <c r="K401" s="115" t="s">
        <v>11</v>
      </c>
      <c r="L401" s="115" t="s">
        <v>10</v>
      </c>
      <c r="M401" s="115" t="s">
        <v>11</v>
      </c>
      <c r="N401" s="115" t="s">
        <v>10</v>
      </c>
      <c r="O401" s="115" t="s">
        <v>11</v>
      </c>
      <c r="P401" s="115" t="s">
        <v>10</v>
      </c>
      <c r="Q401" s="115" t="s">
        <v>11</v>
      </c>
      <c r="R401" s="115" t="s">
        <v>10</v>
      </c>
      <c r="S401" s="115" t="s">
        <v>11</v>
      </c>
      <c r="T401" s="115" t="s">
        <v>10</v>
      </c>
      <c r="U401" s="115" t="s">
        <v>11</v>
      </c>
      <c r="V401" s="115" t="s">
        <v>10</v>
      </c>
      <c r="W401" s="115" t="s">
        <v>11</v>
      </c>
      <c r="X401" s="115" t="s">
        <v>10</v>
      </c>
      <c r="Y401" s="115" t="s">
        <v>11</v>
      </c>
      <c r="Z401" s="115" t="s">
        <v>10</v>
      </c>
      <c r="AA401" s="115" t="s">
        <v>11</v>
      </c>
      <c r="AB401" s="115"/>
      <c r="AC401" s="115"/>
      <c r="AD401" s="115"/>
      <c r="AE401" s="115"/>
      <c r="AF401" s="115"/>
      <c r="AG401" s="115"/>
      <c r="AH401" s="115"/>
      <c r="AI401" s="115"/>
      <c r="AJ401" s="1158"/>
      <c r="AK401" s="1160"/>
      <c r="AL401" s="1236"/>
      <c r="AM401" s="1150"/>
      <c r="AN401" s="1170"/>
      <c r="AO401" s="13">
        <v>296</v>
      </c>
      <c r="AP401" s="74"/>
      <c r="AQ401" s="75"/>
    </row>
    <row r="402" spans="1:43" ht="25.5" hidden="1" x14ac:dyDescent="0.75">
      <c r="A402" s="1178" t="s">
        <v>363</v>
      </c>
      <c r="B402" s="91" t="s">
        <v>369</v>
      </c>
      <c r="C402" s="558" t="s">
        <v>370</v>
      </c>
      <c r="D402" s="249"/>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351"/>
      <c r="AC402" s="351"/>
      <c r="AD402" s="351"/>
      <c r="AE402" s="351"/>
      <c r="AF402" s="351"/>
      <c r="AG402" s="351"/>
      <c r="AH402" s="351"/>
      <c r="AI402" s="351"/>
      <c r="AJ402" s="65">
        <f t="shared" ref="AJ402:AJ412" si="189">SUM(D402:AA402)</f>
        <v>0</v>
      </c>
      <c r="AK402" s="251"/>
      <c r="AL402" s="1187" t="str">
        <f>CONCATENATE(AK408,AK411,AK413,AK414,AK415,AK416,AK417,AK418,AK419,AK420)</f>
        <v/>
      </c>
      <c r="AM402" s="252"/>
      <c r="AN402" s="1185" t="str">
        <f>CONCATENATE(AM408,AM411,AM413,AM414,AM415,AM416,AM417,AM418,AM419,AM420)</f>
        <v/>
      </c>
      <c r="AO402" s="13">
        <v>297</v>
      </c>
      <c r="AP402" s="74"/>
      <c r="AQ402" s="75"/>
    </row>
    <row r="403" spans="1:43" ht="25.5" hidden="1" x14ac:dyDescent="0.75">
      <c r="A403" s="1179"/>
      <c r="B403" s="76" t="s">
        <v>364</v>
      </c>
      <c r="C403" s="559" t="s">
        <v>371</v>
      </c>
      <c r="D403" s="253"/>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352"/>
      <c r="AC403" s="352"/>
      <c r="AD403" s="352"/>
      <c r="AE403" s="352"/>
      <c r="AF403" s="352"/>
      <c r="AG403" s="352"/>
      <c r="AH403" s="352"/>
      <c r="AI403" s="352"/>
      <c r="AJ403" s="29">
        <f t="shared" si="189"/>
        <v>0</v>
      </c>
      <c r="AK403" s="251"/>
      <c r="AL403" s="1188"/>
      <c r="AM403" s="252"/>
      <c r="AN403" s="1186"/>
      <c r="AO403" s="13">
        <v>298</v>
      </c>
      <c r="AP403" s="74"/>
      <c r="AQ403" s="75"/>
    </row>
    <row r="404" spans="1:43" ht="25.5" hidden="1" x14ac:dyDescent="0.75">
      <c r="A404" s="1179"/>
      <c r="B404" s="76" t="s">
        <v>365</v>
      </c>
      <c r="C404" s="559" t="s">
        <v>372</v>
      </c>
      <c r="D404" s="253"/>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c r="AA404" s="254"/>
      <c r="AB404" s="352"/>
      <c r="AC404" s="352"/>
      <c r="AD404" s="352"/>
      <c r="AE404" s="352"/>
      <c r="AF404" s="352"/>
      <c r="AG404" s="352"/>
      <c r="AH404" s="352"/>
      <c r="AI404" s="352"/>
      <c r="AJ404" s="29">
        <f t="shared" si="189"/>
        <v>0</v>
      </c>
      <c r="AK404" s="251"/>
      <c r="AL404" s="1188"/>
      <c r="AM404" s="252"/>
      <c r="AN404" s="1186"/>
      <c r="AO404" s="13">
        <v>299</v>
      </c>
      <c r="AP404" s="74"/>
      <c r="AQ404" s="75"/>
    </row>
    <row r="405" spans="1:43" ht="25.5" hidden="1" x14ac:dyDescent="0.75">
      <c r="A405" s="1179"/>
      <c r="B405" s="76" t="s">
        <v>366</v>
      </c>
      <c r="C405" s="559" t="s">
        <v>373</v>
      </c>
      <c r="D405" s="253"/>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c r="AA405" s="254"/>
      <c r="AB405" s="352"/>
      <c r="AC405" s="352"/>
      <c r="AD405" s="352"/>
      <c r="AE405" s="352"/>
      <c r="AF405" s="352"/>
      <c r="AG405" s="352"/>
      <c r="AH405" s="352"/>
      <c r="AI405" s="352"/>
      <c r="AJ405" s="29">
        <f t="shared" si="189"/>
        <v>0</v>
      </c>
      <c r="AK405" s="251"/>
      <c r="AL405" s="1188"/>
      <c r="AM405" s="252"/>
      <c r="AN405" s="1186"/>
      <c r="AO405" s="13">
        <v>300</v>
      </c>
      <c r="AP405" s="74"/>
      <c r="AQ405" s="75"/>
    </row>
    <row r="406" spans="1:43" ht="25.5" hidden="1" x14ac:dyDescent="0.75">
      <c r="A406" s="1179"/>
      <c r="B406" s="76" t="s">
        <v>367</v>
      </c>
      <c r="C406" s="559" t="s">
        <v>374</v>
      </c>
      <c r="D406" s="253"/>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c r="AA406" s="254"/>
      <c r="AB406" s="352"/>
      <c r="AC406" s="352"/>
      <c r="AD406" s="352"/>
      <c r="AE406" s="352"/>
      <c r="AF406" s="352"/>
      <c r="AG406" s="352"/>
      <c r="AH406" s="352"/>
      <c r="AI406" s="352"/>
      <c r="AJ406" s="29">
        <f t="shared" si="189"/>
        <v>0</v>
      </c>
      <c r="AK406" s="251"/>
      <c r="AL406" s="1188"/>
      <c r="AM406" s="252"/>
      <c r="AN406" s="1186"/>
      <c r="AO406" s="13">
        <v>301</v>
      </c>
      <c r="AP406" s="74"/>
      <c r="AQ406" s="75"/>
    </row>
    <row r="407" spans="1:43" ht="25.9" hidden="1" thickBot="1" x14ac:dyDescent="0.8">
      <c r="A407" s="1180"/>
      <c r="B407" s="87" t="s">
        <v>368</v>
      </c>
      <c r="C407" s="560" t="s">
        <v>375</v>
      </c>
      <c r="D407" s="255"/>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353"/>
      <c r="AC407" s="353"/>
      <c r="AD407" s="353"/>
      <c r="AE407" s="353"/>
      <c r="AF407" s="353"/>
      <c r="AG407" s="353"/>
      <c r="AH407" s="353"/>
      <c r="AI407" s="353"/>
      <c r="AJ407" s="90">
        <f t="shared" si="189"/>
        <v>0</v>
      </c>
      <c r="AK407" s="251"/>
      <c r="AL407" s="1188"/>
      <c r="AM407" s="252"/>
      <c r="AN407" s="1186"/>
      <c r="AO407" s="13">
        <v>302</v>
      </c>
      <c r="AP407" s="74"/>
      <c r="AQ407" s="75"/>
    </row>
    <row r="408" spans="1:43" ht="25.5" hidden="1" x14ac:dyDescent="0.75">
      <c r="A408" s="1132" t="s">
        <v>27</v>
      </c>
      <c r="B408" s="91" t="s">
        <v>670</v>
      </c>
      <c r="C408" s="558" t="s">
        <v>282</v>
      </c>
      <c r="D408" s="236"/>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310"/>
      <c r="AC408" s="310"/>
      <c r="AD408" s="310"/>
      <c r="AE408" s="310"/>
      <c r="AF408" s="310"/>
      <c r="AG408" s="310"/>
      <c r="AH408" s="310"/>
      <c r="AI408" s="310"/>
      <c r="AJ408" s="65">
        <f t="shared" si="189"/>
        <v>0</v>
      </c>
      <c r="AK408" s="116" t="str">
        <f>CONCATENATE(IF(D408&lt;SUM(D414,D415,D416,D417,D418,D419,D420)," * Total Died  for Age "&amp;D20&amp;" "&amp;D21&amp;" is less than sum of Total Causes of Death F08-05 to F08-11"&amp;CHAR(10),""),IF(E408&lt;SUM(E414,E415,E416,E417,E418,E419,E420)," * Total Died  for Age "&amp;D20&amp;" "&amp;E21&amp;" is less than sum of Total Causes of Death F08-05 to F08-11"&amp;CHAR(10),""),IF(F408&lt;SUM(F414,F415,F416,F417,F418,F419,F420)," * Total Died  for Age "&amp;F20&amp;" "&amp;F21&amp;" is less than sum of Total Causes of Death F08-05 to F08-11"&amp;CHAR(10),""),IF(G408&lt;SUM(G414,G415,G416,G417,G418,G419,G420)," * Total Died  for Age "&amp;F20&amp;" "&amp;G21&amp;" is less than sum of Total Causes of Death F08-05 to F08-11"&amp;CHAR(10),""),IF(H408&lt;SUM(H414,H415,H416,H417,H418,H419,H420)," * Total Died  for Age "&amp;H20&amp;" "&amp;H21&amp;" is less than sum of Total Causes of Death F08-05 to F08-11"&amp;CHAR(10),""),IF(I408&lt;SUM(I414,I415,I416,I417,I418,I419,I420)," * Total Died  for Age "&amp;H20&amp;" "&amp;I21&amp;" is less than sum of Total Causes of Death F08-05 to F08-11"&amp;CHAR(10),""),IF(J408&lt;SUM(J414,J415,J416,J417,J418,J419,J420)," * Total Died  for Age "&amp;J20&amp;" "&amp;J21&amp;" is less than sum of Total Causes of Death F08-05 to F08-11"&amp;CHAR(10),""),IF(K408&lt;SUM(K414,K415,K416,K417,K418,K419,K420)," * Total Died  for Age "&amp;J20&amp;" "&amp;K21&amp;" is less than sum of Total Causes of Death F08-05 to F08-11"&amp;CHAR(10),""),IF(L408&lt;SUM(L414,L415,L416,L417,L418,L419,L420)," * Total Died  for Age "&amp;L20&amp;" "&amp;L21&amp;" is less than sum of Total Causes of Death F08-05 to F08-11"&amp;CHAR(10),""),IF(M408&lt;SUM(M414,M415,M416,M417,M418,M419,M420)," * Total Died  for Age "&amp;L20&amp;" "&amp;M21&amp;" is less than sum of Total Causes of Death F08-05 to F08-11"&amp;CHAR(10),""),IF(N408&lt;SUM(N414,N415,N416,N417,N418,N419,N420)," * Total Died  for Age "&amp;N20&amp;" "&amp;N21&amp;" is less than sum of Total Causes of Death F08-05 to F08-11"&amp;CHAR(10),""),IF(O408&lt;SUM(O414,O415,O416,O417,O418,O419,O420)," * Total Died  for Age "&amp;N20&amp;" "&amp;O21&amp;" is less than sum of Total Causes of Death F08-05 to F08-11"&amp;CHAR(10),""),IF(P408&lt;SUM(P414,P415,P416,P417,P418,P419,P420)," * Total Died  for Age "&amp;P20&amp;" "&amp;P21&amp;" is less than sum of Total Causes of Death F08-05 to F08-11"&amp;CHAR(10),""),IF(Q408&lt;SUM(Q414,Q415,Q416,Q417,Q418,Q419,Q420)," * Total Died  for Age "&amp;P20&amp;" "&amp;Q21&amp;" is less than sum of Total Causes of Death F08-05 to F08-11"&amp;CHAR(10),""),IF(R408&lt;SUM(R414,R415,R416,R417,R418,R419,R420)," * Total Died  for Age "&amp;R20&amp;" "&amp;R21&amp;" is less than sum of Total Causes of Death F08-05 to F08-11"&amp;CHAR(10),""),IF(S408&lt;SUM(S414,S415,S416,S417,S418,S419,S420)," * Total Died  for Age "&amp;R20&amp;" "&amp;S21&amp;" is less than sum of Total Causes of Death F08-05 to F08-11"&amp;CHAR(10),""),IF(T408&lt;SUM(T414,T415,T416,T417,T418,T419,T420)," * Total Died  for Age "&amp;T20&amp;" "&amp;T21&amp;" is less than sum of Total Causes of Death F08-05 to F08-11"&amp;CHAR(10),""),IF(U408&lt;SUM(U414,U415,U416,U417,U418,U419,U420)," * Total Died  for Age "&amp;T20&amp;" "&amp;U21&amp;" is less than sum of Total Causes of Death F08-05 to F08-11"&amp;CHAR(10),""),IF(V408&lt;SUM(V414,V415,V416,V417,V418,V419,V420)," * Total Died  for Age "&amp;V20&amp;" "&amp;V21&amp;" is less than sum of Total Causes of Death F08-05 to F08-11"&amp;CHAR(10),""),IF(W408&lt;SUM(W414,W415,W416,W417,W418,W419,W420)," * Total Died  for Age "&amp;V20&amp;" "&amp;W21&amp;" is less than sum of Total Causes of Death F08-05 to F08-11"&amp;CHAR(10),""),IF(X408&lt;SUM(X414,X415,X416,X417,X418,X419,X420)," * Total Died  for Age "&amp;X20&amp;" "&amp;X21&amp;" is less than sum of Total Causes of Death F08-05 to F08-11"&amp;CHAR(10),""),IF(Y408&lt;SUM(Y414,Y415,Y416,Y417,Y418,Y419,Y420)," * Total Died  for Age "&amp;X20&amp;" "&amp;Y21&amp;" is less than sum of Total Causes of Death F08-05 to F08-11"&amp;CHAR(10),""),IF(Z408&lt;SUM(Z414,Z415,Z416,Z417,Z418,Z419,Z420)," * Total Died  for Age "&amp;Z20&amp;" "&amp;Z21&amp;" is less than sum of Total Causes of Death F08-05 to F08-11"&amp;CHAR(10),""),IF(AA408&lt;SUM(AA414,AA415,AA416,AA417,AA418,AA419,AA420)," * Total Died  for Age "&amp;Z20&amp;" "&amp;AA21&amp;" is less than sum of Total Causes of Death F08-05 to F08-11"&amp;CHAR(10),""))</f>
        <v/>
      </c>
      <c r="AL408" s="1188"/>
      <c r="AM408" s="31"/>
      <c r="AN408" s="1186"/>
      <c r="AO408" s="13">
        <v>303</v>
      </c>
      <c r="AP408" s="74"/>
      <c r="AQ408" s="75"/>
    </row>
    <row r="409" spans="1:43" s="61" customFormat="1" ht="25.5" hidden="1" x14ac:dyDescent="0.75">
      <c r="A409" s="1133"/>
      <c r="B409" s="76" t="s">
        <v>562</v>
      </c>
      <c r="C409" s="559" t="s">
        <v>423</v>
      </c>
      <c r="D409" s="237"/>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307"/>
      <c r="AC409" s="307"/>
      <c r="AD409" s="307"/>
      <c r="AE409" s="307"/>
      <c r="AF409" s="307"/>
      <c r="AG409" s="307"/>
      <c r="AH409" s="307"/>
      <c r="AI409" s="307"/>
      <c r="AJ409" s="29">
        <f t="shared" si="189"/>
        <v>0</v>
      </c>
      <c r="AK409" s="116"/>
      <c r="AL409" s="1188"/>
      <c r="AM409" s="60"/>
      <c r="AN409" s="1186"/>
      <c r="AO409" s="13">
        <v>304</v>
      </c>
      <c r="AP409" s="80"/>
      <c r="AQ409" s="75"/>
    </row>
    <row r="410" spans="1:43" ht="25.5" hidden="1" x14ac:dyDescent="0.75">
      <c r="A410" s="1133"/>
      <c r="B410" s="76" t="s">
        <v>427</v>
      </c>
      <c r="C410" s="559" t="s">
        <v>424</v>
      </c>
      <c r="D410" s="237"/>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307"/>
      <c r="AC410" s="307"/>
      <c r="AD410" s="307"/>
      <c r="AE410" s="307"/>
      <c r="AF410" s="307"/>
      <c r="AG410" s="307"/>
      <c r="AH410" s="307"/>
      <c r="AI410" s="307"/>
      <c r="AJ410" s="29">
        <f t="shared" si="189"/>
        <v>0</v>
      </c>
      <c r="AK410" s="116"/>
      <c r="AL410" s="1188"/>
      <c r="AM410" s="31"/>
      <c r="AN410" s="1186"/>
      <c r="AO410" s="13">
        <v>305</v>
      </c>
      <c r="AP410" s="74"/>
      <c r="AQ410" s="75"/>
    </row>
    <row r="411" spans="1:43" ht="25.5" hidden="1" x14ac:dyDescent="0.75">
      <c r="A411" s="1133"/>
      <c r="B411" s="76" t="s">
        <v>671</v>
      </c>
      <c r="C411" s="559" t="s">
        <v>425</v>
      </c>
      <c r="D411" s="237"/>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307"/>
      <c r="AC411" s="307"/>
      <c r="AD411" s="307"/>
      <c r="AE411" s="307"/>
      <c r="AF411" s="307"/>
      <c r="AG411" s="307"/>
      <c r="AH411" s="307"/>
      <c r="AI411" s="307"/>
      <c r="AJ411" s="29">
        <f t="shared" si="189"/>
        <v>0</v>
      </c>
      <c r="AK411" s="116"/>
      <c r="AL411" s="1188"/>
      <c r="AM411" s="31"/>
      <c r="AN411" s="1186"/>
      <c r="AO411" s="13">
        <v>306</v>
      </c>
      <c r="AP411" s="74"/>
      <c r="AQ411" s="75"/>
    </row>
    <row r="412" spans="1:43" ht="25.5" hidden="1" x14ac:dyDescent="0.75">
      <c r="A412" s="1133"/>
      <c r="B412" s="76" t="s">
        <v>422</v>
      </c>
      <c r="C412" s="559" t="s">
        <v>426</v>
      </c>
      <c r="D412" s="237"/>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307"/>
      <c r="AC412" s="307"/>
      <c r="AD412" s="307"/>
      <c r="AE412" s="307"/>
      <c r="AF412" s="307"/>
      <c r="AG412" s="307"/>
      <c r="AH412" s="307"/>
      <c r="AI412" s="307"/>
      <c r="AJ412" s="29">
        <f t="shared" si="189"/>
        <v>0</v>
      </c>
      <c r="AK412" s="116"/>
      <c r="AL412" s="1188"/>
      <c r="AM412" s="31"/>
      <c r="AN412" s="1186"/>
      <c r="AO412" s="13">
        <v>307</v>
      </c>
      <c r="AP412" s="74"/>
      <c r="AQ412" s="75"/>
    </row>
    <row r="413" spans="1:43" ht="25.9" hidden="1" thickBot="1" x14ac:dyDescent="0.8">
      <c r="A413" s="1134"/>
      <c r="B413" s="257" t="s">
        <v>434</v>
      </c>
      <c r="C413" s="580" t="s">
        <v>284</v>
      </c>
      <c r="D413" s="258">
        <f>SUM(D408:D412)</f>
        <v>0</v>
      </c>
      <c r="E413" s="259">
        <f t="shared" ref="E413:AJ413" si="190">SUM(E408:E412)</f>
        <v>0</v>
      </c>
      <c r="F413" s="259">
        <f t="shared" si="190"/>
        <v>0</v>
      </c>
      <c r="G413" s="259">
        <f t="shared" si="190"/>
        <v>0</v>
      </c>
      <c r="H413" s="259">
        <f t="shared" si="190"/>
        <v>0</v>
      </c>
      <c r="I413" s="259">
        <f t="shared" si="190"/>
        <v>0</v>
      </c>
      <c r="J413" s="259">
        <f t="shared" si="190"/>
        <v>0</v>
      </c>
      <c r="K413" s="259">
        <f t="shared" si="190"/>
        <v>0</v>
      </c>
      <c r="L413" s="259">
        <f t="shared" si="190"/>
        <v>0</v>
      </c>
      <c r="M413" s="259">
        <f t="shared" si="190"/>
        <v>0</v>
      </c>
      <c r="N413" s="259">
        <f t="shared" si="190"/>
        <v>0</v>
      </c>
      <c r="O413" s="259">
        <f t="shared" si="190"/>
        <v>0</v>
      </c>
      <c r="P413" s="259">
        <f t="shared" si="190"/>
        <v>0</v>
      </c>
      <c r="Q413" s="259">
        <f t="shared" si="190"/>
        <v>0</v>
      </c>
      <c r="R413" s="259">
        <f t="shared" si="190"/>
        <v>0</v>
      </c>
      <c r="S413" s="259">
        <f t="shared" si="190"/>
        <v>0</v>
      </c>
      <c r="T413" s="259">
        <f t="shared" si="190"/>
        <v>0</v>
      </c>
      <c r="U413" s="259">
        <f t="shared" si="190"/>
        <v>0</v>
      </c>
      <c r="V413" s="259">
        <f t="shared" si="190"/>
        <v>0</v>
      </c>
      <c r="W413" s="259">
        <f t="shared" si="190"/>
        <v>0</v>
      </c>
      <c r="X413" s="259">
        <f t="shared" si="190"/>
        <v>0</v>
      </c>
      <c r="Y413" s="259">
        <f t="shared" si="190"/>
        <v>0</v>
      </c>
      <c r="Z413" s="259">
        <f t="shared" si="190"/>
        <v>0</v>
      </c>
      <c r="AA413" s="259">
        <f t="shared" si="190"/>
        <v>0</v>
      </c>
      <c r="AB413" s="354"/>
      <c r="AC413" s="354"/>
      <c r="AD413" s="354"/>
      <c r="AE413" s="354"/>
      <c r="AF413" s="354"/>
      <c r="AG413" s="354"/>
      <c r="AH413" s="354"/>
      <c r="AI413" s="354"/>
      <c r="AJ413" s="260">
        <f t="shared" si="190"/>
        <v>0</v>
      </c>
      <c r="AK413" s="116"/>
      <c r="AL413" s="1188"/>
      <c r="AM413" s="31"/>
      <c r="AN413" s="1186"/>
      <c r="AO413" s="13">
        <v>308</v>
      </c>
      <c r="AP413" s="74"/>
      <c r="AQ413" s="75"/>
    </row>
    <row r="414" spans="1:43" ht="25.5" hidden="1" x14ac:dyDescent="0.75">
      <c r="A414" s="1132" t="s">
        <v>958</v>
      </c>
      <c r="B414" s="91" t="s">
        <v>294</v>
      </c>
      <c r="C414" s="558" t="s">
        <v>285</v>
      </c>
      <c r="D414" s="236"/>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310"/>
      <c r="AC414" s="310"/>
      <c r="AD414" s="310"/>
      <c r="AE414" s="310"/>
      <c r="AF414" s="310"/>
      <c r="AG414" s="310"/>
      <c r="AH414" s="310"/>
      <c r="AI414" s="310"/>
      <c r="AJ414" s="65">
        <f t="shared" ref="AJ414:AJ420" si="191">SUM(D414:AA414)</f>
        <v>0</v>
      </c>
      <c r="AK414" s="116"/>
      <c r="AL414" s="1188"/>
      <c r="AM414" s="31"/>
      <c r="AN414" s="1186"/>
      <c r="AO414" s="13">
        <v>309</v>
      </c>
      <c r="AP414" s="74"/>
      <c r="AQ414" s="75"/>
    </row>
    <row r="415" spans="1:43" ht="25.5" hidden="1" x14ac:dyDescent="0.75">
      <c r="A415" s="1133"/>
      <c r="B415" s="76" t="s">
        <v>523</v>
      </c>
      <c r="C415" s="559" t="s">
        <v>286</v>
      </c>
      <c r="D415" s="237"/>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307"/>
      <c r="AC415" s="307"/>
      <c r="AD415" s="307"/>
      <c r="AE415" s="307"/>
      <c r="AF415" s="307"/>
      <c r="AG415" s="307"/>
      <c r="AH415" s="307"/>
      <c r="AI415" s="307"/>
      <c r="AJ415" s="29">
        <f t="shared" si="191"/>
        <v>0</v>
      </c>
      <c r="AK415" s="116"/>
      <c r="AL415" s="1188"/>
      <c r="AM415" s="31"/>
      <c r="AN415" s="1186"/>
      <c r="AO415" s="13">
        <v>310</v>
      </c>
      <c r="AP415" s="74"/>
      <c r="AQ415" s="75"/>
    </row>
    <row r="416" spans="1:43" ht="25.5" hidden="1" x14ac:dyDescent="0.75">
      <c r="A416" s="1133"/>
      <c r="B416" s="76" t="s">
        <v>672</v>
      </c>
      <c r="C416" s="559" t="s">
        <v>287</v>
      </c>
      <c r="D416" s="237"/>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307"/>
      <c r="AC416" s="307"/>
      <c r="AD416" s="307"/>
      <c r="AE416" s="307"/>
      <c r="AF416" s="307"/>
      <c r="AG416" s="307"/>
      <c r="AH416" s="307"/>
      <c r="AI416" s="307"/>
      <c r="AJ416" s="29">
        <f t="shared" si="191"/>
        <v>0</v>
      </c>
      <c r="AK416" s="116"/>
      <c r="AL416" s="1188"/>
      <c r="AM416" s="31"/>
      <c r="AN416" s="1186"/>
      <c r="AO416" s="13">
        <v>311</v>
      </c>
      <c r="AP416" s="74"/>
      <c r="AQ416" s="75"/>
    </row>
    <row r="417" spans="1:43" s="61" customFormat="1" ht="25.5" hidden="1" x14ac:dyDescent="0.75">
      <c r="A417" s="1133"/>
      <c r="B417" s="76" t="s">
        <v>295</v>
      </c>
      <c r="C417" s="559" t="s">
        <v>288</v>
      </c>
      <c r="D417" s="237"/>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307"/>
      <c r="AC417" s="307"/>
      <c r="AD417" s="307"/>
      <c r="AE417" s="307"/>
      <c r="AF417" s="307"/>
      <c r="AG417" s="307"/>
      <c r="AH417" s="307"/>
      <c r="AI417" s="307"/>
      <c r="AJ417" s="29">
        <f t="shared" si="191"/>
        <v>0</v>
      </c>
      <c r="AK417" s="116"/>
      <c r="AL417" s="1188"/>
      <c r="AM417" s="60"/>
      <c r="AN417" s="1186"/>
      <c r="AO417" s="13">
        <v>312</v>
      </c>
      <c r="AP417" s="80"/>
      <c r="AQ417" s="75"/>
    </row>
    <row r="418" spans="1:43" ht="25.5" hidden="1" x14ac:dyDescent="0.75">
      <c r="A418" s="1133"/>
      <c r="B418" s="76" t="s">
        <v>524</v>
      </c>
      <c r="C418" s="559" t="s">
        <v>289</v>
      </c>
      <c r="D418" s="237"/>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307"/>
      <c r="AC418" s="307"/>
      <c r="AD418" s="307"/>
      <c r="AE418" s="307"/>
      <c r="AF418" s="307"/>
      <c r="AG418" s="307"/>
      <c r="AH418" s="307"/>
      <c r="AI418" s="307"/>
      <c r="AJ418" s="29">
        <f t="shared" si="191"/>
        <v>0</v>
      </c>
      <c r="AK418" s="116"/>
      <c r="AL418" s="1188"/>
      <c r="AM418" s="31"/>
      <c r="AN418" s="1186"/>
      <c r="AO418" s="13">
        <v>313</v>
      </c>
      <c r="AP418" s="74"/>
      <c r="AQ418" s="75"/>
    </row>
    <row r="419" spans="1:43" ht="25.5" hidden="1" x14ac:dyDescent="0.75">
      <c r="A419" s="1133"/>
      <c r="B419" s="76" t="s">
        <v>296</v>
      </c>
      <c r="C419" s="559" t="s">
        <v>290</v>
      </c>
      <c r="D419" s="237"/>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307"/>
      <c r="AC419" s="307"/>
      <c r="AD419" s="307"/>
      <c r="AE419" s="307"/>
      <c r="AF419" s="307"/>
      <c r="AG419" s="307"/>
      <c r="AH419" s="307"/>
      <c r="AI419" s="307"/>
      <c r="AJ419" s="29">
        <f t="shared" si="191"/>
        <v>0</v>
      </c>
      <c r="AK419" s="116"/>
      <c r="AL419" s="1188"/>
      <c r="AM419" s="31"/>
      <c r="AN419" s="1186"/>
      <c r="AO419" s="13">
        <v>314</v>
      </c>
      <c r="AP419" s="74"/>
      <c r="AQ419" s="75"/>
    </row>
    <row r="420" spans="1:43" ht="25.5" hidden="1" x14ac:dyDescent="0.75">
      <c r="A420" s="1217"/>
      <c r="B420" s="118" t="s">
        <v>297</v>
      </c>
      <c r="C420" s="587" t="s">
        <v>291</v>
      </c>
      <c r="D420" s="248"/>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318"/>
      <c r="AC420" s="318"/>
      <c r="AD420" s="318"/>
      <c r="AE420" s="318"/>
      <c r="AF420" s="318"/>
      <c r="AG420" s="318"/>
      <c r="AH420" s="318"/>
      <c r="AI420" s="318"/>
      <c r="AJ420" s="520">
        <f t="shared" si="191"/>
        <v>0</v>
      </c>
      <c r="AK420" s="122"/>
      <c r="AL420" s="1189"/>
      <c r="AM420" s="123"/>
      <c r="AN420" s="1164"/>
      <c r="AO420" s="13">
        <v>315</v>
      </c>
      <c r="AP420" s="74"/>
      <c r="AQ420" s="75"/>
    </row>
    <row r="421" spans="1:43" ht="25.9" hidden="1" thickBot="1" x14ac:dyDescent="0.8">
      <c r="A421" s="1173" t="s">
        <v>545</v>
      </c>
      <c r="B421" s="1174"/>
      <c r="C421" s="1174"/>
      <c r="D421" s="1174"/>
      <c r="E421" s="1174"/>
      <c r="F421" s="1174"/>
      <c r="G421" s="1174"/>
      <c r="H421" s="1174"/>
      <c r="I421" s="1174"/>
      <c r="J421" s="1174"/>
      <c r="K421" s="1174"/>
      <c r="L421" s="1174"/>
      <c r="M421" s="1174"/>
      <c r="N421" s="1174"/>
      <c r="O421" s="1174"/>
      <c r="P421" s="1174"/>
      <c r="Q421" s="1174"/>
      <c r="R421" s="1174"/>
      <c r="S421" s="1174"/>
      <c r="T421" s="1174"/>
      <c r="U421" s="1174"/>
      <c r="V421" s="1174"/>
      <c r="W421" s="1174"/>
      <c r="X421" s="1174"/>
      <c r="Y421" s="1174"/>
      <c r="Z421" s="1174"/>
      <c r="AA421" s="1174"/>
      <c r="AB421" s="1174"/>
      <c r="AC421" s="1174"/>
      <c r="AD421" s="1174"/>
      <c r="AE421" s="1174"/>
      <c r="AF421" s="1174"/>
      <c r="AG421" s="1174"/>
      <c r="AH421" s="1174"/>
      <c r="AI421" s="1174"/>
      <c r="AJ421" s="1174"/>
      <c r="AK421" s="1174"/>
      <c r="AL421" s="1174"/>
      <c r="AM421" s="1174"/>
      <c r="AN421" s="1175"/>
      <c r="AO421" s="13">
        <v>316</v>
      </c>
      <c r="AP421" s="74"/>
      <c r="AQ421" s="75"/>
    </row>
    <row r="422" spans="1:43" s="61" customFormat="1" ht="50.25" hidden="1" customHeight="1" x14ac:dyDescent="0.75">
      <c r="A422" s="1176" t="s">
        <v>495</v>
      </c>
      <c r="B422" s="902" t="s">
        <v>496</v>
      </c>
      <c r="C422" s="903" t="s">
        <v>499</v>
      </c>
      <c r="D422" s="904"/>
      <c r="E422" s="904"/>
      <c r="F422" s="904"/>
      <c r="G422" s="904"/>
      <c r="H422" s="904"/>
      <c r="I422" s="904"/>
      <c r="J422" s="904"/>
      <c r="K422" s="904"/>
      <c r="L422" s="904"/>
      <c r="M422" s="904"/>
      <c r="N422" s="904"/>
      <c r="O422" s="904"/>
      <c r="P422" s="904"/>
      <c r="Q422" s="904"/>
      <c r="R422" s="904"/>
      <c r="S422" s="904"/>
      <c r="T422" s="904"/>
      <c r="U422" s="904"/>
      <c r="V422" s="904"/>
      <c r="W422" s="904"/>
      <c r="X422" s="904"/>
      <c r="Y422" s="904"/>
      <c r="Z422" s="905">
        <f t="shared" ref="Z422" si="192">SUM(AB422,AD422,AF422,AH422)</f>
        <v>0</v>
      </c>
      <c r="AA422" s="905">
        <f t="shared" ref="AA422" si="193">SUM(AC422,AE422,AG422,AI422)</f>
        <v>0</v>
      </c>
      <c r="AB422" s="904"/>
      <c r="AC422" s="904"/>
      <c r="AD422" s="904"/>
      <c r="AE422" s="904"/>
      <c r="AF422" s="904"/>
      <c r="AG422" s="904"/>
      <c r="AH422" s="904"/>
      <c r="AI422" s="904"/>
      <c r="AJ422" s="906">
        <f t="shared" ref="AJ422" si="194">SUM(D422:AA422)</f>
        <v>0</v>
      </c>
      <c r="AK422" s="907" t="str">
        <f>CONCATENATE(IF(D423&gt;D422," * TB Cases with Known HIV Positive status "&amp;$D$20&amp;" "&amp;$D$21&amp;" is more than Total TB Cases New and relapsed"&amp;CHAR(10),""),IF(E423&gt;E422," * TB Cases with Known HIV Positive status "&amp;$D$20&amp;" "&amp;$E$21&amp;" is more than Total TB Cases New and relapsed"&amp;CHAR(10),""),IF(F423&gt;F422," * TB Cases with Known HIV Positive status "&amp;$F$20&amp;" "&amp;$F$21&amp;" is more than Total TB Cases New and relapsed"&amp;CHAR(10),""),IF(G423&gt;G422," * TB Cases with Known HIV Positive status "&amp;$F$20&amp;" "&amp;$G$21&amp;" is more than Total TB Cases New and relapsed"&amp;CHAR(10),""),IF(H423&gt;H422," * TB Cases with Known HIV Positive status "&amp;$H$20&amp;" "&amp;$H$21&amp;" is more than Total TB Cases New and relapsed"&amp;CHAR(10),""),IF(I423&gt;I422," * TB Cases with Known HIV Positive status "&amp;$H$20&amp;" "&amp;$I$21&amp;" is more than Total TB Cases New and relapsed"&amp;CHAR(10),""),IF(J423&gt;J422," * TB Cases with Known HIV Positive status "&amp;$J$20&amp;" "&amp;$J$21&amp;" is more than Total TB Cases New and relapsed"&amp;CHAR(10),""),IF(K423&gt;K422," * TB Cases with Known HIV Positive status "&amp;$J$20&amp;" "&amp;$K$21&amp;" is more than Total TB Cases New and relapsed"&amp;CHAR(10),""),IF(L423&gt;L422," * TB Cases with Known HIV Positive status "&amp;$L$20&amp;" "&amp;$L$21&amp;" is more than Total TB Cases New and relapsed"&amp;CHAR(10),""),IF(M423&gt;M422," * TB Cases with Known HIV Positive status "&amp;$L$20&amp;" "&amp;$M$21&amp;" is more than Total TB Cases New and relapsed"&amp;CHAR(10),""),IF(N423&gt;N422," * TB Cases with Known HIV Positive status "&amp;$N$20&amp;" "&amp;$N$21&amp;" is more than Total TB Cases New and relapsed"&amp;CHAR(10),""),IF(O423&gt;O422," * TB Cases with Known HIV Positive status "&amp;$N$20&amp;" "&amp;$O$21&amp;" is more than Total TB Cases New and relapsed"&amp;CHAR(10),""),IF(P423&gt;P422," * TB Cases with Known HIV Positive status "&amp;$P$20&amp;" "&amp;$P$21&amp;" is more than Total TB Cases New and relapsed"&amp;CHAR(10),""),IF(Q423&gt;Q422," * TB Cases with Known HIV Positive status "&amp;$P$20&amp;" "&amp;$Q$21&amp;" is more than Total TB Cases New and relapsed"&amp;CHAR(10),""),IF(R423&gt;R422," * TB Cases with Known HIV Positive status "&amp;$R$20&amp;" "&amp;$R$21&amp;" is more than Total TB Cases New and relapsed"&amp;CHAR(10),""),IF(S423&gt;S422," * TB Cases with Known HIV Positive status "&amp;$R$20&amp;" "&amp;$S$21&amp;" is more than Total TB Cases New and relapsed"&amp;CHAR(10),""),IF(T423&gt;T422," * TB Cases with Known HIV Positive status "&amp;$T$20&amp;" "&amp;$T$21&amp;" is more than Total TB Cases New and relapsed"&amp;CHAR(10),""),IF(U423&gt;U422," * TB Cases with Known HIV Positive status "&amp;$T$20&amp;" "&amp;$U$21&amp;" is more than Total TB Cases New and relapsed"&amp;CHAR(10),""),IF(V423&gt;V422," * TB Cases with Known HIV Positive status "&amp;$V$20&amp;" "&amp;$V$21&amp;" is more than Total TB Cases New and relapsed"&amp;CHAR(10),""),IF(W423&gt;W422," * TB Cases with Known HIV Positive status "&amp;$V$20&amp;" "&amp;$W$21&amp;" is more than Total TB Cases New and relapsed"&amp;CHAR(10),""),IF(X423&gt;X422," * TB Cases with Known HIV Positive status "&amp;$X$20&amp;" "&amp;$X$21&amp;" is more than Total TB Cases New and relapsed"&amp;CHAR(10),""),IF(Y423&gt;Y422," * TB Cases with Known HIV Positive status "&amp;$X$20&amp;" "&amp;$Y$21&amp;" is more than Total TB Cases New and relapsed"&amp;CHAR(10),""),IF(Z423&gt;Z422," * TB Cases with Known HIV Positive status "&amp;$Z$20&amp;" "&amp;$Z$21&amp;" is more than Total TB Cases New and relapsed"&amp;CHAR(10),""),IF(AA423&gt;AA422," * TB Cases with Known HIV Positive status "&amp;$Z$20&amp;" "&amp;$AA$21&amp;" is more than Total TB Cases New and relapsed"&amp;CHAR(10),""))</f>
        <v/>
      </c>
      <c r="AL422" s="1207" t="str">
        <f>CONCATENATE(AK422,AK423,AK426,AK427,AK428,AK429,AK430,AK431,AK432,AK424,AK425)</f>
        <v/>
      </c>
      <c r="AM422" s="908"/>
      <c r="AN422" s="1209" t="str">
        <f>CONCATENATE(AM422,AM423,AM425,AM426,AM427,AM428,AM429,AM430,AM431,AM432)</f>
        <v/>
      </c>
      <c r="AO422" s="13">
        <v>317</v>
      </c>
      <c r="AP422" s="80"/>
      <c r="AQ422" s="75"/>
    </row>
    <row r="423" spans="1:43" s="261" customFormat="1" ht="25.5" hidden="1" x14ac:dyDescent="0.75">
      <c r="A423" s="1176"/>
      <c r="B423" s="909" t="s">
        <v>959</v>
      </c>
      <c r="C423" s="910" t="s">
        <v>509</v>
      </c>
      <c r="D423" s="911"/>
      <c r="E423" s="911"/>
      <c r="F423" s="911"/>
      <c r="G423" s="911"/>
      <c r="H423" s="911"/>
      <c r="I423" s="911"/>
      <c r="J423" s="911"/>
      <c r="K423" s="911"/>
      <c r="L423" s="911"/>
      <c r="M423" s="911"/>
      <c r="N423" s="911"/>
      <c r="O423" s="911"/>
      <c r="P423" s="911"/>
      <c r="Q423" s="911"/>
      <c r="R423" s="911"/>
      <c r="S423" s="911"/>
      <c r="T423" s="911"/>
      <c r="U423" s="911"/>
      <c r="V423" s="911"/>
      <c r="W423" s="911"/>
      <c r="X423" s="911"/>
      <c r="Y423" s="911"/>
      <c r="Z423" s="905">
        <f t="shared" ref="Z423:Z424" si="195">SUM(AB423,AD423,AF423,AH423)</f>
        <v>0</v>
      </c>
      <c r="AA423" s="905">
        <f t="shared" ref="AA423:AA424" si="196">SUM(AC423,AE423,AG423,AI423)</f>
        <v>0</v>
      </c>
      <c r="AB423" s="911"/>
      <c r="AC423" s="911"/>
      <c r="AD423" s="911"/>
      <c r="AE423" s="911"/>
      <c r="AF423" s="911"/>
      <c r="AG423" s="911"/>
      <c r="AH423" s="911"/>
      <c r="AI423" s="911"/>
      <c r="AJ423" s="912">
        <f t="shared" ref="AJ423:AJ432" si="197">SUM(D423:AA423)</f>
        <v>0</v>
      </c>
      <c r="AK423" s="913"/>
      <c r="AL423" s="1207"/>
      <c r="AM423" s="914"/>
      <c r="AN423" s="1209"/>
      <c r="AO423" s="13">
        <v>318</v>
      </c>
      <c r="AP423" s="80"/>
      <c r="AQ423" s="149"/>
    </row>
    <row r="424" spans="1:43" s="261" customFormat="1" ht="25.5" hidden="1" x14ac:dyDescent="0.75">
      <c r="A424" s="1176"/>
      <c r="B424" s="992" t="s">
        <v>1306</v>
      </c>
      <c r="C424" s="993" t="s">
        <v>943</v>
      </c>
      <c r="D424" s="916"/>
      <c r="E424" s="911"/>
      <c r="F424" s="911"/>
      <c r="G424" s="911"/>
      <c r="H424" s="911"/>
      <c r="I424" s="911"/>
      <c r="J424" s="911"/>
      <c r="K424" s="911"/>
      <c r="L424" s="911"/>
      <c r="M424" s="911"/>
      <c r="N424" s="911"/>
      <c r="O424" s="911"/>
      <c r="P424" s="911"/>
      <c r="Q424" s="911"/>
      <c r="R424" s="911"/>
      <c r="S424" s="911"/>
      <c r="T424" s="911"/>
      <c r="U424" s="911"/>
      <c r="V424" s="911"/>
      <c r="W424" s="911"/>
      <c r="X424" s="911"/>
      <c r="Y424" s="911"/>
      <c r="Z424" s="905">
        <f t="shared" si="195"/>
        <v>0</v>
      </c>
      <c r="AA424" s="905">
        <f t="shared" si="196"/>
        <v>0</v>
      </c>
      <c r="AB424" s="911"/>
      <c r="AC424" s="911"/>
      <c r="AD424" s="911"/>
      <c r="AE424" s="911"/>
      <c r="AF424" s="911"/>
      <c r="AG424" s="911"/>
      <c r="AH424" s="911"/>
      <c r="AI424" s="911"/>
      <c r="AJ424" s="912">
        <f t="shared" si="197"/>
        <v>0</v>
      </c>
      <c r="AK424" s="913"/>
      <c r="AL424" s="1207"/>
      <c r="AM424" s="914"/>
      <c r="AN424" s="1209"/>
      <c r="AO424" s="13"/>
      <c r="AP424" s="80"/>
      <c r="AQ424" s="149"/>
    </row>
    <row r="425" spans="1:43" s="261" customFormat="1" ht="25.5" hidden="1" x14ac:dyDescent="0.75">
      <c r="A425" s="1176"/>
      <c r="B425" s="917" t="s">
        <v>497</v>
      </c>
      <c r="C425" s="910" t="s">
        <v>510</v>
      </c>
      <c r="D425" s="918"/>
      <c r="E425" s="919"/>
      <c r="F425" s="920">
        <f>F422-(F423+F424)</f>
        <v>0</v>
      </c>
      <c r="G425" s="920">
        <f t="shared" ref="G425:Y425" si="198">G422-(G423+G424)</f>
        <v>0</v>
      </c>
      <c r="H425" s="920">
        <f t="shared" si="198"/>
        <v>0</v>
      </c>
      <c r="I425" s="920">
        <f t="shared" si="198"/>
        <v>0</v>
      </c>
      <c r="J425" s="920">
        <f t="shared" si="198"/>
        <v>0</v>
      </c>
      <c r="K425" s="920">
        <f t="shared" si="198"/>
        <v>0</v>
      </c>
      <c r="L425" s="920">
        <f t="shared" si="198"/>
        <v>0</v>
      </c>
      <c r="M425" s="920">
        <f t="shared" si="198"/>
        <v>0</v>
      </c>
      <c r="N425" s="920">
        <f t="shared" si="198"/>
        <v>0</v>
      </c>
      <c r="O425" s="920">
        <f t="shared" si="198"/>
        <v>0</v>
      </c>
      <c r="P425" s="920">
        <f t="shared" si="198"/>
        <v>0</v>
      </c>
      <c r="Q425" s="920">
        <f t="shared" si="198"/>
        <v>0</v>
      </c>
      <c r="R425" s="920">
        <f t="shared" si="198"/>
        <v>0</v>
      </c>
      <c r="S425" s="920">
        <f t="shared" si="198"/>
        <v>0</v>
      </c>
      <c r="T425" s="920">
        <f t="shared" si="198"/>
        <v>0</v>
      </c>
      <c r="U425" s="920">
        <f t="shared" si="198"/>
        <v>0</v>
      </c>
      <c r="V425" s="920">
        <f t="shared" si="198"/>
        <v>0</v>
      </c>
      <c r="W425" s="920">
        <f t="shared" si="198"/>
        <v>0</v>
      </c>
      <c r="X425" s="920">
        <f t="shared" si="198"/>
        <v>0</v>
      </c>
      <c r="Y425" s="920">
        <f t="shared" si="198"/>
        <v>0</v>
      </c>
      <c r="Z425" s="905">
        <f t="shared" ref="Z425:Z430" si="199">SUM(AB425,AD425,AF425,AH425)</f>
        <v>0</v>
      </c>
      <c r="AA425" s="905">
        <f t="shared" ref="AA425:AA430" si="200">SUM(AC425,AE425,AG425,AI425)</f>
        <v>0</v>
      </c>
      <c r="AB425" s="920">
        <f t="shared" ref="AB425:AI425" si="201">AB422-(AB423+AB424)</f>
        <v>0</v>
      </c>
      <c r="AC425" s="920">
        <f t="shared" si="201"/>
        <v>0</v>
      </c>
      <c r="AD425" s="920">
        <f t="shared" si="201"/>
        <v>0</v>
      </c>
      <c r="AE425" s="920">
        <f t="shared" si="201"/>
        <v>0</v>
      </c>
      <c r="AF425" s="920">
        <f t="shared" si="201"/>
        <v>0</v>
      </c>
      <c r="AG425" s="920">
        <f t="shared" si="201"/>
        <v>0</v>
      </c>
      <c r="AH425" s="920">
        <f t="shared" si="201"/>
        <v>0</v>
      </c>
      <c r="AI425" s="920">
        <f t="shared" si="201"/>
        <v>0</v>
      </c>
      <c r="AJ425" s="912">
        <f t="shared" si="197"/>
        <v>0</v>
      </c>
      <c r="AK425" s="913"/>
      <c r="AL425" s="1207"/>
      <c r="AM425" s="914" t="str">
        <f>CONCATENATE(IF(D425&gt;D426," * TB Cases newly tested for HIV "&amp;$D$20&amp;" "&amp;$D$21&amp;" is less than TB Cases eligible for Testing"&amp;CHAR(10),""),IF(E425&gt;E426," * TB Cases newly tested for HIV "&amp;$D$20&amp;" "&amp;$E$21&amp;" is less than TB Cases eligible for Testing"&amp;CHAR(10),""),IF(F425&gt;F426," * TB Cases newly tested for HIV "&amp;$F$20&amp;" "&amp;$F$21&amp;" is less than TB Cases eligible for Testing"&amp;CHAR(10),""),IF(G425&gt;G426," * TB Cases newly tested for HIV "&amp;$F$20&amp;" "&amp;$G$21&amp;" is less than TB Cases eligible for Testing"&amp;CHAR(10),""),IF(H425&gt;H426," * TB Cases newly tested for HIV "&amp;$H$20&amp;" "&amp;$H$21&amp;" is less than TB Cases eligible for Testing"&amp;CHAR(10),""),IF(I425&gt;I426," * TB Cases newly tested for HIV "&amp;$H$20&amp;" "&amp;$I$21&amp;" is less than TB Cases eligible for Testing"&amp;CHAR(10),""),IF(J425&gt;J426," * TB Cases newly tested for HIV "&amp;$J$20&amp;" "&amp;$J$21&amp;" is less than TB Cases eligible for Testing"&amp;CHAR(10),""),IF(K425&gt;K426," * TB Cases newly tested for HIV "&amp;$J$20&amp;" "&amp;$K$21&amp;" is less than TB Cases eligible for Testing"&amp;CHAR(10),""),IF(L425&gt;L426," * TB Cases newly tested for HIV "&amp;$L$20&amp;" "&amp;$L$21&amp;" is less than TB Cases eligible for Testing"&amp;CHAR(10),""),IF(M425&gt;M426," * TB Cases newly tested for HIV "&amp;$L$20&amp;" "&amp;$M$21&amp;" is less than TB Cases eligible for Testing"&amp;CHAR(10),""),IF(N425&gt;N426," * TB Cases newly tested for HIV "&amp;$N$20&amp;" "&amp;$N$21&amp;" is less than TB Cases eligible for Testing"&amp;CHAR(10),""),IF(O425&gt;O426," * TB Cases newly tested for HIV "&amp;$N$20&amp;" "&amp;$O$21&amp;" is less than TB Cases eligible for Testing"&amp;CHAR(10),""),IF(P425&gt;P426," * TB Cases newly tested for HIV "&amp;$P$20&amp;" "&amp;$P$21&amp;" is less than TB Cases eligible for Testing"&amp;CHAR(10),""),IF(Q425&gt;Q426," * TB Cases newly tested for HIV "&amp;$P$20&amp;" "&amp;$Q$21&amp;" is less than TB Cases eligible for Testing"&amp;CHAR(10),""),IF(R425&gt;R426," * TB Cases newly tested for HIV "&amp;$R$20&amp;" "&amp;$R$21&amp;" is less than TB Cases eligible for Testing"&amp;CHAR(10),""),IF(S425&gt;S426," * TB Cases newly tested for HIV "&amp;$R$20&amp;" "&amp;$S$21&amp;" is less than TB Cases eligible for Testing"&amp;CHAR(10),""),IF(T425&gt;T426," * TB Cases newly tested for HIV "&amp;$T$20&amp;" "&amp;$T$21&amp;" is less than TB Cases eligible for Testing"&amp;CHAR(10),""),IF(U425&gt;U426," * TB Cases newly tested for HIV "&amp;$T$20&amp;" "&amp;$U$21&amp;" is less than TB Cases eligible for Testing"&amp;CHAR(10),""),IF(V425&gt;V426," * TB Cases newly tested for HIV "&amp;$V$20&amp;" "&amp;$V$21&amp;" is less than TB Cases eligible for Testing"&amp;CHAR(10),""),IF(W425&gt;W426," * TB Cases newly tested for HIV "&amp;$V$20&amp;" "&amp;$W$21&amp;" is less than TB Cases eligible for Testing"&amp;CHAR(10),""),IF(X425&gt;X426," * TB Cases newly tested for HIV "&amp;$X$20&amp;" "&amp;$X$21&amp;" is less than TB Cases eligible for Testing"&amp;CHAR(10),""),IF(Y425&gt;Y426," * TB Cases newly tested for HIV "&amp;$X$20&amp;" "&amp;$Y$21&amp;" is less than TB Cases eligible for Testing"&amp;CHAR(10),""),IF(Z425&gt;Z426," * TB Cases newly tested for HIV "&amp;$Z$20&amp;" "&amp;$Z$21&amp;" is less than TB Cases eligible for Testing"&amp;CHAR(10),""),IF(AA425&gt;AA426," * TB Cases newly tested for HIV "&amp;$Z$20&amp;" "&amp;$AA$21&amp;" is less than TB Cases eligible for Testing"&amp;CHAR(10),""))</f>
        <v/>
      </c>
      <c r="AN425" s="1209"/>
      <c r="AO425" s="13">
        <v>319</v>
      </c>
      <c r="AP425" s="80"/>
      <c r="AQ425" s="149"/>
    </row>
    <row r="426" spans="1:43" s="261" customFormat="1" ht="25.5" hidden="1" x14ac:dyDescent="0.75">
      <c r="A426" s="1176"/>
      <c r="B426" s="909" t="s">
        <v>519</v>
      </c>
      <c r="C426" s="910" t="s">
        <v>511</v>
      </c>
      <c r="D426" s="918"/>
      <c r="E426" s="919"/>
      <c r="F426" s="921"/>
      <c r="G426" s="921"/>
      <c r="H426" s="921"/>
      <c r="I426" s="921"/>
      <c r="J426" s="921"/>
      <c r="K426" s="921"/>
      <c r="L426" s="921"/>
      <c r="M426" s="921"/>
      <c r="N426" s="921"/>
      <c r="O426" s="921"/>
      <c r="P426" s="921"/>
      <c r="Q426" s="921"/>
      <c r="R426" s="921"/>
      <c r="S426" s="921"/>
      <c r="T426" s="921"/>
      <c r="U426" s="921"/>
      <c r="V426" s="921"/>
      <c r="W426" s="921"/>
      <c r="X426" s="921"/>
      <c r="Y426" s="921"/>
      <c r="Z426" s="905">
        <f t="shared" si="199"/>
        <v>0</v>
      </c>
      <c r="AA426" s="905">
        <f t="shared" si="200"/>
        <v>0</v>
      </c>
      <c r="AB426" s="921"/>
      <c r="AC426" s="921"/>
      <c r="AD426" s="921"/>
      <c r="AE426" s="921"/>
      <c r="AF426" s="921"/>
      <c r="AG426" s="921"/>
      <c r="AH426" s="921"/>
      <c r="AI426" s="921"/>
      <c r="AJ426" s="912">
        <f t="shared" si="197"/>
        <v>0</v>
      </c>
      <c r="AK426" s="922" t="str">
        <f>CONCATENATE(IF(D422&lt;D426," * TB Cases newly tested for HIV "&amp;$D$20&amp;" "&amp;$D$21&amp;" is more than Total TB Cases New and relapsed"&amp;CHAR(10),""),IF(E422&lt;E426," * TB Cases newly tested for HIV "&amp;$D$20&amp;" "&amp;$E$21&amp;" is more than Total TB Cases New and relapsed"&amp;CHAR(10),""),IF(F422&lt;F426," * TB Cases newly tested for HIV "&amp;$F$20&amp;" "&amp;$F$21&amp;" is more than Total TB Cases New and relapsed"&amp;CHAR(10),""),IF(G422&lt;G426," * TB Cases newly tested for HIV "&amp;$F$20&amp;" "&amp;$G$21&amp;" is more than Total TB Cases New and relapsed"&amp;CHAR(10),""),IF(H422&lt;H426," * TB Cases newly tested for HIV "&amp;$H$20&amp;" "&amp;$H$21&amp;" is more than Total TB Cases New and relapsed"&amp;CHAR(10),""),IF(I422&lt;I426," * TB Cases newly tested for HIV "&amp;$H$20&amp;" "&amp;$I$21&amp;" is more than Total TB Cases New and relapsed"&amp;CHAR(10),""),IF(J422&lt;J426," * TB Cases newly tested for HIV "&amp;$J$20&amp;" "&amp;$J$21&amp;" is more than Total TB Cases New and relapsed"&amp;CHAR(10),""),IF(K422&lt;K426," * TB Cases newly tested for HIV "&amp;$J$20&amp;" "&amp;$K$21&amp;" is more than Total TB Cases New and relapsed"&amp;CHAR(10),""),IF(L422&lt;L426," * TB Cases newly tested for HIV "&amp;$L$20&amp;" "&amp;$L$21&amp;" is more than Total TB Cases New and relapsed"&amp;CHAR(10),""),IF(M422&lt;M426," * TB Cases newly tested for HIV "&amp;$L$20&amp;" "&amp;$M$21&amp;" is more than Total TB Cases New and relapsed"&amp;CHAR(10),""),IF(N422&lt;N426," * TB Cases newly tested for HIV "&amp;$N$20&amp;" "&amp;$N$21&amp;" is more than Total TB Cases New and relapsed"&amp;CHAR(10),""),IF(O422&lt;O426," * TB Cases newly tested for HIV "&amp;$N$20&amp;" "&amp;$O$21&amp;" is more than Total TB Cases New and relapsed"&amp;CHAR(10),""),IF(P422&lt;P426," * TB Cases newly tested for HIV "&amp;$P$20&amp;" "&amp;$P$21&amp;" is more than Total TB Cases New and relapsed"&amp;CHAR(10),""),IF(Q422&lt;Q426," * TB Cases newly tested for HIV "&amp;$P$20&amp;" "&amp;$Q$21&amp;" is more than Total TB Cases New and relapsed"&amp;CHAR(10),""),IF(R422&lt;R426," * TB Cases newly tested for HIV "&amp;$R$20&amp;" "&amp;$R$21&amp;" is more than Total TB Cases New and relapsed"&amp;CHAR(10),""),IF(S422&lt;S426," * TB Cases newly tested for HIV "&amp;$R$20&amp;" "&amp;$S$21&amp;" is more than Total TB Cases New and relapsed"&amp;CHAR(10),""),IF(T422&lt;T426," * TB Cases newly tested for HIV "&amp;$T$20&amp;" "&amp;$T$21&amp;" is more than Total TB Cases New and relapsed"&amp;CHAR(10),""),IF(U422&lt;U426," * TB Cases newly tested for HIV "&amp;$T$20&amp;" "&amp;$U$21&amp;" is more than Total TB Cases New and relapsed"&amp;CHAR(10),""),IF(V422&lt;V426," * TB Cases newly tested for HIV "&amp;$V$20&amp;" "&amp;$V$21&amp;" is more than Total TB Cases New and relapsed"&amp;CHAR(10),""),IF(W422&lt;W426," * TB Cases newly tested for HIV "&amp;$V$20&amp;" "&amp;$W$21&amp;" is more than Total TB Cases New and relapsed"&amp;CHAR(10),""),IF(X422&lt;X426," * TB Cases newly tested for HIV "&amp;$X$20&amp;" "&amp;$X$21&amp;" is more than Total TB Cases New and relapsed"&amp;CHAR(10),""),IF(Y422&lt;Y426," * TB Cases newly tested for HIV "&amp;$X$20&amp;" "&amp;$Y$21&amp;" is more than Total TB Cases New and relapsed"&amp;CHAR(10),""),IF(Z422&lt;Z426," * TB Cases newly tested for HIV "&amp;$Z$20&amp;" "&amp;$Z$21&amp;" is more than Total TB Cases New and relapsed"&amp;CHAR(10),""),IF(AA422&lt;AA426," * TB Cases newly tested for HIV "&amp;$Z$20&amp;" "&amp;$AA$21&amp;" is more than Total TB Cases New and relapsed"&amp;CHAR(10),""))</f>
        <v/>
      </c>
      <c r="AL426" s="1207"/>
      <c r="AM426" s="923"/>
      <c r="AN426" s="1209"/>
      <c r="AO426" s="13">
        <v>320</v>
      </c>
      <c r="AP426" s="80"/>
      <c r="AQ426" s="149"/>
    </row>
    <row r="427" spans="1:43" s="261" customFormat="1" ht="25.5" hidden="1" x14ac:dyDescent="0.75">
      <c r="A427" s="1176"/>
      <c r="B427" s="917" t="s">
        <v>498</v>
      </c>
      <c r="C427" s="910" t="s">
        <v>512</v>
      </c>
      <c r="D427" s="920">
        <f t="shared" ref="D427:E427" si="202">D426+D423+D424</f>
        <v>0</v>
      </c>
      <c r="E427" s="920">
        <f t="shared" si="202"/>
        <v>0</v>
      </c>
      <c r="F427" s="920">
        <f>F426+F423+F424</f>
        <v>0</v>
      </c>
      <c r="G427" s="920">
        <f t="shared" ref="G427:Y427" si="203">G426+G423+G424</f>
        <v>0</v>
      </c>
      <c r="H427" s="920">
        <f t="shared" si="203"/>
        <v>0</v>
      </c>
      <c r="I427" s="920">
        <f t="shared" si="203"/>
        <v>0</v>
      </c>
      <c r="J427" s="920">
        <f t="shared" si="203"/>
        <v>0</v>
      </c>
      <c r="K427" s="920">
        <f t="shared" si="203"/>
        <v>0</v>
      </c>
      <c r="L427" s="920">
        <f t="shared" si="203"/>
        <v>0</v>
      </c>
      <c r="M427" s="920">
        <f t="shared" si="203"/>
        <v>0</v>
      </c>
      <c r="N427" s="920">
        <f t="shared" si="203"/>
        <v>0</v>
      </c>
      <c r="O427" s="920">
        <f t="shared" si="203"/>
        <v>0</v>
      </c>
      <c r="P427" s="920">
        <f t="shared" si="203"/>
        <v>0</v>
      </c>
      <c r="Q427" s="920">
        <f t="shared" si="203"/>
        <v>0</v>
      </c>
      <c r="R427" s="920">
        <f t="shared" si="203"/>
        <v>0</v>
      </c>
      <c r="S427" s="920">
        <f t="shared" si="203"/>
        <v>0</v>
      </c>
      <c r="T427" s="920">
        <f t="shared" si="203"/>
        <v>0</v>
      </c>
      <c r="U427" s="920">
        <f t="shared" si="203"/>
        <v>0</v>
      </c>
      <c r="V427" s="920">
        <f t="shared" si="203"/>
        <v>0</v>
      </c>
      <c r="W427" s="920">
        <f t="shared" si="203"/>
        <v>0</v>
      </c>
      <c r="X427" s="920">
        <f t="shared" si="203"/>
        <v>0</v>
      </c>
      <c r="Y427" s="920">
        <f t="shared" si="203"/>
        <v>0</v>
      </c>
      <c r="Z427" s="920">
        <f>Z426+Z423+Z424</f>
        <v>0</v>
      </c>
      <c r="AA427" s="920">
        <f>AA426+AA423+AA424</f>
        <v>0</v>
      </c>
      <c r="AB427" s="920">
        <f>AB426+AB423+AB424</f>
        <v>0</v>
      </c>
      <c r="AC427" s="920">
        <f>AC426+AC423+AC424</f>
        <v>0</v>
      </c>
      <c r="AD427" s="920">
        <f t="shared" ref="AD427:AI427" si="204">AD426+AD423+AD424</f>
        <v>0</v>
      </c>
      <c r="AE427" s="920">
        <f t="shared" si="204"/>
        <v>0</v>
      </c>
      <c r="AF427" s="920">
        <f t="shared" si="204"/>
        <v>0</v>
      </c>
      <c r="AG427" s="920">
        <f t="shared" si="204"/>
        <v>0</v>
      </c>
      <c r="AH427" s="920">
        <f>AH426+AH423+AH424</f>
        <v>0</v>
      </c>
      <c r="AI427" s="920">
        <f t="shared" si="204"/>
        <v>0</v>
      </c>
      <c r="AJ427" s="912">
        <f>SUM(D427:AA427)</f>
        <v>0</v>
      </c>
      <c r="AK427" s="922" t="str">
        <f>CONCATENATE(IF(D422&lt;D427," * TB cases with documented HIV status "&amp;$D$20&amp;" "&amp;$D$21&amp;" is more than Total TB Cases New and relapsed"&amp;CHAR(10),""),IF(E422&lt;E427," * TB cases with documented HIV status "&amp;$D$20&amp;" "&amp;$E$21&amp;" is more than Total TB Cases New and relapsed"&amp;CHAR(10),""),IF(F422&lt;F427," * TB cases with documented HIV status "&amp;$F$20&amp;" "&amp;$F$21&amp;" is more than Total TB Cases New and relapsed"&amp;CHAR(10),""),IF(G422&lt;G427," * TB cases with documented HIV status "&amp;$F$20&amp;" "&amp;$G$21&amp;" is more than Total TB Cases New and relapsed"&amp;CHAR(10),""),IF(H422&lt;H427," * TB cases with documented HIV status "&amp;$H$20&amp;" "&amp;$H$21&amp;" is more than Total TB Cases New and relapsed"&amp;CHAR(10),""),IF(I422&lt;I427," * TB cases with documented HIV status "&amp;$H$20&amp;" "&amp;$I$21&amp;" is more than Total TB Cases New and relapsed"&amp;CHAR(10),""),IF(J422&lt;J427," * TB cases with documented HIV status "&amp;$J$20&amp;" "&amp;$J$21&amp;" is more than Total TB Cases New and relapsed"&amp;CHAR(10),""),IF(K422&lt;K427," * TB cases with documented HIV status "&amp;$J$20&amp;" "&amp;$K$21&amp;" is more than Total TB Cases New and relapsed"&amp;CHAR(10),""),IF(L422&lt;L427," * TB cases with documented HIV status "&amp;$L$20&amp;" "&amp;$L$21&amp;" is more than Total TB Cases New and relapsed"&amp;CHAR(10),""),IF(M422&lt;M427," * TB cases with documented HIV status "&amp;$L$20&amp;" "&amp;$M$21&amp;" is more than Total TB Cases New and relapsed"&amp;CHAR(10),""),IF(N422&lt;N427," * TB cases with documented HIV status "&amp;$N$20&amp;" "&amp;$N$21&amp;" is more than Total TB Cases New and relapsed"&amp;CHAR(10),""),IF(O422&lt;O427," * TB cases with documented HIV status "&amp;$N$20&amp;" "&amp;$O$21&amp;" is more than Total TB Cases New and relapsed"&amp;CHAR(10),""),IF(P422&lt;P427," * TB cases with documented HIV status "&amp;$P$20&amp;" "&amp;$P$21&amp;" is more than Total TB Cases New and relapsed"&amp;CHAR(10),""),IF(Q422&lt;Q427," * TB cases with documented HIV status "&amp;$P$20&amp;" "&amp;$Q$21&amp;" is more than Total TB Cases New and relapsed"&amp;CHAR(10),""),IF(R422&lt;R427," * TB cases with documented HIV status "&amp;$R$20&amp;" "&amp;$R$21&amp;" is more than Total TB Cases New and relapsed"&amp;CHAR(10),""),IF(S422&lt;S427," * TB cases with documented HIV status "&amp;$R$20&amp;" "&amp;$S$21&amp;" is more than Total TB Cases New and relapsed"&amp;CHAR(10),""),IF(T422&lt;T427," * TB cases with documented HIV status "&amp;$T$20&amp;" "&amp;$T$21&amp;" is more than Total TB Cases New and relapsed"&amp;CHAR(10),""),IF(U422&lt;U427," * TB cases with documented HIV status "&amp;$T$20&amp;" "&amp;$U$21&amp;" is more than Total TB Cases New and relapsed"&amp;CHAR(10),""),IF(V422&lt;V427," * TB cases with documented HIV status "&amp;$V$20&amp;" "&amp;$V$21&amp;" is more than Total TB Cases New and relapsed"&amp;CHAR(10),""),IF(W422&lt;W427," * TB cases with documented HIV status "&amp;$V$20&amp;" "&amp;$W$21&amp;" is more than Total TB Cases New and relapsed"&amp;CHAR(10),""),IF(X422&lt;X427," * TB cases with documented HIV status "&amp;$X$20&amp;" "&amp;$X$21&amp;" is more than Total TB Cases New and relapsed"&amp;CHAR(10),""),IF(Y422&lt;Y427," * TB cases with documented HIV status "&amp;$X$20&amp;" "&amp;$Y$21&amp;" is more than Total TB Cases New and relapsed"&amp;CHAR(10),""),IF(Z422&lt;Z427," * TB cases with documented HIV status "&amp;$Z$20&amp;" "&amp;$Z$21&amp;" is more than Total TB Cases New and relapsed"&amp;CHAR(10),""),IF(AA422&lt;AA427," * TB cases with documented HIV status "&amp;$Z$20&amp;" "&amp;$AA$21&amp;" is more than Total TB Cases New and relapsed"&amp;CHAR(10),""))</f>
        <v/>
      </c>
      <c r="AL427" s="1207"/>
      <c r="AM427" s="914"/>
      <c r="AN427" s="1209"/>
      <c r="AO427" s="13">
        <v>321</v>
      </c>
      <c r="AP427" s="80"/>
      <c r="AQ427" s="149"/>
    </row>
    <row r="428" spans="1:43" s="61" customFormat="1" ht="25.5" hidden="1" x14ac:dyDescent="0.75">
      <c r="A428" s="1176"/>
      <c r="B428" s="909" t="s">
        <v>521</v>
      </c>
      <c r="C428" s="910" t="s">
        <v>513</v>
      </c>
      <c r="D428" s="918"/>
      <c r="E428" s="919"/>
      <c r="F428" s="924"/>
      <c r="G428" s="924"/>
      <c r="H428" s="924"/>
      <c r="I428" s="924"/>
      <c r="J428" s="924"/>
      <c r="K428" s="924"/>
      <c r="L428" s="924"/>
      <c r="M428" s="924"/>
      <c r="N428" s="924"/>
      <c r="O428" s="924"/>
      <c r="P428" s="924"/>
      <c r="Q428" s="924"/>
      <c r="R428" s="924"/>
      <c r="S428" s="924"/>
      <c r="T428" s="924"/>
      <c r="U428" s="924"/>
      <c r="V428" s="924"/>
      <c r="W428" s="924"/>
      <c r="X428" s="924"/>
      <c r="Y428" s="924"/>
      <c r="Z428" s="905">
        <f t="shared" si="199"/>
        <v>0</v>
      </c>
      <c r="AA428" s="905">
        <f t="shared" si="200"/>
        <v>0</v>
      </c>
      <c r="AB428" s="924"/>
      <c r="AC428" s="924"/>
      <c r="AD428" s="924"/>
      <c r="AE428" s="924"/>
      <c r="AF428" s="924"/>
      <c r="AG428" s="924"/>
      <c r="AH428" s="924"/>
      <c r="AI428" s="924"/>
      <c r="AJ428" s="912">
        <f t="shared" si="197"/>
        <v>0</v>
      </c>
      <c r="AK428" s="922" t="str">
        <f>CONCATENATE(IF(D426&lt;D428," * Newly Tested Positives "&amp;$D$20&amp;" "&amp;$D$21&amp;" is more than TB Cases newly tested for HIV"&amp;CHAR(10),""),IF(E426&lt;E428," * Newly Tested Positives "&amp;$D$20&amp;" "&amp;$E$21&amp;" is more than TB Cases newly tested for HIV"&amp;CHAR(10),""),IF(F426&lt;F428," * Newly Tested Positives "&amp;$F$20&amp;" "&amp;$F$21&amp;" is more than TB Cases newly tested for HIV"&amp;CHAR(10),""),IF(G426&lt;G428," * Newly Tested Positives "&amp;$F$20&amp;" "&amp;$G$21&amp;" is more than TB Cases newly tested for HIV"&amp;CHAR(10),""),IF(H426&lt;H428," * Newly Tested Positives "&amp;$H$20&amp;" "&amp;$H$21&amp;" is more than TB Cases newly tested for HIV"&amp;CHAR(10),""),IF(I426&lt;I428," * Newly Tested Positives "&amp;$H$20&amp;" "&amp;$I$21&amp;" is more than TB Cases newly tested for HIV"&amp;CHAR(10),""),IF(J426&lt;J428," * Newly Tested Positives "&amp;$J$20&amp;" "&amp;$J$21&amp;" is more than TB Cases newly tested for HIV"&amp;CHAR(10),""),IF(K426&lt;K428," * Newly Tested Positives "&amp;$J$20&amp;" "&amp;$K$21&amp;" is more than TB Cases newly tested for HIV"&amp;CHAR(10),""),IF(L426&lt;L428," * Newly Tested Positives "&amp;$L$20&amp;" "&amp;$L$21&amp;" is more than TB Cases newly tested for HIV"&amp;CHAR(10),""),IF(M426&lt;M428," * Newly Tested Positives "&amp;$L$20&amp;" "&amp;$M$21&amp;" is more than TB Cases newly tested for HIV"&amp;CHAR(10),""),IF(N426&lt;N428," * Newly Tested Positives "&amp;$N$20&amp;" "&amp;$N$21&amp;" is more than TB Cases newly tested for HIV"&amp;CHAR(10),""),IF(O426&lt;O428," * Newly Tested Positives "&amp;$N$20&amp;" "&amp;$O$21&amp;" is more than TB Cases newly tested for HIV"&amp;CHAR(10),""),IF(P426&lt;P428," * Newly Tested Positives "&amp;$P$20&amp;" "&amp;$P$21&amp;" is more than TB Cases newly tested for HIV"&amp;CHAR(10),""),IF(Q426&lt;Q428," * Newly Tested Positives "&amp;$P$20&amp;" "&amp;$Q$21&amp;" is more than TB Cases newly tested for HIV"&amp;CHAR(10),""),IF(R426&lt;R428," * Newly Tested Positives "&amp;$R$20&amp;" "&amp;$R$21&amp;" is more than TB Cases newly tested for HIV"&amp;CHAR(10),""),IF(S426&lt;S428," * Newly Tested Positives "&amp;$R$20&amp;" "&amp;$S$21&amp;" is more than TB Cases newly tested for HIV"&amp;CHAR(10),""),IF(T426&lt;T428," * Newly Tested Positives "&amp;$T$20&amp;" "&amp;$T$21&amp;" is more than TB Cases newly tested for HIV"&amp;CHAR(10),""),IF(U426&lt;U428," * Newly Tested Positives "&amp;$T$20&amp;" "&amp;$U$21&amp;" is more than TB Cases newly tested for HIV"&amp;CHAR(10),""),IF(V426&lt;V428," * Newly Tested Positives "&amp;$V$20&amp;" "&amp;$V$21&amp;" is more than TB Cases newly tested for HIV"&amp;CHAR(10),""),IF(W426&lt;W428," * Newly Tested Positives "&amp;$V$20&amp;" "&amp;$W$21&amp;" is more than TB Cases newly tested for HIV"&amp;CHAR(10),""),IF(X426&lt;X428," * Newly Tested Positives "&amp;$X$20&amp;" "&amp;$X$21&amp;" is more than TB Cases newly tested for HIV"&amp;CHAR(10),""),IF(Y426&lt;Y428," * Newly Tested Positives "&amp;$X$20&amp;" "&amp;$Y$21&amp;" is more than TB Cases newly tested for HIV"&amp;CHAR(10),""),IF(Z426&lt;Z428," * Newly Tested Positives "&amp;$Z$20&amp;" "&amp;$Z$21&amp;" is more than TB Cases newly tested for HIV"&amp;CHAR(10),""),IF(AA426&lt;AA428," * Newly Tested Positives "&amp;$Z$20&amp;" "&amp;$AA$21&amp;" is more than TB Cases newly tested for HIV"&amp;CHAR(10),""))</f>
        <v/>
      </c>
      <c r="AL428" s="1207"/>
      <c r="AM428" s="914"/>
      <c r="AN428" s="1209"/>
      <c r="AO428" s="13">
        <v>322</v>
      </c>
      <c r="AP428" s="80"/>
      <c r="AQ428" s="75"/>
    </row>
    <row r="429" spans="1:43" s="61" customFormat="1" ht="25.9" hidden="1" thickBot="1" x14ac:dyDescent="0.8">
      <c r="A429" s="1176"/>
      <c r="B429" s="925" t="s">
        <v>514</v>
      </c>
      <c r="C429" s="926" t="s">
        <v>515</v>
      </c>
      <c r="D429" s="927"/>
      <c r="E429" s="928"/>
      <c r="F429" s="929">
        <f t="shared" ref="F429:Y429" si="205">F428+F423</f>
        <v>0</v>
      </c>
      <c r="G429" s="929">
        <f t="shared" si="205"/>
        <v>0</v>
      </c>
      <c r="H429" s="929">
        <f t="shared" si="205"/>
        <v>0</v>
      </c>
      <c r="I429" s="929">
        <f t="shared" si="205"/>
        <v>0</v>
      </c>
      <c r="J429" s="929">
        <f t="shared" si="205"/>
        <v>0</v>
      </c>
      <c r="K429" s="929">
        <f t="shared" si="205"/>
        <v>0</v>
      </c>
      <c r="L429" s="929">
        <f t="shared" si="205"/>
        <v>0</v>
      </c>
      <c r="M429" s="929">
        <f t="shared" si="205"/>
        <v>0</v>
      </c>
      <c r="N429" s="929">
        <f t="shared" si="205"/>
        <v>0</v>
      </c>
      <c r="O429" s="929">
        <f t="shared" si="205"/>
        <v>0</v>
      </c>
      <c r="P429" s="929">
        <f t="shared" si="205"/>
        <v>0</v>
      </c>
      <c r="Q429" s="929">
        <f t="shared" si="205"/>
        <v>0</v>
      </c>
      <c r="R429" s="929">
        <f t="shared" si="205"/>
        <v>0</v>
      </c>
      <c r="S429" s="929">
        <f t="shared" si="205"/>
        <v>0</v>
      </c>
      <c r="T429" s="929">
        <f t="shared" si="205"/>
        <v>0</v>
      </c>
      <c r="U429" s="929">
        <f t="shared" si="205"/>
        <v>0</v>
      </c>
      <c r="V429" s="929">
        <f t="shared" si="205"/>
        <v>0</v>
      </c>
      <c r="W429" s="929">
        <f t="shared" si="205"/>
        <v>0</v>
      </c>
      <c r="X429" s="929">
        <f t="shared" si="205"/>
        <v>0</v>
      </c>
      <c r="Y429" s="929">
        <f t="shared" si="205"/>
        <v>0</v>
      </c>
      <c r="Z429" s="905">
        <f t="shared" si="199"/>
        <v>0</v>
      </c>
      <c r="AA429" s="905">
        <f t="shared" si="200"/>
        <v>0</v>
      </c>
      <c r="AB429" s="929">
        <f t="shared" ref="AB429:AI429" si="206">AB428+AB423</f>
        <v>0</v>
      </c>
      <c r="AC429" s="929">
        <f t="shared" si="206"/>
        <v>0</v>
      </c>
      <c r="AD429" s="929">
        <f t="shared" si="206"/>
        <v>0</v>
      </c>
      <c r="AE429" s="929">
        <f t="shared" si="206"/>
        <v>0</v>
      </c>
      <c r="AF429" s="929">
        <f t="shared" si="206"/>
        <v>0</v>
      </c>
      <c r="AG429" s="929">
        <f t="shared" si="206"/>
        <v>0</v>
      </c>
      <c r="AH429" s="929">
        <f t="shared" si="206"/>
        <v>0</v>
      </c>
      <c r="AI429" s="929">
        <f t="shared" si="206"/>
        <v>0</v>
      </c>
      <c r="AJ429" s="930">
        <f t="shared" si="197"/>
        <v>0</v>
      </c>
      <c r="AK429" s="931"/>
      <c r="AL429" s="1207"/>
      <c r="AM429" s="914"/>
      <c r="AN429" s="1209"/>
      <c r="AO429" s="13">
        <v>323</v>
      </c>
      <c r="AP429" s="80"/>
      <c r="AQ429" s="75"/>
    </row>
    <row r="430" spans="1:43" s="61" customFormat="1" ht="25.5" hidden="1" x14ac:dyDescent="0.75">
      <c r="A430" s="1176"/>
      <c r="B430" s="932" t="s">
        <v>518</v>
      </c>
      <c r="C430" s="933" t="s">
        <v>516</v>
      </c>
      <c r="D430" s="918"/>
      <c r="E430" s="919"/>
      <c r="F430" s="934"/>
      <c r="G430" s="934"/>
      <c r="H430" s="934"/>
      <c r="I430" s="934"/>
      <c r="J430" s="934"/>
      <c r="K430" s="934"/>
      <c r="L430" s="934"/>
      <c r="M430" s="934"/>
      <c r="N430" s="934"/>
      <c r="O430" s="934"/>
      <c r="P430" s="934"/>
      <c r="Q430" s="934"/>
      <c r="R430" s="934"/>
      <c r="S430" s="934"/>
      <c r="T430" s="934"/>
      <c r="U430" s="934"/>
      <c r="V430" s="934"/>
      <c r="W430" s="934"/>
      <c r="X430" s="934"/>
      <c r="Y430" s="934"/>
      <c r="Z430" s="905">
        <f t="shared" si="199"/>
        <v>0</v>
      </c>
      <c r="AA430" s="905">
        <f t="shared" si="200"/>
        <v>0</v>
      </c>
      <c r="AB430" s="934"/>
      <c r="AC430" s="934"/>
      <c r="AD430" s="934"/>
      <c r="AE430" s="934"/>
      <c r="AF430" s="934"/>
      <c r="AG430" s="934"/>
      <c r="AH430" s="934"/>
      <c r="AI430" s="934"/>
      <c r="AJ430" s="935">
        <f t="shared" si="197"/>
        <v>0</v>
      </c>
      <c r="AK430" s="922"/>
      <c r="AL430" s="1207"/>
      <c r="AM430" s="922" t="str">
        <f>CONCATENATE(IF(D428&gt;D430," * Newly Tested Positives "&amp;$D$20&amp;" "&amp;$D$21&amp;" is more than Total Positive Clients newly started on ART"&amp;CHAR(10),""),IF(E428&gt;E430," * Newly Tested Positives "&amp;$D$20&amp;" "&amp;$E$21&amp;" is more than Total Positive Clients newly started on ART"&amp;CHAR(10),""),IF(F428&gt;F430," * Newly Tested Positives "&amp;$F$20&amp;" "&amp;$F$21&amp;" is more than Total Positive Clients newly started on ART"&amp;CHAR(10),""),IF(G428&gt;G430," * Newly Tested Positives "&amp;$F$20&amp;" "&amp;$G$21&amp;" is more than Total Positive Clients newly started on ART"&amp;CHAR(10),""),IF(H428&gt;H430," * Newly Tested Positives "&amp;$H$20&amp;" "&amp;$H$21&amp;" is more than Total Positive Clients newly started on ART"&amp;CHAR(10),""),IF(I428&gt;I430," * Newly Tested Positives "&amp;$H$20&amp;" "&amp;$I$21&amp;" is more than Total Positive Clients newly started on ART"&amp;CHAR(10),""),IF(J428&gt;J430," * Newly Tested Positives "&amp;$J$20&amp;" "&amp;$J$21&amp;" is more than Total Positive Clients newly started on ART"&amp;CHAR(10),""),IF(K428&gt;K430," * Newly Tested Positives "&amp;$J$20&amp;" "&amp;$K$21&amp;" is more than Total Positive Clients newly started on ART"&amp;CHAR(10),""),IF(L428&gt;L430," * Newly Tested Positives "&amp;$L$20&amp;" "&amp;$L$21&amp;" is more than Total Positive Clients newly started on ART"&amp;CHAR(10),""),IF(M428&gt;M430," * Newly Tested Positives "&amp;$L$20&amp;" "&amp;$M$21&amp;" is more than Total Positive Clients newly started on ART"&amp;CHAR(10),""),IF(N428&gt;N430," * Newly Tested Positives "&amp;$N$20&amp;" "&amp;$N$21&amp;" is more than Total Positive Clients newly started on ART"&amp;CHAR(10),""),IF(O428&gt;O430," * Newly Tested Positives "&amp;$N$20&amp;" "&amp;$O$21&amp;" is more than Total Positive Clients newly started on ART"&amp;CHAR(10),""),IF(P428&gt;P430," * Newly Tested Positives "&amp;$P$20&amp;" "&amp;$P$21&amp;" is more than Total Positive Clients newly started on ART"&amp;CHAR(10),""),IF(Q428&gt;Q430," * Newly Tested Positives "&amp;$P$20&amp;" "&amp;$Q$21&amp;" is more than Total Positive Clients newly started on ART"&amp;CHAR(10),""),IF(R428&gt;R430," * Newly Tested Positives "&amp;$R$20&amp;" "&amp;$R$21&amp;" is more than Total Positive Clients newly started on ART"&amp;CHAR(10),""),IF(S428&gt;S430," * Newly Tested Positives "&amp;$R$20&amp;" "&amp;$S$21&amp;" is more than Total Positive Clients newly started on ART"&amp;CHAR(10),""),IF(T428&gt;T430," * Newly Tested Positives "&amp;$T$20&amp;" "&amp;$T$21&amp;" is more than Total Positive Clients newly started on ART"&amp;CHAR(10),""),IF(U428&gt;U430," * Newly Tested Positives "&amp;$T$20&amp;" "&amp;$U$21&amp;" is more than Total Positive Clients newly started on ART"&amp;CHAR(10),""),IF(V428&gt;V430," * Newly Tested Positives "&amp;$V$20&amp;" "&amp;$V$21&amp;" is more than Total Positive Clients newly started on ART"&amp;CHAR(10),""),IF(W428&gt;W430," * Newly Tested Positives "&amp;$V$20&amp;" "&amp;$W$21&amp;" is more than Total Positive Clients newly started on ART"&amp;CHAR(10),""),IF(X428&gt;X430," * Newly Tested Positives "&amp;$X$20&amp;" "&amp;$X$21&amp;" is more than Total Positive Clients newly started on ART"&amp;CHAR(10),""),IF(Y428&gt;Y430," * Newly Tested Positives "&amp;$X$20&amp;" "&amp;$Y$21&amp;" is more than Total Positive Clients newly started on ART"&amp;CHAR(10),""),IF(Z428&gt;Z430," * Newly Tested Positives "&amp;$Z$20&amp;" "&amp;$Z$21&amp;" is more than Total Positive Clients newly started on ART"&amp;CHAR(10),""),IF(AA428&gt;AA430," * Newly Tested Positives "&amp;$Z$20&amp;" "&amp;$AA$21&amp;" is more than Total Positive Clients newly started on ART"&amp;CHAR(10),""))</f>
        <v/>
      </c>
      <c r="AN430" s="1209"/>
      <c r="AO430" s="13">
        <v>324</v>
      </c>
      <c r="AP430" s="80"/>
      <c r="AQ430" s="75"/>
    </row>
    <row r="431" spans="1:43" s="61" customFormat="1" ht="25.5" hidden="1" x14ac:dyDescent="0.75">
      <c r="A431" s="1176"/>
      <c r="B431" s="936" t="s">
        <v>520</v>
      </c>
      <c r="C431" s="910" t="s">
        <v>517</v>
      </c>
      <c r="D431" s="924"/>
      <c r="E431" s="924"/>
      <c r="F431" s="924"/>
      <c r="G431" s="924"/>
      <c r="H431" s="924"/>
      <c r="I431" s="924"/>
      <c r="J431" s="924"/>
      <c r="K431" s="924"/>
      <c r="L431" s="924"/>
      <c r="M431" s="924"/>
      <c r="N431" s="924"/>
      <c r="O431" s="924"/>
      <c r="P431" s="924"/>
      <c r="Q431" s="924"/>
      <c r="R431" s="924"/>
      <c r="S431" s="924"/>
      <c r="T431" s="924"/>
      <c r="U431" s="924"/>
      <c r="V431" s="924"/>
      <c r="W431" s="924"/>
      <c r="X431" s="924"/>
      <c r="Y431" s="924"/>
      <c r="Z431" s="905">
        <f t="shared" ref="Z431" si="207">SUM(AB431,AD431,AF431,AH431)</f>
        <v>0</v>
      </c>
      <c r="AA431" s="905">
        <f t="shared" ref="AA431" si="208">SUM(AC431,AE431,AG431,AI431)</f>
        <v>0</v>
      </c>
      <c r="AB431" s="924"/>
      <c r="AC431" s="924"/>
      <c r="AD431" s="924"/>
      <c r="AE431" s="924"/>
      <c r="AF431" s="924"/>
      <c r="AG431" s="924"/>
      <c r="AH431" s="924"/>
      <c r="AI431" s="924"/>
      <c r="AJ431" s="912">
        <f t="shared" si="197"/>
        <v>0</v>
      </c>
      <c r="AK431" s="922" t="str">
        <f>CONCATENATE(IF(D423&lt;&gt;D431," * TB Cases Already on ART at entry in TB clinic "&amp;$D$20&amp;" "&amp;$D$21&amp;" is Not equal to  TB cases with known HIV +ve status"&amp;CHAR(10),""),IF(E423&lt;&gt;E431," * TB Cases Already on ART at entry in TB clinic "&amp;$D$20&amp;" "&amp;$E$21&amp;" is Not equal to  TB cases with known HIV +ve status"&amp;CHAR(10),""),IF(F423&lt;&gt;F431," * TB Cases Already on ART at entry in TB clinic "&amp;$F$20&amp;" "&amp;$F$21&amp;" is Not equal to  TB cases with known HIV +ve status"&amp;CHAR(10),""),IF(G423&lt;&gt;G431," * TB Cases Already on ART at entry in TB clinic "&amp;$F$20&amp;" "&amp;$G$21&amp;" is Not equal to  TB cases with known HIV +ve status"&amp;CHAR(10),""),IF(H423&lt;&gt;H431," * TB Cases Already on ART at entry in TB clinic "&amp;$H$20&amp;" "&amp;$H$21&amp;" is Not equal to  TB cases with known HIV +ve status"&amp;CHAR(10),""),IF(I423&lt;&gt;I431," * TB Cases Already on ART at entry in TB clinic "&amp;$H$20&amp;" "&amp;$I$21&amp;" is Not equal to  TB cases with known HIV +ve status"&amp;CHAR(10),""),IF(J423&lt;&gt;J431," * TB Cases Already on ART at entry in TB clinic "&amp;$J$20&amp;" "&amp;$J$21&amp;" is Not equal to  TB cases with known HIV +ve status"&amp;CHAR(10),""),IF(K423&lt;&gt;K431," * TB Cases Already on ART at entry in TB clinic "&amp;$J$20&amp;" "&amp;$K$21&amp;" is Not equal to  TB cases with known HIV +ve status"&amp;CHAR(10),""),IF(L423&lt;&gt;L431," * TB Cases Already on ART at entry in TB clinic "&amp;$L$20&amp;" "&amp;$L$21&amp;" is Not equal to  TB cases with known HIV +ve status"&amp;CHAR(10),""),IF(M423&lt;&gt;M431," * TB Cases Already on ART at entry in TB clinic "&amp;$L$20&amp;" "&amp;$M$21&amp;" is Not equal to  TB cases with known HIV +ve status"&amp;CHAR(10),""),IF(N423&lt;&gt;N431," * TB Cases Already on ART at entry in TB clinic "&amp;$N$20&amp;" "&amp;$N$21&amp;" is Not equal to  TB cases with known HIV +ve status"&amp;CHAR(10),""),IF(O423&lt;&gt;O431," * TB Cases Already on ART at entry in TB clinic "&amp;$N$20&amp;" "&amp;$O$21&amp;" is Not equal to  TB cases with known HIV +ve status"&amp;CHAR(10),""),IF(P423&lt;&gt;P431," * TB Cases Already on ART at entry in TB clinic "&amp;$P$20&amp;" "&amp;$P$21&amp;" is Not equal to  TB cases with known HIV +ve status"&amp;CHAR(10),""),IF(Q423&lt;&gt;Q431," * TB Cases Already on ART at entry in TB clinic "&amp;$P$20&amp;" "&amp;$Q$21&amp;" is Not equal to  TB cases with known HIV +ve status"&amp;CHAR(10),""),IF(R423&lt;&gt;R431," * TB Cases Already on ART at entry in TB clinic "&amp;$R$20&amp;" "&amp;$R$21&amp;" is Not equal to  TB cases with known HIV +ve status"&amp;CHAR(10),""),IF(S423&lt;&gt;S431," * TB Cases Already on ART at entry in TB clinic "&amp;$R$20&amp;" "&amp;$S$21&amp;" is Not equal to  TB cases with known HIV +ve status"&amp;CHAR(10),""),IF(T423&lt;&gt;T431," * TB Cases Already on ART at entry in TB clinic "&amp;$T$20&amp;" "&amp;$T$21&amp;" is Not equal to  TB cases with known HIV +ve status"&amp;CHAR(10),""),IF(U423&lt;&gt;U431," * TB Cases Already on ART at entry in TB clinic "&amp;$T$20&amp;" "&amp;$U$21&amp;" is Not equal to  TB cases with known HIV +ve status"&amp;CHAR(10),""),IF(V423&lt;&gt;V431," * TB Cases Already on ART at entry in TB clinic "&amp;$V$20&amp;" "&amp;$V$21&amp;" is Not equal to  TB cases with known HIV +ve status"&amp;CHAR(10),""),IF(W423&lt;&gt;W431," * TB Cases Already on ART at entry in TB clinic "&amp;$V$20&amp;" "&amp;$W$21&amp;" is Not equal to  TB cases with known HIV +ve status"&amp;CHAR(10),""),IF(X423&lt;&gt;X431," * TB Cases Already on ART at entry in TB clinic "&amp;$X$20&amp;" "&amp;$X$21&amp;" is Not equal to  TB cases with known HIV +ve status"&amp;CHAR(10),""),IF(Y423&lt;&gt;Y431," * TB Cases Already on ART at entry in TB clinic "&amp;$X$20&amp;" "&amp;$Y$21&amp;" is Not equal to  TB cases with known HIV +ve status"&amp;CHAR(10),""),IF(Z423&lt;&gt;Z431," * TB Cases Already on ART at entry in TB clinic "&amp;$Z$20&amp;" "&amp;$Z$21&amp;" is Not equal to  TB cases with known HIV +ve status"&amp;CHAR(10),""),IF(AA423&lt;&gt;AA431," * TB Cases Already on ART at entry in TB clinic "&amp;$Z$20&amp;" "&amp;$AA$21&amp;" is Not equal to  TB cases with known HIV +ve status"&amp;CHAR(10),""))</f>
        <v/>
      </c>
      <c r="AL431" s="1207"/>
      <c r="AM431" s="914"/>
      <c r="AN431" s="1209"/>
      <c r="AO431" s="13">
        <v>325</v>
      </c>
      <c r="AP431" s="80"/>
      <c r="AQ431" s="75"/>
    </row>
    <row r="432" spans="1:43" s="61" customFormat="1" ht="25.9" hidden="1" thickBot="1" x14ac:dyDescent="0.8">
      <c r="A432" s="1177"/>
      <c r="B432" s="937" t="s">
        <v>526</v>
      </c>
      <c r="C432" s="938" t="s">
        <v>525</v>
      </c>
      <c r="D432" s="939">
        <f t="shared" ref="D432:Y432" si="209">D431+D430</f>
        <v>0</v>
      </c>
      <c r="E432" s="939">
        <f t="shared" si="209"/>
        <v>0</v>
      </c>
      <c r="F432" s="939">
        <f t="shared" si="209"/>
        <v>0</v>
      </c>
      <c r="G432" s="939">
        <f t="shared" si="209"/>
        <v>0</v>
      </c>
      <c r="H432" s="939">
        <f t="shared" si="209"/>
        <v>0</v>
      </c>
      <c r="I432" s="939">
        <f t="shared" si="209"/>
        <v>0</v>
      </c>
      <c r="J432" s="939">
        <f t="shared" si="209"/>
        <v>0</v>
      </c>
      <c r="K432" s="939">
        <f t="shared" si="209"/>
        <v>0</v>
      </c>
      <c r="L432" s="939">
        <f t="shared" si="209"/>
        <v>0</v>
      </c>
      <c r="M432" s="939">
        <f t="shared" si="209"/>
        <v>0</v>
      </c>
      <c r="N432" s="939">
        <f t="shared" si="209"/>
        <v>0</v>
      </c>
      <c r="O432" s="939">
        <f t="shared" si="209"/>
        <v>0</v>
      </c>
      <c r="P432" s="939">
        <f t="shared" si="209"/>
        <v>0</v>
      </c>
      <c r="Q432" s="939">
        <f t="shared" si="209"/>
        <v>0</v>
      </c>
      <c r="R432" s="939">
        <f t="shared" si="209"/>
        <v>0</v>
      </c>
      <c r="S432" s="939">
        <f t="shared" si="209"/>
        <v>0</v>
      </c>
      <c r="T432" s="939">
        <f t="shared" si="209"/>
        <v>0</v>
      </c>
      <c r="U432" s="939">
        <f t="shared" si="209"/>
        <v>0</v>
      </c>
      <c r="V432" s="939">
        <f t="shared" si="209"/>
        <v>0</v>
      </c>
      <c r="W432" s="939">
        <f t="shared" si="209"/>
        <v>0</v>
      </c>
      <c r="X432" s="939">
        <f t="shared" si="209"/>
        <v>0</v>
      </c>
      <c r="Y432" s="939">
        <f t="shared" si="209"/>
        <v>0</v>
      </c>
      <c r="Z432" s="905">
        <f t="shared" ref="Z432" si="210">SUM(AB432,AD432,AF432,AH432)</f>
        <v>0</v>
      </c>
      <c r="AA432" s="905">
        <f t="shared" ref="AA432" si="211">SUM(AC432,AE432,AG432,AI432)</f>
        <v>0</v>
      </c>
      <c r="AB432" s="939">
        <f t="shared" ref="AB432:AI432" si="212">AB431+AB430</f>
        <v>0</v>
      </c>
      <c r="AC432" s="939">
        <f t="shared" si="212"/>
        <v>0</v>
      </c>
      <c r="AD432" s="939">
        <f t="shared" si="212"/>
        <v>0</v>
      </c>
      <c r="AE432" s="939">
        <f t="shared" si="212"/>
        <v>0</v>
      </c>
      <c r="AF432" s="939">
        <f t="shared" si="212"/>
        <v>0</v>
      </c>
      <c r="AG432" s="939">
        <f t="shared" si="212"/>
        <v>0</v>
      </c>
      <c r="AH432" s="939">
        <f t="shared" si="212"/>
        <v>0</v>
      </c>
      <c r="AI432" s="939">
        <f t="shared" si="212"/>
        <v>0</v>
      </c>
      <c r="AJ432" s="940">
        <f t="shared" si="197"/>
        <v>0</v>
      </c>
      <c r="AK432" s="922" t="str">
        <f>CONCATENATE(IF(D427&lt;D432," * HIV coinfected clients started on ART "&amp;$D$20&amp;" "&amp;$D$21&amp;" is more than TB cases with documented HIV status"&amp;CHAR(10),""),IF(E427&lt;E432," * HIV coinfected clients started on ART "&amp;$D$20&amp;" "&amp;$E$21&amp;" is more than TB cases with documented HIV status"&amp;CHAR(10),""),IF(F427&lt;F432," * HIV coinfected clients started on ART "&amp;$F$20&amp;" "&amp;$F$21&amp;" is more than TB cases with documented HIV status"&amp;CHAR(10),""),IF(G427&lt;G432," * HIV coinfected clients started on ART "&amp;$F$20&amp;" "&amp;$G$21&amp;" is more than TB cases with documented HIV status"&amp;CHAR(10),""),IF(H427&lt;H432," * HIV coinfected clients started on ART "&amp;$H$20&amp;" "&amp;$H$21&amp;" is more than TB cases with documented HIV status"&amp;CHAR(10),""),IF(I427&lt;I432," * HIV coinfected clients started on ART "&amp;$H$20&amp;" "&amp;$I$21&amp;" is more than TB cases with documented HIV status"&amp;CHAR(10),""),IF(J427&lt;J432," * HIV coinfected clients started on ART "&amp;$J$20&amp;" "&amp;$J$21&amp;" is more than TB cases with documented HIV status"&amp;CHAR(10),""),IF(K427&lt;K432," * HIV coinfected clients started on ART "&amp;$J$20&amp;" "&amp;$K$21&amp;" is more than TB cases with documented HIV status"&amp;CHAR(10),""),IF(L427&lt;L432," * HIV coinfected clients started on ART "&amp;$L$20&amp;" "&amp;$L$21&amp;" is more than TB cases with documented HIV status"&amp;CHAR(10),""),IF(M427&lt;M432," * HIV coinfected clients started on ART "&amp;$L$20&amp;" "&amp;$M$21&amp;" is more than TB cases with documented HIV status"&amp;CHAR(10),""),IF(N427&lt;N432," * HIV coinfected clients started on ART "&amp;$N$20&amp;" "&amp;$N$21&amp;" is more than TB cases with documented HIV status"&amp;CHAR(10),""),IF(O427&lt;O432," * HIV coinfected clients started on ART "&amp;$N$20&amp;" "&amp;$O$21&amp;" is more than TB cases with documented HIV status"&amp;CHAR(10),""),IF(P427&lt;P432," * HIV coinfected clients started on ART "&amp;$P$20&amp;" "&amp;$P$21&amp;" is more than TB cases with documented HIV status"&amp;CHAR(10),""),IF(Q427&lt;Q432," * HIV coinfected clients started on ART "&amp;$P$20&amp;" "&amp;$Q$21&amp;" is more than TB cases with documented HIV status"&amp;CHAR(10),""),IF(R427&lt;R432," * HIV coinfected clients started on ART "&amp;$R$20&amp;" "&amp;$R$21&amp;" is more than TB cases with documented HIV status"&amp;CHAR(10),""),IF(S427&lt;S432," * HIV coinfected clients started on ART "&amp;$R$20&amp;" "&amp;$S$21&amp;" is more than TB cases with documented HIV status"&amp;CHAR(10),""),IF(T427&lt;T432," * HIV coinfected clients started on ART "&amp;$T$20&amp;" "&amp;$T$21&amp;" is more than TB cases with documented HIV status"&amp;CHAR(10),""),IF(U427&lt;U432," * HIV coinfected clients started on ART "&amp;$T$20&amp;" "&amp;$U$21&amp;" is more than TB cases with documented HIV status"&amp;CHAR(10),""),IF(V427&lt;V432," * HIV coinfected clients started on ART "&amp;$V$20&amp;" "&amp;$V$21&amp;" is more than TB cases with documented HIV status"&amp;CHAR(10),""),IF(W427&lt;W432," * HIV coinfected clients started on ART "&amp;$V$20&amp;" "&amp;$W$21&amp;" is more than TB cases with documented HIV status"&amp;CHAR(10),""),IF(X427&lt;X432," * HIV coinfected clients started on ART "&amp;$X$20&amp;" "&amp;$X$21&amp;" is more than TB cases with documented HIV status"&amp;CHAR(10),""),IF(Y427&lt;Y432," * HIV coinfected clients started on ART "&amp;$X$20&amp;" "&amp;$Y$21&amp;" is more than TB cases with documented HIV status"&amp;CHAR(10),""),IF(Z427&lt;Z432," * HIV coinfected clients started on ART "&amp;$Z$20&amp;" "&amp;$Z$21&amp;" is more than TB cases with documented HIV status"&amp;CHAR(10),""),IF(AA427&lt;AA432," * HIV coinfected clients started on ART "&amp;$Z$20&amp;" "&amp;$AA$21&amp;" is more than TB cases with documented HIV status"&amp;CHAR(10),""))</f>
        <v/>
      </c>
      <c r="AL432" s="1208"/>
      <c r="AM432" s="914"/>
      <c r="AN432" s="1210"/>
      <c r="AO432" s="13">
        <v>326</v>
      </c>
      <c r="AP432" s="80"/>
      <c r="AQ432" s="75"/>
    </row>
    <row r="433" spans="1:43" ht="25.9" hidden="1" thickBot="1" x14ac:dyDescent="0.8">
      <c r="A433" s="1194" t="s">
        <v>918</v>
      </c>
      <c r="B433" s="1194"/>
      <c r="C433" s="1194"/>
      <c r="D433" s="1194"/>
      <c r="E433" s="1194"/>
      <c r="F433" s="1194"/>
      <c r="G433" s="1194"/>
      <c r="H433" s="1194"/>
      <c r="I433" s="1194"/>
      <c r="J433" s="1194"/>
      <c r="K433" s="1194"/>
      <c r="L433" s="1194"/>
      <c r="M433" s="1194"/>
      <c r="N433" s="1194"/>
      <c r="O433" s="1194"/>
      <c r="P433" s="1194"/>
      <c r="Q433" s="1194"/>
      <c r="R433" s="1194"/>
      <c r="S433" s="1194"/>
      <c r="T433" s="1194"/>
      <c r="U433" s="1194"/>
      <c r="V433" s="1194"/>
      <c r="W433" s="1194"/>
      <c r="X433" s="1194"/>
      <c r="Y433" s="1194"/>
      <c r="Z433" s="1194"/>
      <c r="AA433" s="1194"/>
      <c r="AB433" s="1194"/>
      <c r="AC433" s="1194"/>
      <c r="AD433" s="1194"/>
      <c r="AE433" s="1194"/>
      <c r="AF433" s="1194"/>
      <c r="AG433" s="1194"/>
      <c r="AH433" s="1194"/>
      <c r="AI433" s="1194"/>
      <c r="AJ433" s="1194"/>
      <c r="AK433" s="1195"/>
      <c r="AL433" s="1194"/>
      <c r="AM433" s="1196"/>
      <c r="AN433" s="1197"/>
      <c r="AO433" s="13">
        <v>327</v>
      </c>
      <c r="AP433" s="74"/>
      <c r="AQ433" s="75"/>
    </row>
    <row r="434" spans="1:43" ht="25.9" hidden="1" thickBot="1" x14ac:dyDescent="0.8">
      <c r="A434" s="262" t="s">
        <v>920</v>
      </c>
      <c r="B434" s="262" t="s">
        <v>919</v>
      </c>
      <c r="C434" s="581" t="s">
        <v>917</v>
      </c>
      <c r="D434" s="263"/>
      <c r="E434" s="264"/>
      <c r="F434" s="263"/>
      <c r="G434" s="264"/>
      <c r="H434" s="263"/>
      <c r="I434" s="264"/>
      <c r="J434" s="94"/>
      <c r="K434" s="94"/>
      <c r="L434" s="94"/>
      <c r="M434" s="94"/>
      <c r="N434" s="94"/>
      <c r="O434" s="94"/>
      <c r="P434" s="94"/>
      <c r="Q434" s="94"/>
      <c r="R434" s="94"/>
      <c r="S434" s="94"/>
      <c r="T434" s="94"/>
      <c r="U434" s="94"/>
      <c r="V434" s="94"/>
      <c r="W434" s="94"/>
      <c r="X434" s="94"/>
      <c r="Y434" s="94"/>
      <c r="Z434" s="94"/>
      <c r="AA434" s="94"/>
      <c r="AB434" s="310"/>
      <c r="AC434" s="310"/>
      <c r="AD434" s="310"/>
      <c r="AE434" s="310"/>
      <c r="AF434" s="310"/>
      <c r="AG434" s="310"/>
      <c r="AH434" s="310"/>
      <c r="AI434" s="310"/>
      <c r="AJ434" s="65">
        <f t="shared" ref="AJ434" si="213">SUM(D434:AA434)</f>
        <v>0</v>
      </c>
      <c r="AK434" s="30"/>
      <c r="AL434" s="266"/>
      <c r="AM434" s="267" t="str">
        <f>CONCATENATE(IF(D432&gt;D434," * Newly Tested Positives "&amp;$D$20&amp;" "&amp;$D$21&amp;" is more than Total Positive Clients newly started on ART"&amp;CHAR(10),""),IF(E432&gt;E434," * Newly Tested Positives "&amp;$D$20&amp;" "&amp;$E$21&amp;" is more than Total Positive Clients newly started on ART"&amp;CHAR(10),""),IF(F432&gt;F434," * Newly Tested Positives "&amp;$F$20&amp;" "&amp;$F$21&amp;" is more than Total Positive Clients newly started on ART"&amp;CHAR(10),""),IF(G432&gt;G434," * Newly Tested Positives "&amp;$F$20&amp;" "&amp;$G$21&amp;" is more than Total Positive Clients newly started on ART"&amp;CHAR(10),""),IF(H432&gt;H434," * Newly Tested Positives "&amp;$H$20&amp;" "&amp;$H$21&amp;" is more than Total Positive Clients newly started on ART"&amp;CHAR(10),""),IF(I432&gt;I434," * Newly Tested Positives "&amp;$H$20&amp;" "&amp;$I$21&amp;" is more than Total Positive Clients newly started on ART"&amp;CHAR(10),""),IF(J432&gt;J434," * Newly Tested Positives "&amp;$J$20&amp;" "&amp;$J$21&amp;" is more than Total Positive Clients newly started on ART"&amp;CHAR(10),""),IF(K432&gt;K434," * Newly Tested Positives "&amp;$J$20&amp;" "&amp;$K$21&amp;" is more than Total Positive Clients newly started on ART"&amp;CHAR(10),""),IF(L432&gt;L434," * Newly Tested Positives "&amp;$L$20&amp;" "&amp;$L$21&amp;" is more than Total Positive Clients newly started on ART"&amp;CHAR(10),""),IF(M432&gt;M434," * Newly Tested Positives "&amp;$L$20&amp;" "&amp;$M$21&amp;" is more than Total Positive Clients newly started on ART"&amp;CHAR(10),""),IF(N432&gt;N434," * Newly Tested Positives "&amp;$N$20&amp;" "&amp;$N$21&amp;" is more than Total Positive Clients newly started on ART"&amp;CHAR(10),""),IF(O432&gt;O434," * Newly Tested Positives "&amp;$N$20&amp;" "&amp;$O$21&amp;" is more than Total Positive Clients newly started on ART"&amp;CHAR(10),""),IF(P432&gt;P434," * Newly Tested Positives "&amp;$P$20&amp;" "&amp;$P$21&amp;" is more than Total Positive Clients newly started on ART"&amp;CHAR(10),""),IF(Q432&gt;Q434," * Newly Tested Positives "&amp;$P$20&amp;" "&amp;$Q$21&amp;" is more than Total Positive Clients newly started on ART"&amp;CHAR(10),""),IF(R432&gt;R434," * Newly Tested Positives "&amp;$R$20&amp;" "&amp;$R$21&amp;" is more than Total Positive Clients newly started on ART"&amp;CHAR(10),""),IF(S432&gt;S434," * Newly Tested Positives "&amp;$R$20&amp;" "&amp;$S$21&amp;" is more than Total Positive Clients newly started on ART"&amp;CHAR(10),""),IF(T432&gt;T434," * Newly Tested Positives "&amp;$T$20&amp;" "&amp;$T$21&amp;" is more than Total Positive Clients newly started on ART"&amp;CHAR(10),""),IF(U432&gt;U434," * Newly Tested Positives "&amp;$T$20&amp;" "&amp;$U$21&amp;" is more than Total Positive Clients newly started on ART"&amp;CHAR(10),""),IF(V432&gt;V434," * Newly Tested Positives "&amp;$V$20&amp;" "&amp;$V$21&amp;" is more than Total Positive Clients newly started on ART"&amp;CHAR(10),""),IF(W432&gt;W434," * Newly Tested Positives "&amp;$V$20&amp;" "&amp;$W$21&amp;" is more than Total Positive Clients newly started on ART"&amp;CHAR(10),""),IF(X432&gt;X434," * Newly Tested Positives "&amp;$X$20&amp;" "&amp;$X$21&amp;" is more than Total Positive Clients newly started on ART"&amp;CHAR(10),""),IF(Y432&gt;Y434," * Newly Tested Positives "&amp;$X$20&amp;" "&amp;$Y$21&amp;" is more than Total Positive Clients newly started on ART"&amp;CHAR(10),""),IF(Z432&gt;Z434," * Newly Tested Positives "&amp;$Z$20&amp;" "&amp;$Z$21&amp;" is more than Total Positive Clients newly started on ART"&amp;CHAR(10),""),IF(AA432&gt;AA434," * Newly Tested Positives "&amp;$Z$20&amp;" "&amp;$AA$21&amp;" is more than Total Positive Clients newly started on ART"&amp;CHAR(10),""))</f>
        <v/>
      </c>
      <c r="AN434" s="268"/>
      <c r="AO434" s="13">
        <v>328</v>
      </c>
      <c r="AP434" s="74"/>
      <c r="AQ434" s="75"/>
    </row>
    <row r="435" spans="1:43" ht="36.75" customHeight="1" thickBot="1" x14ac:dyDescent="0.8">
      <c r="A435" s="1143" t="s">
        <v>1054</v>
      </c>
      <c r="B435" s="1144"/>
      <c r="C435" s="1144"/>
      <c r="D435" s="1144"/>
      <c r="E435" s="1144"/>
      <c r="F435" s="1144"/>
      <c r="G435" s="1144"/>
      <c r="H435" s="1144"/>
      <c r="I435" s="1144"/>
      <c r="J435" s="1144"/>
      <c r="K435" s="1144"/>
      <c r="L435" s="1144"/>
      <c r="M435" s="1144"/>
      <c r="N435" s="1144"/>
      <c r="O435" s="1144"/>
      <c r="P435" s="1144"/>
      <c r="Q435" s="1144"/>
      <c r="R435" s="1144"/>
      <c r="S435" s="1144"/>
      <c r="T435" s="1144"/>
      <c r="U435" s="1144"/>
      <c r="V435" s="1144"/>
      <c r="W435" s="1144"/>
      <c r="X435" s="1144"/>
      <c r="Y435" s="1144"/>
      <c r="Z435" s="1144"/>
      <c r="AA435" s="1144"/>
      <c r="AB435" s="1144"/>
      <c r="AC435" s="1144"/>
      <c r="AD435" s="1144"/>
      <c r="AE435" s="1144"/>
      <c r="AF435" s="1144"/>
      <c r="AG435" s="1144"/>
      <c r="AH435" s="1144"/>
      <c r="AI435" s="1144"/>
      <c r="AJ435" s="1144"/>
      <c r="AK435" s="1144"/>
      <c r="AL435" s="1144"/>
      <c r="AM435" s="1144"/>
      <c r="AN435" s="1283"/>
      <c r="AO435" s="469"/>
      <c r="AP435" s="471"/>
      <c r="AQ435" s="471"/>
    </row>
    <row r="436" spans="1:43" s="14" customFormat="1" ht="33" customHeight="1" x14ac:dyDescent="0.75">
      <c r="A436" s="1122" t="s">
        <v>36</v>
      </c>
      <c r="B436" s="1126" t="s">
        <v>321</v>
      </c>
      <c r="C436" s="1155" t="s">
        <v>305</v>
      </c>
      <c r="D436" s="1135" t="s">
        <v>0</v>
      </c>
      <c r="E436" s="1135"/>
      <c r="F436" s="1135" t="s">
        <v>1</v>
      </c>
      <c r="G436" s="1135"/>
      <c r="H436" s="1135" t="s">
        <v>2</v>
      </c>
      <c r="I436" s="1135"/>
      <c r="J436" s="1135" t="s">
        <v>3</v>
      </c>
      <c r="K436" s="1135"/>
      <c r="L436" s="1135" t="s">
        <v>4</v>
      </c>
      <c r="M436" s="1135"/>
      <c r="N436" s="1135" t="s">
        <v>5</v>
      </c>
      <c r="O436" s="1135"/>
      <c r="P436" s="1135" t="s">
        <v>6</v>
      </c>
      <c r="Q436" s="1135"/>
      <c r="R436" s="1135" t="s">
        <v>7</v>
      </c>
      <c r="S436" s="1135"/>
      <c r="T436" s="1135" t="s">
        <v>8</v>
      </c>
      <c r="U436" s="1135"/>
      <c r="V436" s="1135" t="s">
        <v>23</v>
      </c>
      <c r="W436" s="1135"/>
      <c r="X436" s="1135" t="s">
        <v>24</v>
      </c>
      <c r="Y436" s="1135"/>
      <c r="Z436" s="1135" t="s">
        <v>9</v>
      </c>
      <c r="AA436" s="1135"/>
      <c r="AB436" s="1115" t="s">
        <v>965</v>
      </c>
      <c r="AC436" s="1116"/>
      <c r="AD436" s="1115" t="s">
        <v>966</v>
      </c>
      <c r="AE436" s="1116"/>
      <c r="AF436" s="1115" t="s">
        <v>1129</v>
      </c>
      <c r="AG436" s="1116"/>
      <c r="AH436" s="1115" t="s">
        <v>1130</v>
      </c>
      <c r="AI436" s="1116"/>
      <c r="AJ436" s="1181" t="s">
        <v>19</v>
      </c>
      <c r="AK436" s="1183" t="s">
        <v>354</v>
      </c>
      <c r="AL436" s="1235" t="s">
        <v>360</v>
      </c>
      <c r="AM436" s="1149" t="s">
        <v>361</v>
      </c>
      <c r="AN436" s="1171" t="s">
        <v>361</v>
      </c>
      <c r="AO436" s="469"/>
      <c r="AP436" s="471"/>
      <c r="AQ436" s="471"/>
    </row>
    <row r="437" spans="1:43" s="14" customFormat="1" ht="33" customHeight="1" thickBot="1" x14ac:dyDescent="0.8">
      <c r="A437" s="1284"/>
      <c r="B437" s="1285"/>
      <c r="C437" s="1222"/>
      <c r="D437" s="284" t="s">
        <v>10</v>
      </c>
      <c r="E437" s="284" t="s">
        <v>11</v>
      </c>
      <c r="F437" s="284" t="s">
        <v>10</v>
      </c>
      <c r="G437" s="284" t="s">
        <v>11</v>
      </c>
      <c r="H437" s="284" t="s">
        <v>10</v>
      </c>
      <c r="I437" s="284" t="s">
        <v>11</v>
      </c>
      <c r="J437" s="284" t="s">
        <v>10</v>
      </c>
      <c r="K437" s="284" t="s">
        <v>11</v>
      </c>
      <c r="L437" s="284" t="s">
        <v>10</v>
      </c>
      <c r="M437" s="284" t="s">
        <v>11</v>
      </c>
      <c r="N437" s="284" t="s">
        <v>10</v>
      </c>
      <c r="O437" s="284" t="s">
        <v>11</v>
      </c>
      <c r="P437" s="284" t="s">
        <v>10</v>
      </c>
      <c r="Q437" s="284" t="s">
        <v>11</v>
      </c>
      <c r="R437" s="284" t="s">
        <v>10</v>
      </c>
      <c r="S437" s="284" t="s">
        <v>11</v>
      </c>
      <c r="T437" s="284" t="s">
        <v>10</v>
      </c>
      <c r="U437" s="284" t="s">
        <v>11</v>
      </c>
      <c r="V437" s="284" t="s">
        <v>10</v>
      </c>
      <c r="W437" s="284" t="s">
        <v>11</v>
      </c>
      <c r="X437" s="284" t="s">
        <v>10</v>
      </c>
      <c r="Y437" s="284" t="s">
        <v>11</v>
      </c>
      <c r="Z437" s="284" t="s">
        <v>10</v>
      </c>
      <c r="AA437" s="284" t="s">
        <v>11</v>
      </c>
      <c r="AB437" s="284" t="s">
        <v>10</v>
      </c>
      <c r="AC437" s="284" t="s">
        <v>11</v>
      </c>
      <c r="AD437" s="284" t="s">
        <v>10</v>
      </c>
      <c r="AE437" s="284" t="s">
        <v>11</v>
      </c>
      <c r="AF437" s="284" t="s">
        <v>10</v>
      </c>
      <c r="AG437" s="284" t="s">
        <v>11</v>
      </c>
      <c r="AH437" s="284" t="s">
        <v>10</v>
      </c>
      <c r="AI437" s="284" t="s">
        <v>11</v>
      </c>
      <c r="AJ437" s="1182"/>
      <c r="AK437" s="1184"/>
      <c r="AL437" s="1236"/>
      <c r="AM437" s="1237"/>
      <c r="AN437" s="1172"/>
      <c r="AO437" s="469"/>
      <c r="AP437" s="471"/>
      <c r="AQ437" s="471"/>
    </row>
    <row r="438" spans="1:43" s="83" customFormat="1" ht="25.9" thickBot="1" x14ac:dyDescent="0.8">
      <c r="A438" s="1111" t="s">
        <v>109</v>
      </c>
      <c r="B438" s="736" t="s">
        <v>138</v>
      </c>
      <c r="C438" s="740" t="s">
        <v>1055</v>
      </c>
      <c r="D438" s="723"/>
      <c r="E438" s="751"/>
      <c r="F438" s="762">
        <f t="shared" ref="F438:AI438" si="214">F28</f>
        <v>0</v>
      </c>
      <c r="G438" s="487">
        <f t="shared" si="214"/>
        <v>0</v>
      </c>
      <c r="H438" s="487">
        <f t="shared" si="214"/>
        <v>0</v>
      </c>
      <c r="I438" s="487">
        <f t="shared" si="214"/>
        <v>0</v>
      </c>
      <c r="J438" s="487">
        <f t="shared" si="214"/>
        <v>0</v>
      </c>
      <c r="K438" s="487">
        <f t="shared" si="214"/>
        <v>0</v>
      </c>
      <c r="L438" s="487">
        <f t="shared" si="214"/>
        <v>0</v>
      </c>
      <c r="M438" s="487">
        <f t="shared" si="214"/>
        <v>0</v>
      </c>
      <c r="N438" s="487">
        <f t="shared" si="214"/>
        <v>0</v>
      </c>
      <c r="O438" s="487">
        <f t="shared" si="214"/>
        <v>0</v>
      </c>
      <c r="P438" s="487">
        <f t="shared" si="214"/>
        <v>0</v>
      </c>
      <c r="Q438" s="487">
        <f t="shared" si="214"/>
        <v>0</v>
      </c>
      <c r="R438" s="487">
        <f t="shared" si="214"/>
        <v>0</v>
      </c>
      <c r="S438" s="487">
        <f t="shared" si="214"/>
        <v>0</v>
      </c>
      <c r="T438" s="487">
        <f t="shared" si="214"/>
        <v>0</v>
      </c>
      <c r="U438" s="487">
        <f t="shared" si="214"/>
        <v>0</v>
      </c>
      <c r="V438" s="487">
        <f t="shared" si="214"/>
        <v>0</v>
      </c>
      <c r="W438" s="487">
        <f t="shared" si="214"/>
        <v>0</v>
      </c>
      <c r="X438" s="487">
        <f t="shared" si="214"/>
        <v>0</v>
      </c>
      <c r="Y438" s="487">
        <f t="shared" si="214"/>
        <v>0</v>
      </c>
      <c r="Z438" s="487">
        <f t="shared" si="214"/>
        <v>0</v>
      </c>
      <c r="AA438" s="487">
        <f t="shared" si="214"/>
        <v>0</v>
      </c>
      <c r="AB438" s="487">
        <f t="shared" si="214"/>
        <v>0</v>
      </c>
      <c r="AC438" s="487">
        <f t="shared" si="214"/>
        <v>0</v>
      </c>
      <c r="AD438" s="487">
        <f t="shared" si="214"/>
        <v>0</v>
      </c>
      <c r="AE438" s="487">
        <f t="shared" si="214"/>
        <v>0</v>
      </c>
      <c r="AF438" s="487">
        <f t="shared" si="214"/>
        <v>0</v>
      </c>
      <c r="AG438" s="487">
        <f t="shared" si="214"/>
        <v>0</v>
      </c>
      <c r="AH438" s="487">
        <f t="shared" si="214"/>
        <v>0</v>
      </c>
      <c r="AI438" s="487">
        <f t="shared" si="214"/>
        <v>0</v>
      </c>
      <c r="AJ438" s="477">
        <f t="shared" ref="AJ438:AJ440" si="215">SUM(D438:AA438)</f>
        <v>0</v>
      </c>
      <c r="AK438" s="545" t="str">
        <f>CONCATENATE(IF((D439+D440+D441+D442)&lt;&gt;D438," * "&amp;$A438&amp;" , "&amp;$B439&amp;" plus "&amp;$B440&amp;" plus "&amp;$B441&amp;" plus "&amp;$B442&amp;" For age "&amp;$D$20&amp;" "&amp;$D$21&amp;" should be equal to "&amp;$B438&amp;""&amp;CHAR(10),""),IF((E439+E440+E441+E442)&lt;&gt;E438," * "&amp;$A438&amp;" , "&amp;$B439&amp;" plus "&amp;$B440&amp;" plus "&amp;$B441&amp;" plus "&amp;$B442&amp;" For age "&amp;$D$20&amp;" "&amp;$E$21&amp;" should be equal to "&amp;$B438&amp;""&amp;CHAR(10),""),IF((F439+F440+F441+F442)&lt;&gt;F438," * "&amp;$A438&amp;" , "&amp;$B439&amp;" plus "&amp;$B440&amp;" plus "&amp;$B441&amp;" plus "&amp;$B442&amp;" For age "&amp;$F$20&amp;" "&amp;$F$21&amp;" should be equal to "&amp;$B438&amp;""&amp;CHAR(10),""),IF((G439+G440+G441+G442)&lt;&gt;G438," * "&amp;$A438&amp;" , "&amp;$B439&amp;" plus "&amp;$B440&amp;" plus "&amp;$B441&amp;" plus "&amp;$B442&amp;" For age "&amp;$F$20&amp;" "&amp;$G$21&amp;" should be equal to "&amp;$B438&amp;""&amp;CHAR(10),""),IF((H439+H440+H441+H442)&lt;&gt;H438," * "&amp;$A438&amp;" , "&amp;$B439&amp;" plus "&amp;$B440&amp;" plus "&amp;$B441&amp;" plus "&amp;$B442&amp;" For age "&amp;$H$20&amp;" "&amp;$H$21&amp;" should be equal to "&amp;$B438&amp;""&amp;CHAR(10),""),IF((I439+I440+I441+I442)&lt;&gt;I438," * "&amp;$A438&amp;" , "&amp;$B439&amp;" plus "&amp;$B440&amp;" plus "&amp;$B441&amp;" plus "&amp;$B442&amp;" For age "&amp;$H$20&amp;" "&amp;$I$21&amp;" should be equal to "&amp;$B438&amp;""&amp;CHAR(10),""),IF((J439+J440+J441+J442)&lt;&gt;J438," * "&amp;$A438&amp;" , "&amp;$B439&amp;" plus "&amp;$B440&amp;" plus "&amp;$B441&amp;" plus "&amp;$B442&amp;" For age "&amp;$J$20&amp;" "&amp;$J$21&amp;" should be equal to "&amp;$B438&amp;""&amp;CHAR(10),""),IF((K439+K440+K441+K442)&lt;&gt;K438," * "&amp;$A438&amp;" , "&amp;$B439&amp;" plus "&amp;$B440&amp;" plus "&amp;$B441&amp;" plus "&amp;$B442&amp;" For age "&amp;$J$20&amp;" "&amp;$K$21&amp;" should be equal to "&amp;$B438&amp;""&amp;CHAR(10),""),IF((L439+L440+L441+L442)&lt;&gt;L438," * "&amp;$A438&amp;" , "&amp;$B439&amp;" plus "&amp;$B440&amp;" plus "&amp;$B441&amp;" plus "&amp;$B442&amp;" For age "&amp;$L$20&amp;" "&amp;$L$21&amp;" should be equal to "&amp;$B438&amp;""&amp;CHAR(10),""),IF((M439+M440+M441+M442)&lt;&gt;M438," * "&amp;$A438&amp;" , "&amp;$B439&amp;" plus "&amp;$B440&amp;" plus "&amp;$B441&amp;" plus "&amp;$B442&amp;" For age "&amp;$L$20&amp;" "&amp;$M$21&amp;" should be equal to "&amp;$B438&amp;""&amp;CHAR(10),""),IF((N439+N440+N441+N442)&lt;&gt;N438," * "&amp;$A438&amp;" , "&amp;$B439&amp;" plus "&amp;$B440&amp;" plus "&amp;$B441&amp;" plus "&amp;$B442&amp;" For age "&amp;$N$20&amp;" "&amp;$N$21&amp;" should be equal to "&amp;$B438&amp;""&amp;CHAR(10),""),IF((O439+O440+O441+O442)&lt;&gt;O438," * "&amp;$A438&amp;" , "&amp;$B439&amp;" plus "&amp;$B440&amp;" plus "&amp;$B441&amp;" plus "&amp;$B442&amp;" For age "&amp;$N$20&amp;" "&amp;$O$21&amp;" should be equal to "&amp;$B438&amp;""&amp;CHAR(10),""),IF((P439+P440+P441+P442)&lt;&gt;P438," * "&amp;$A438&amp;" , "&amp;$B439&amp;" plus "&amp;$B440&amp;" plus "&amp;$B441&amp;" plus "&amp;$B442&amp;" For age "&amp;$P$20&amp;" "&amp;$P$21&amp;" should be equal to "&amp;$B438&amp;""&amp;CHAR(10),""),IF((Q439+Q440+Q441+Q442)&lt;&gt;Q438," * "&amp;$A438&amp;" , "&amp;$B439&amp;" plus "&amp;$B440&amp;" plus "&amp;$B441&amp;" plus "&amp;$B442&amp;" For age "&amp;$P$20&amp;" "&amp;$Q$21&amp;" should be equal to "&amp;$B438&amp;""&amp;CHAR(10),""),IF((R439+R440+R441+R442)&lt;&gt;R438," * "&amp;$A438&amp;" , "&amp;$B439&amp;" plus "&amp;$B440&amp;" plus "&amp;$B441&amp;" plus "&amp;$B442&amp;" For age "&amp;$R$20&amp;" "&amp;$R$21&amp;" should be equal to "&amp;$B438&amp;""&amp;CHAR(10),""),IF((S439+S440+S441+S442)&lt;&gt;S438," * "&amp;$A438&amp;" , "&amp;$B439&amp;" plus "&amp;$B440&amp;" plus "&amp;$B441&amp;" plus "&amp;$B442&amp;" For age "&amp;$R$20&amp;" "&amp;$S$21&amp;" should be equal to "&amp;$B438&amp;""&amp;CHAR(10),""),IF((T439+T440+T441+T442)&lt;&gt;T438," * "&amp;$A438&amp;" , "&amp;$B439&amp;" plus "&amp;$B440&amp;" plus "&amp;$B441&amp;" plus "&amp;$B442&amp;" For age "&amp;$T$20&amp;" "&amp;$T$21&amp;" should be equal to "&amp;$B438&amp;""&amp;CHAR(10),""),IF((U439+U440+U441+U442)&lt;&gt;U438," * "&amp;$A438&amp;" , "&amp;$B439&amp;" plus "&amp;$B440&amp;" plus "&amp;$B441&amp;" plus "&amp;$B442&amp;" For age "&amp;$T$20&amp;" "&amp;$U$21&amp;" should be equal to "&amp;$B438&amp;""&amp;CHAR(10),""),IF((V439+V440+V441+V442)&lt;&gt;V438," * "&amp;$A438&amp;" , "&amp;$B439&amp;" plus "&amp;$B440&amp;" plus "&amp;$B441&amp;" plus "&amp;$B442&amp;" For age "&amp;$V$20&amp;" "&amp;$V$21&amp;" should be equal to "&amp;$B438&amp;""&amp;CHAR(10),""),IF((W439+W440+W441+W442)&lt;&gt;W438," * "&amp;$A438&amp;" , "&amp;$B439&amp;" plus "&amp;$B440&amp;" plus "&amp;$B441&amp;" plus "&amp;$B442&amp;" For age "&amp;$V$20&amp;" "&amp;$W$21&amp;" should be equal to "&amp;$B438&amp;""&amp;CHAR(10),""),IF((X439+X440+X441+X442)&lt;&gt;X438," * "&amp;$A438&amp;" , "&amp;$B439&amp;" plus "&amp;$B440&amp;" plus "&amp;$B441&amp;" plus "&amp;$B442&amp;" For age "&amp;$X$20&amp;" "&amp;$X$21&amp;" should be equal to "&amp;$B438&amp;""&amp;CHAR(10),""),IF((Y439+Y440+Y441+Y442)&lt;&gt;Y438," * "&amp;$A438&amp;" , "&amp;$B439&amp;" plus "&amp;$B440&amp;" plus "&amp;$B441&amp;" plus "&amp;$B442&amp;" For age "&amp;$X$20&amp;" "&amp;$Y$21&amp;" should be equal to "&amp;$B438&amp;""&amp;CHAR(10),""),IF((Z439+Z440+Z441+Z442)&lt;&gt;Z438," * "&amp;$A438&amp;" , "&amp;$B439&amp;" plus "&amp;$B440&amp;" plus "&amp;$B441&amp;" plus "&amp;$B442&amp;" For age "&amp;$Z$20&amp;" "&amp;$Z$21&amp;" should be equal to "&amp;$B438&amp;""&amp;CHAR(10),""),IF((AA439+AA440+AA441+AA442)&lt;&gt;AA438," * "&amp;$A438&amp;" , "&amp;$B439&amp;" plus "&amp;$B440&amp;" plus "&amp;$B441&amp;" plus "&amp;$B442&amp;" For age "&amp;$Z$20&amp;" "&amp;$AA$21&amp;" should be equal to "&amp;$B438&amp;""&amp;CHAR(10),""))</f>
        <v/>
      </c>
      <c r="AL438" s="1395" t="str">
        <f>CONCATENATE(AK438,AK439,AK442,AK443,AK444,AK446,AK447,AK448,AK449,AK451,AK452,AK453,AK454,AK456,AK457,AK458,AK459,AK461,AK462,AK463,AK464,AK466,AK467,AK468,AK469,AK471,AK472,AK473,AK474,AK477,AK441,AK476,AK478,AK479,AK481,AK482,AK483,AK484,AK486,AK487,AK488,AK489,AK492,AK491,AK493,AK494,AK496,AK497,AK498,AK499,AK501,AK502)</f>
        <v/>
      </c>
      <c r="AM438" s="31"/>
      <c r="AN438" s="793"/>
      <c r="AO438" s="13">
        <v>31</v>
      </c>
      <c r="AP438" s="81"/>
      <c r="AQ438" s="82"/>
    </row>
    <row r="439" spans="1:43" s="83" customFormat="1" ht="25.5" x14ac:dyDescent="0.75">
      <c r="A439" s="1112"/>
      <c r="B439" s="737" t="s">
        <v>1077</v>
      </c>
      <c r="C439" s="741" t="s">
        <v>1056</v>
      </c>
      <c r="D439" s="625"/>
      <c r="E439" s="752"/>
      <c r="F439" s="550"/>
      <c r="G439" s="547"/>
      <c r="H439" s="547"/>
      <c r="I439" s="547"/>
      <c r="J439" s="547"/>
      <c r="K439" s="547"/>
      <c r="L439" s="547"/>
      <c r="M439" s="547"/>
      <c r="N439" s="547"/>
      <c r="O439" s="547"/>
      <c r="P439" s="547"/>
      <c r="Q439" s="547"/>
      <c r="R439" s="547"/>
      <c r="S439" s="547"/>
      <c r="T439" s="547"/>
      <c r="U439" s="547"/>
      <c r="V439" s="547"/>
      <c r="W439" s="547"/>
      <c r="X439" s="547"/>
      <c r="Y439" s="547"/>
      <c r="Z439" s="489">
        <f t="shared" ref="Z439:Z442" si="216">SUM(AB439,AD439,AF439,AH439)</f>
        <v>0</v>
      </c>
      <c r="AA439" s="489">
        <f t="shared" ref="AA439:AA442" si="217">SUM(AC439,AE439,AG439,AI439)</f>
        <v>0</v>
      </c>
      <c r="AB439" s="547"/>
      <c r="AC439" s="547"/>
      <c r="AD439" s="547"/>
      <c r="AE439" s="547"/>
      <c r="AF439" s="547"/>
      <c r="AG439" s="547"/>
      <c r="AH439" s="547"/>
      <c r="AI439" s="547"/>
      <c r="AJ439" s="478">
        <f t="shared" si="215"/>
        <v>0</v>
      </c>
      <c r="AK439" s="1114" t="str">
        <f>CONCATENATE(IF(D440&gt;D439," * Positive F01-13 for Age "&amp;D426&amp;" "&amp;D427&amp;" is more than Tested F01-12"&amp;CHAR(10),""),IF(E440&gt;E439," * Positive F01-13 for Age "&amp;D426&amp;" "&amp;E427&amp;" is more than Tested F01-12"&amp;CHAR(10),""),IF(F440&gt;F439," * Positive F01-13 for Age "&amp;F426&amp;" "&amp;F427&amp;" is more than Tested F01-12"&amp;CHAR(10),""),IF(G440&gt;G439," * Positive F01-13 for Age "&amp;F426&amp;" "&amp;G427&amp;" is more than Tested F01-12"&amp;CHAR(10),""),IF(H440&gt;H439," * Positive F01-13 for Age "&amp;H426&amp;" "&amp;H427&amp;" is more than Tested F01-12"&amp;CHAR(10),""),IF(I440&gt;I439," * Positive F01-13 for Age "&amp;H426&amp;" "&amp;I427&amp;" is more than Tested F01-12"&amp;CHAR(10),""),IF(J440&gt;J439," * Positive F01-13 for Age "&amp;J426&amp;" "&amp;J427&amp;" is more than Tested F01-12"&amp;CHAR(10),""),IF(K440&gt;K439," * Positive F01-13 for Age "&amp;J426&amp;" "&amp;K427&amp;" is more than Tested F01-12"&amp;CHAR(10),""),IF(L440&gt;L439," * Positive F01-13 for Age "&amp;L426&amp;" "&amp;L427&amp;" is more than Tested F01-12"&amp;CHAR(10),""),IF(M440&gt;M439," * Positive F01-13 for Age "&amp;L426&amp;" "&amp;M427&amp;" is more than Tested F01-12"&amp;CHAR(10),""),IF(N440&gt;N439," * Positive F01-13 for Age "&amp;N426&amp;" "&amp;N427&amp;" is more than Tested F01-12"&amp;CHAR(10),""),IF(O440&gt;O439," * Positive F01-13 for Age "&amp;N426&amp;" "&amp;O427&amp;" is more than Tested F01-12"&amp;CHAR(10),""),IF(P440&gt;P439," * Positive F01-13 for Age "&amp;P426&amp;" "&amp;P427&amp;" is more than Tested F01-12"&amp;CHAR(10),""),IF(Q440&gt;Q439," * Positive F01-13 for Age "&amp;P426&amp;" "&amp;Q427&amp;" is more than Tested F01-12"&amp;CHAR(10),""),IF(R440&gt;R439," * Positive F01-13 for Age "&amp;R426&amp;" "&amp;R427&amp;" is more than Tested F01-12"&amp;CHAR(10),""),IF(S440&gt;S439," * Positive F01-13 for Age "&amp;R426&amp;" "&amp;S427&amp;" is more than Tested F01-12"&amp;CHAR(10),""),IF(T440&gt;T439," * Positive F01-13 for Age "&amp;T426&amp;" "&amp;T427&amp;" is more than Tested F01-12"&amp;CHAR(10),""),IF(U440&gt;U439," * Positive F01-13 for Age "&amp;T426&amp;" "&amp;U427&amp;" is more than Tested F01-12"&amp;CHAR(10),""),IF(V440&gt;V439," * Positive F01-13 for Age "&amp;V426&amp;" "&amp;V427&amp;" is more than Tested F01-12"&amp;CHAR(10),""),IF(W440&gt;W439," * Positive F01-13 for Age "&amp;V426&amp;" "&amp;W427&amp;" is more than Tested F01-12"&amp;CHAR(10),""),IF(X440&gt;X439," * Positive F01-13 for Age "&amp;X426&amp;" "&amp;X427&amp;" is more than Tested F01-12"&amp;CHAR(10),""),IF(Y440&gt;Y439," * Positive F01-13 for Age "&amp;X426&amp;" "&amp;Y427&amp;" is more than Tested F01-12"&amp;CHAR(10),""),IF(Z440&gt;Z439," * Positive F01-13 for Age "&amp;Z426&amp;" "&amp;Z427&amp;" is more than Tested F01-12"&amp;CHAR(10),""),IF(AA440&gt;AA439," * Positive F01-13 for Age "&amp;Z426&amp;" "&amp;AA427&amp;" is more than Tested F01-12"&amp;CHAR(10),""))</f>
        <v/>
      </c>
      <c r="AL439" s="1396"/>
      <c r="AM439" s="31" t="str">
        <f>CONCATENATE(IF(AND(IFERROR((AJ440*100)/AJ439,0)&gt;10,AJ440&gt;5)," * This facility has a high positivity rate for Index Testing. Kindly confirm if this is the true reflection"&amp;CHAR(10),""),"")</f>
        <v/>
      </c>
      <c r="AN439" s="794"/>
      <c r="AO439" s="13">
        <v>32</v>
      </c>
      <c r="AP439" s="81"/>
      <c r="AQ439" s="82"/>
    </row>
    <row r="440" spans="1:43" s="83" customFormat="1" ht="25.5" x14ac:dyDescent="0.75">
      <c r="A440" s="1112"/>
      <c r="B440" s="737" t="s">
        <v>1058</v>
      </c>
      <c r="C440" s="741" t="s">
        <v>1057</v>
      </c>
      <c r="D440" s="725"/>
      <c r="E440" s="753"/>
      <c r="F440" s="551"/>
      <c r="G440" s="481"/>
      <c r="H440" s="481"/>
      <c r="I440" s="481"/>
      <c r="J440" s="481"/>
      <c r="K440" s="481"/>
      <c r="L440" s="481"/>
      <c r="M440" s="481"/>
      <c r="N440" s="481"/>
      <c r="O440" s="481"/>
      <c r="P440" s="481"/>
      <c r="Q440" s="481"/>
      <c r="R440" s="481"/>
      <c r="S440" s="481"/>
      <c r="T440" s="481"/>
      <c r="U440" s="481"/>
      <c r="V440" s="481"/>
      <c r="W440" s="481"/>
      <c r="X440" s="481"/>
      <c r="Y440" s="481"/>
      <c r="Z440" s="489">
        <f t="shared" si="216"/>
        <v>0</v>
      </c>
      <c r="AA440" s="489">
        <f t="shared" si="217"/>
        <v>0</v>
      </c>
      <c r="AB440" s="481"/>
      <c r="AC440" s="481"/>
      <c r="AD440" s="481"/>
      <c r="AE440" s="481"/>
      <c r="AF440" s="481"/>
      <c r="AG440" s="481"/>
      <c r="AH440" s="481"/>
      <c r="AI440" s="481"/>
      <c r="AJ440" s="479">
        <f t="shared" si="215"/>
        <v>0</v>
      </c>
      <c r="AK440" s="1114"/>
      <c r="AL440" s="1396"/>
      <c r="AM440" s="31" t="e">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0"&amp;CHAR(10),""),IF(#REF!&gt;0," * F01-14 for Age "&amp;D426&amp;" "&amp;D427&amp;" has a value greater than 0"&amp;CHAR(10),""),IF(#REF!&gt;0,"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#REF!</v>
      </c>
      <c r="AN440" s="794"/>
      <c r="AO440" s="13">
        <v>33</v>
      </c>
      <c r="AP440" s="81"/>
      <c r="AQ440" s="82"/>
    </row>
    <row r="441" spans="1:43" s="83" customFormat="1" ht="25.5" x14ac:dyDescent="0.75">
      <c r="A441" s="1112"/>
      <c r="B441" s="737" t="s">
        <v>1060</v>
      </c>
      <c r="C441" s="741" t="s">
        <v>1059</v>
      </c>
      <c r="D441" s="725"/>
      <c r="E441" s="753"/>
      <c r="F441" s="552"/>
      <c r="G441" s="488"/>
      <c r="H441" s="488"/>
      <c r="I441" s="488"/>
      <c r="J441" s="488"/>
      <c r="K441" s="488"/>
      <c r="L441" s="488"/>
      <c r="M441" s="488"/>
      <c r="N441" s="488"/>
      <c r="O441" s="488"/>
      <c r="P441" s="488"/>
      <c r="Q441" s="488"/>
      <c r="R441" s="488"/>
      <c r="S441" s="488"/>
      <c r="T441" s="488"/>
      <c r="U441" s="488"/>
      <c r="V441" s="488"/>
      <c r="W441" s="488"/>
      <c r="X441" s="488"/>
      <c r="Y441" s="488"/>
      <c r="Z441" s="489">
        <f t="shared" si="216"/>
        <v>0</v>
      </c>
      <c r="AA441" s="489">
        <f t="shared" si="217"/>
        <v>0</v>
      </c>
      <c r="AB441" s="488"/>
      <c r="AC441" s="488"/>
      <c r="AD441" s="488"/>
      <c r="AE441" s="488"/>
      <c r="AF441" s="488"/>
      <c r="AG441" s="488"/>
      <c r="AH441" s="488"/>
      <c r="AI441" s="488"/>
      <c r="AJ441" s="479">
        <f t="shared" ref="AJ441" si="218">SUM(D441:AA441)</f>
        <v>0</v>
      </c>
      <c r="AK441" s="470"/>
      <c r="AL441" s="1396"/>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794"/>
      <c r="AO441" s="13">
        <v>33</v>
      </c>
      <c r="AP441" s="81"/>
      <c r="AQ441" s="82"/>
    </row>
    <row r="442" spans="1:43" s="83" customFormat="1" ht="25.9" thickBot="1" x14ac:dyDescent="0.8">
      <c r="A442" s="1113"/>
      <c r="B442" s="738" t="s">
        <v>1062</v>
      </c>
      <c r="C442" s="742" t="s">
        <v>1061</v>
      </c>
      <c r="D442" s="726"/>
      <c r="E442" s="754"/>
      <c r="F442" s="553"/>
      <c r="G442" s="549"/>
      <c r="H442" s="549"/>
      <c r="I442" s="549"/>
      <c r="J442" s="549"/>
      <c r="K442" s="549"/>
      <c r="L442" s="549"/>
      <c r="M442" s="549"/>
      <c r="N442" s="549"/>
      <c r="O442" s="549"/>
      <c r="P442" s="549"/>
      <c r="Q442" s="549"/>
      <c r="R442" s="549"/>
      <c r="S442" s="549"/>
      <c r="T442" s="549"/>
      <c r="U442" s="549"/>
      <c r="V442" s="549"/>
      <c r="W442" s="549"/>
      <c r="X442" s="549"/>
      <c r="Y442" s="549"/>
      <c r="Z442" s="489">
        <f t="shared" si="216"/>
        <v>0</v>
      </c>
      <c r="AA442" s="489">
        <f t="shared" si="217"/>
        <v>0</v>
      </c>
      <c r="AB442" s="549"/>
      <c r="AC442" s="549"/>
      <c r="AD442" s="549"/>
      <c r="AE442" s="549"/>
      <c r="AF442" s="549"/>
      <c r="AG442" s="549"/>
      <c r="AH442" s="549"/>
      <c r="AI442" s="549"/>
      <c r="AJ442" s="480">
        <f t="shared" ref="AJ442:AJ446" si="219">SUM(D442:AA442)</f>
        <v>0</v>
      </c>
      <c r="AK442" s="470"/>
      <c r="AL442" s="1396"/>
      <c r="AM442" s="31" t="str">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0"&amp;CHAR(10),""),IF(D504&gt;0," * F01-14 for Age "&amp;D428&amp;" "&amp;D429&amp;" has a value greater than 0"&amp;CHAR(10),""),IF(E504&gt;0,"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
      </c>
      <c r="AN442" s="794"/>
      <c r="AO442" s="13">
        <v>33</v>
      </c>
      <c r="AP442" s="81"/>
      <c r="AQ442" s="82"/>
    </row>
    <row r="443" spans="1:43" s="83" customFormat="1" ht="25.9" thickBot="1" x14ac:dyDescent="0.8">
      <c r="A443" s="1111" t="s">
        <v>13</v>
      </c>
      <c r="B443" s="736" t="s">
        <v>138</v>
      </c>
      <c r="C443" s="740" t="s">
        <v>1063</v>
      </c>
      <c r="D443" s="723"/>
      <c r="E443" s="751"/>
      <c r="F443" s="762">
        <f t="shared" ref="F443:AI443" si="220">F34</f>
        <v>0</v>
      </c>
      <c r="G443" s="487">
        <f t="shared" si="220"/>
        <v>0</v>
      </c>
      <c r="H443" s="487">
        <f t="shared" si="220"/>
        <v>0</v>
      </c>
      <c r="I443" s="487">
        <f t="shared" si="220"/>
        <v>0</v>
      </c>
      <c r="J443" s="487">
        <f t="shared" si="220"/>
        <v>0</v>
      </c>
      <c r="K443" s="487">
        <f t="shared" si="220"/>
        <v>0</v>
      </c>
      <c r="L443" s="487">
        <f t="shared" si="220"/>
        <v>0</v>
      </c>
      <c r="M443" s="487">
        <f t="shared" si="220"/>
        <v>0</v>
      </c>
      <c r="N443" s="487">
        <f t="shared" si="220"/>
        <v>0</v>
      </c>
      <c r="O443" s="487">
        <f t="shared" si="220"/>
        <v>0</v>
      </c>
      <c r="P443" s="487">
        <f t="shared" si="220"/>
        <v>0</v>
      </c>
      <c r="Q443" s="487">
        <f t="shared" si="220"/>
        <v>0</v>
      </c>
      <c r="R443" s="487">
        <f t="shared" si="220"/>
        <v>0</v>
      </c>
      <c r="S443" s="487">
        <f t="shared" si="220"/>
        <v>0</v>
      </c>
      <c r="T443" s="487">
        <f t="shared" si="220"/>
        <v>0</v>
      </c>
      <c r="U443" s="487">
        <f t="shared" si="220"/>
        <v>0</v>
      </c>
      <c r="V443" s="487">
        <f t="shared" si="220"/>
        <v>0</v>
      </c>
      <c r="W443" s="487">
        <f t="shared" si="220"/>
        <v>0</v>
      </c>
      <c r="X443" s="487">
        <f t="shared" si="220"/>
        <v>0</v>
      </c>
      <c r="Y443" s="487">
        <f t="shared" si="220"/>
        <v>0</v>
      </c>
      <c r="Z443" s="487">
        <f t="shared" si="220"/>
        <v>0</v>
      </c>
      <c r="AA443" s="487">
        <f t="shared" si="220"/>
        <v>0</v>
      </c>
      <c r="AB443" s="487">
        <f t="shared" si="220"/>
        <v>0</v>
      </c>
      <c r="AC443" s="487">
        <f t="shared" si="220"/>
        <v>0</v>
      </c>
      <c r="AD443" s="487">
        <f t="shared" si="220"/>
        <v>0</v>
      </c>
      <c r="AE443" s="487">
        <f t="shared" si="220"/>
        <v>0</v>
      </c>
      <c r="AF443" s="487">
        <f t="shared" si="220"/>
        <v>0</v>
      </c>
      <c r="AG443" s="487">
        <f t="shared" si="220"/>
        <v>0</v>
      </c>
      <c r="AH443" s="487">
        <f t="shared" si="220"/>
        <v>0</v>
      </c>
      <c r="AI443" s="487">
        <f t="shared" si="220"/>
        <v>0</v>
      </c>
      <c r="AJ443" s="477">
        <f t="shared" si="219"/>
        <v>0</v>
      </c>
      <c r="AK443" s="545" t="str">
        <f>CONCATENATE(IF((D444+D445+D446+D447)&lt;&gt;D443," * "&amp;$A443&amp;" , "&amp;$B444&amp;" plus "&amp;$B445&amp;" plus "&amp;$B446&amp;" plus "&amp;$B447&amp;" For age "&amp;$D$20&amp;" "&amp;$D$21&amp;" should be equal to "&amp;$B443&amp;""&amp;CHAR(10),""),IF((E444+E445+E446+E447)&lt;&gt;E443," * "&amp;$A443&amp;" , "&amp;$B444&amp;" plus "&amp;$B445&amp;" plus "&amp;$B446&amp;" plus "&amp;$B447&amp;" For age "&amp;$D$20&amp;" "&amp;$E$21&amp;" should be equal to "&amp;$B443&amp;""&amp;CHAR(10),""),IF((F444+F445+F446+F447)&lt;&gt;F443," * "&amp;$A443&amp;" , "&amp;$B444&amp;" plus "&amp;$B445&amp;" plus "&amp;$B446&amp;" plus "&amp;$B447&amp;" For age "&amp;$F$20&amp;" "&amp;$F$21&amp;" should be equal to "&amp;$B443&amp;""&amp;CHAR(10),""),IF((G444+G445+G446+G447)&lt;&gt;G443," * "&amp;$A443&amp;" , "&amp;$B444&amp;" plus "&amp;$B445&amp;" plus "&amp;$B446&amp;" plus "&amp;$B447&amp;" For age "&amp;$F$20&amp;" "&amp;$G$21&amp;" should be equal to "&amp;$B443&amp;""&amp;CHAR(10),""),IF((H444+H445+H446+H447)&lt;&gt;H443," * "&amp;$A443&amp;" , "&amp;$B444&amp;" plus "&amp;$B445&amp;" plus "&amp;$B446&amp;" plus "&amp;$B447&amp;" For age "&amp;$H$20&amp;" "&amp;$H$21&amp;" should be equal to "&amp;$B443&amp;""&amp;CHAR(10),""),IF((I444+I445+I446+I447)&lt;&gt;I443," * "&amp;$A443&amp;" , "&amp;$B444&amp;" plus "&amp;$B445&amp;" plus "&amp;$B446&amp;" plus "&amp;$B447&amp;" For age "&amp;$H$20&amp;" "&amp;$I$21&amp;" should be equal to "&amp;$B443&amp;""&amp;CHAR(10),""),IF((J444+J445+J446+J447)&lt;&gt;J443," * "&amp;$A443&amp;" , "&amp;$B444&amp;" plus "&amp;$B445&amp;" plus "&amp;$B446&amp;" plus "&amp;$B447&amp;" For age "&amp;$J$20&amp;" "&amp;$J$21&amp;" should be equal to "&amp;$B443&amp;""&amp;CHAR(10),""),IF((K444+K445+K446+K447)&lt;&gt;K443," * "&amp;$A443&amp;" , "&amp;$B444&amp;" plus "&amp;$B445&amp;" plus "&amp;$B446&amp;" plus "&amp;$B447&amp;" For age "&amp;$J$20&amp;" "&amp;$K$21&amp;" should be equal to "&amp;$B443&amp;""&amp;CHAR(10),""),IF((L444+L445+L446+L447)&lt;&gt;L443," * "&amp;$A443&amp;" , "&amp;$B444&amp;" plus "&amp;$B445&amp;" plus "&amp;$B446&amp;" plus "&amp;$B447&amp;" For age "&amp;$L$20&amp;" "&amp;$L$21&amp;" should be equal to "&amp;$B443&amp;""&amp;CHAR(10),""),IF((M444+M445+M446+M447)&lt;&gt;M443," * "&amp;$A443&amp;" , "&amp;$B444&amp;" plus "&amp;$B445&amp;" plus "&amp;$B446&amp;" plus "&amp;$B447&amp;" For age "&amp;$L$20&amp;" "&amp;$M$21&amp;" should be equal to "&amp;$B443&amp;""&amp;CHAR(10),""),IF((N444+N445+N446+N447)&lt;&gt;N443," * "&amp;$A443&amp;" , "&amp;$B444&amp;" plus "&amp;$B445&amp;" plus "&amp;$B446&amp;" plus "&amp;$B447&amp;" For age "&amp;$N$20&amp;" "&amp;$N$21&amp;" should be equal to "&amp;$B443&amp;""&amp;CHAR(10),""),IF((O444+O445+O446+O447)&lt;&gt;O443," * "&amp;$A443&amp;" , "&amp;$B444&amp;" plus "&amp;$B445&amp;" plus "&amp;$B446&amp;" plus "&amp;$B447&amp;" For age "&amp;$N$20&amp;" "&amp;$O$21&amp;" should be equal to "&amp;$B443&amp;""&amp;CHAR(10),""),IF((P444+P445+P446+P447)&lt;&gt;P443," * "&amp;$A443&amp;" , "&amp;$B444&amp;" plus "&amp;$B445&amp;" plus "&amp;$B446&amp;" plus "&amp;$B447&amp;" For age "&amp;$P$20&amp;" "&amp;$P$21&amp;" should be equal to "&amp;$B443&amp;""&amp;CHAR(10),""),IF((Q444+Q445+Q446+Q447)&lt;&gt;Q443," * "&amp;$A443&amp;" , "&amp;$B444&amp;" plus "&amp;$B445&amp;" plus "&amp;$B446&amp;" plus "&amp;$B447&amp;" For age "&amp;$P$20&amp;" "&amp;$Q$21&amp;" should be equal to "&amp;$B443&amp;""&amp;CHAR(10),""),IF((R444+R445+R446+R447)&lt;&gt;R443," * "&amp;$A443&amp;" , "&amp;$B444&amp;" plus "&amp;$B445&amp;" plus "&amp;$B446&amp;" plus "&amp;$B447&amp;" For age "&amp;$R$20&amp;" "&amp;$R$21&amp;" should be equal to "&amp;$B443&amp;""&amp;CHAR(10),""),IF((S444+S445+S446+S447)&lt;&gt;S443," * "&amp;$A443&amp;" , "&amp;$B444&amp;" plus "&amp;$B445&amp;" plus "&amp;$B446&amp;" plus "&amp;$B447&amp;" For age "&amp;$R$20&amp;" "&amp;$S$21&amp;" should be equal to "&amp;$B443&amp;""&amp;CHAR(10),""),IF((T444+T445+T446+T447)&lt;&gt;T443," * "&amp;$A443&amp;" , "&amp;$B444&amp;" plus "&amp;$B445&amp;" plus "&amp;$B446&amp;" plus "&amp;$B447&amp;" For age "&amp;$T$20&amp;" "&amp;$T$21&amp;" should be equal to "&amp;$B443&amp;""&amp;CHAR(10),""),IF((U444+U445+U446+U447)&lt;&gt;U443," * "&amp;$A443&amp;" , "&amp;$B444&amp;" plus "&amp;$B445&amp;" plus "&amp;$B446&amp;" plus "&amp;$B447&amp;" For age "&amp;$T$20&amp;" "&amp;$U$21&amp;" should be equal to "&amp;$B443&amp;""&amp;CHAR(10),""),IF((V444+V445+V446+V447)&lt;&gt;V443," * "&amp;$A443&amp;" , "&amp;$B444&amp;" plus "&amp;$B445&amp;" plus "&amp;$B446&amp;" plus "&amp;$B447&amp;" For age "&amp;$V$20&amp;" "&amp;$V$21&amp;" should be equal to "&amp;$B443&amp;""&amp;CHAR(10),""),IF((W444+W445+W446+W447)&lt;&gt;W443," * "&amp;$A443&amp;" , "&amp;$B444&amp;" plus "&amp;$B445&amp;" plus "&amp;$B446&amp;" plus "&amp;$B447&amp;" For age "&amp;$V$20&amp;" "&amp;$W$21&amp;" should be equal to "&amp;$B443&amp;""&amp;CHAR(10),""),IF((X444+X445+X446+X447)&lt;&gt;X443," * "&amp;$A443&amp;" , "&amp;$B444&amp;" plus "&amp;$B445&amp;" plus "&amp;$B446&amp;" plus "&amp;$B447&amp;" For age "&amp;$X$20&amp;" "&amp;$X$21&amp;" should be equal to "&amp;$B443&amp;""&amp;CHAR(10),""),IF((Y444+Y445+Y446+Y447)&lt;&gt;Y443," * "&amp;$A443&amp;" , "&amp;$B444&amp;" plus "&amp;$B445&amp;" plus "&amp;$B446&amp;" plus "&amp;$B447&amp;" For age "&amp;$X$20&amp;" "&amp;$Y$21&amp;" should be equal to "&amp;$B443&amp;""&amp;CHAR(10),""),IF((Z444+Z445+Z446+Z447)&lt;&gt;Z443," * "&amp;$A443&amp;" , "&amp;$B444&amp;" plus "&amp;$B445&amp;" plus "&amp;$B446&amp;" plus "&amp;$B447&amp;" For age "&amp;$Z$20&amp;" "&amp;$Z$21&amp;" should be equal to "&amp;$B443&amp;""&amp;CHAR(10),""),IF((AA444+AA445+AA446+AA447)&lt;&gt;AA443," * "&amp;$A443&amp;" , "&amp;$B444&amp;" plus "&amp;$B445&amp;" plus "&amp;$B446&amp;" plus "&amp;$B447&amp;" For age "&amp;$Z$20&amp;" "&amp;$AA$21&amp;" should be equal to "&amp;$B443&amp;""&amp;CHAR(10),""))</f>
        <v/>
      </c>
      <c r="AL443" s="1396"/>
      <c r="AM443" s="31"/>
      <c r="AN443" s="794"/>
      <c r="AO443" s="13">
        <v>31</v>
      </c>
      <c r="AP443" s="81"/>
      <c r="AQ443" s="82"/>
    </row>
    <row r="444" spans="1:43" s="83" customFormat="1" ht="25.5" x14ac:dyDescent="0.75">
      <c r="A444" s="1112"/>
      <c r="B444" s="737" t="s">
        <v>1077</v>
      </c>
      <c r="C444" s="741" t="s">
        <v>1064</v>
      </c>
      <c r="D444" s="625"/>
      <c r="E444" s="752"/>
      <c r="F444" s="550"/>
      <c r="G444" s="547"/>
      <c r="H444" s="547"/>
      <c r="I444" s="547"/>
      <c r="J444" s="547"/>
      <c r="K444" s="547"/>
      <c r="L444" s="547"/>
      <c r="M444" s="547"/>
      <c r="N444" s="547"/>
      <c r="O444" s="547"/>
      <c r="P444" s="547"/>
      <c r="Q444" s="547"/>
      <c r="R444" s="547"/>
      <c r="S444" s="547"/>
      <c r="T444" s="547"/>
      <c r="U444" s="547"/>
      <c r="V444" s="547"/>
      <c r="W444" s="547"/>
      <c r="X444" s="547"/>
      <c r="Y444" s="547"/>
      <c r="Z444" s="489">
        <f t="shared" ref="Z444:Z447" si="221">SUM(AB444,AD444,AF444,AH444)</f>
        <v>0</v>
      </c>
      <c r="AA444" s="489">
        <f t="shared" ref="AA444:AA447" si="222">SUM(AC444,AE444,AG444,AI444)</f>
        <v>0</v>
      </c>
      <c r="AB444" s="547"/>
      <c r="AC444" s="547"/>
      <c r="AD444" s="547"/>
      <c r="AE444" s="547"/>
      <c r="AF444" s="547"/>
      <c r="AG444" s="547"/>
      <c r="AH444" s="547"/>
      <c r="AI444" s="547"/>
      <c r="AJ444" s="478">
        <f t="shared" si="219"/>
        <v>0</v>
      </c>
      <c r="AK444" s="1114" t="str">
        <f>CONCATENATE(IF(D445&gt;D444," * Positive F01-13 for Age "&amp;D431&amp;" "&amp;D432&amp;" is more than Tested F01-12"&amp;CHAR(10),""),IF(E445&gt;E444," * Positive F01-13 for Age "&amp;D431&amp;" "&amp;E432&amp;" is more than Tested F01-12"&amp;CHAR(10),""),IF(F445&gt;F444," * Positive F01-13 for Age "&amp;F431&amp;" "&amp;F432&amp;" is more than Tested F01-12"&amp;CHAR(10),""),IF(G445&gt;G444," * Positive F01-13 for Age "&amp;F431&amp;" "&amp;G432&amp;" is more than Tested F01-12"&amp;CHAR(10),""),IF(H445&gt;H444," * Positive F01-13 for Age "&amp;H431&amp;" "&amp;H432&amp;" is more than Tested F01-12"&amp;CHAR(10),""),IF(I445&gt;I444," * Positive F01-13 for Age "&amp;H431&amp;" "&amp;I432&amp;" is more than Tested F01-12"&amp;CHAR(10),""),IF(J445&gt;J444," * Positive F01-13 for Age "&amp;J431&amp;" "&amp;J432&amp;" is more than Tested F01-12"&amp;CHAR(10),""),IF(K445&gt;K444," * Positive F01-13 for Age "&amp;J431&amp;" "&amp;K432&amp;" is more than Tested F01-12"&amp;CHAR(10),""),IF(L445&gt;L444," * Positive F01-13 for Age "&amp;L431&amp;" "&amp;L432&amp;" is more than Tested F01-12"&amp;CHAR(10),""),IF(M445&gt;M444," * Positive F01-13 for Age "&amp;L431&amp;" "&amp;M432&amp;" is more than Tested F01-12"&amp;CHAR(10),""),IF(N445&gt;N444," * Positive F01-13 for Age "&amp;N431&amp;" "&amp;N432&amp;" is more than Tested F01-12"&amp;CHAR(10),""),IF(O445&gt;O444," * Positive F01-13 for Age "&amp;N431&amp;" "&amp;O432&amp;" is more than Tested F01-12"&amp;CHAR(10),""),IF(P445&gt;P444," * Positive F01-13 for Age "&amp;P431&amp;" "&amp;P432&amp;" is more than Tested F01-12"&amp;CHAR(10),""),IF(Q445&gt;Q444," * Positive F01-13 for Age "&amp;P431&amp;" "&amp;Q432&amp;" is more than Tested F01-12"&amp;CHAR(10),""),IF(R445&gt;R444," * Positive F01-13 for Age "&amp;R431&amp;" "&amp;R432&amp;" is more than Tested F01-12"&amp;CHAR(10),""),IF(S445&gt;S444," * Positive F01-13 for Age "&amp;R431&amp;" "&amp;S432&amp;" is more than Tested F01-12"&amp;CHAR(10),""),IF(T445&gt;T444," * Positive F01-13 for Age "&amp;T431&amp;" "&amp;T432&amp;" is more than Tested F01-12"&amp;CHAR(10),""),IF(U445&gt;U444," * Positive F01-13 for Age "&amp;T431&amp;" "&amp;U432&amp;" is more than Tested F01-12"&amp;CHAR(10),""),IF(V445&gt;V444," * Positive F01-13 for Age "&amp;V431&amp;" "&amp;V432&amp;" is more than Tested F01-12"&amp;CHAR(10),""),IF(W445&gt;W444," * Positive F01-13 for Age "&amp;V431&amp;" "&amp;W432&amp;" is more than Tested F01-12"&amp;CHAR(10),""),IF(X445&gt;X444," * Positive F01-13 for Age "&amp;X431&amp;" "&amp;X432&amp;" is more than Tested F01-12"&amp;CHAR(10),""),IF(Y445&gt;Y444," * Positive F01-13 for Age "&amp;X431&amp;" "&amp;Y432&amp;" is more than Tested F01-12"&amp;CHAR(10),""),IF(Z445&gt;Z444," * Positive F01-13 for Age "&amp;Z431&amp;" "&amp;Z432&amp;" is more than Tested F01-12"&amp;CHAR(10),""),IF(AA445&gt;AA444," * Positive F01-13 for Age "&amp;Z431&amp;" "&amp;AA432&amp;" is more than Tested F01-12"&amp;CHAR(10),""))</f>
        <v/>
      </c>
      <c r="AL444" s="1396"/>
      <c r="AM444" s="31" t="str">
        <f>CONCATENATE(IF(AND(IFERROR((AJ445*100)/AJ444,0)&gt;10,AJ445&gt;5)," * This facility has a high positivity rate for Index Testing. Kindly confirm if this is the true reflection"&amp;CHAR(10),""),"")</f>
        <v/>
      </c>
      <c r="AN444" s="794"/>
      <c r="AO444" s="13">
        <v>32</v>
      </c>
      <c r="AP444" s="81"/>
      <c r="AQ444" s="82"/>
    </row>
    <row r="445" spans="1:43" s="83" customFormat="1" ht="25.5" x14ac:dyDescent="0.75">
      <c r="A445" s="1112"/>
      <c r="B445" s="737" t="s">
        <v>1058</v>
      </c>
      <c r="C445" s="741" t="s">
        <v>1065</v>
      </c>
      <c r="D445" s="725"/>
      <c r="E445" s="753"/>
      <c r="F445" s="551"/>
      <c r="G445" s="481"/>
      <c r="H445" s="481"/>
      <c r="I445" s="481"/>
      <c r="J445" s="481"/>
      <c r="K445" s="481"/>
      <c r="L445" s="481"/>
      <c r="M445" s="481"/>
      <c r="N445" s="481"/>
      <c r="O445" s="481"/>
      <c r="P445" s="481"/>
      <c r="Q445" s="481"/>
      <c r="R445" s="481"/>
      <c r="S445" s="481"/>
      <c r="T445" s="481"/>
      <c r="U445" s="481"/>
      <c r="V445" s="481"/>
      <c r="W445" s="481"/>
      <c r="X445" s="481"/>
      <c r="Y445" s="481"/>
      <c r="Z445" s="489">
        <f t="shared" si="221"/>
        <v>0</v>
      </c>
      <c r="AA445" s="489">
        <f t="shared" si="222"/>
        <v>0</v>
      </c>
      <c r="AB445" s="481"/>
      <c r="AC445" s="481"/>
      <c r="AD445" s="481"/>
      <c r="AE445" s="481"/>
      <c r="AF445" s="481"/>
      <c r="AG445" s="481"/>
      <c r="AH445" s="481"/>
      <c r="AI445" s="481"/>
      <c r="AJ445" s="479">
        <f t="shared" si="219"/>
        <v>0</v>
      </c>
      <c r="AK445" s="1114"/>
      <c r="AL445" s="1396"/>
      <c r="AM445" s="31" t="e">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0"&amp;CHAR(10),""),IF(#REF!&gt;0," * F01-14 for Age "&amp;D431&amp;" "&amp;D432&amp;" has a value greater than 0"&amp;CHAR(10),""),IF(#REF!&gt;0,"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#REF!</v>
      </c>
      <c r="AN445" s="794"/>
      <c r="AO445" s="13">
        <v>33</v>
      </c>
      <c r="AP445" s="81"/>
      <c r="AQ445" s="82"/>
    </row>
    <row r="446" spans="1:43" s="83" customFormat="1" ht="25.5" x14ac:dyDescent="0.75">
      <c r="A446" s="1112"/>
      <c r="B446" s="737" t="s">
        <v>1060</v>
      </c>
      <c r="C446" s="741" t="s">
        <v>1066</v>
      </c>
      <c r="D446" s="725"/>
      <c r="E446" s="753"/>
      <c r="F446" s="552"/>
      <c r="G446" s="488"/>
      <c r="H446" s="488"/>
      <c r="I446" s="488"/>
      <c r="J446" s="488"/>
      <c r="K446" s="488"/>
      <c r="L446" s="488"/>
      <c r="M446" s="488"/>
      <c r="N446" s="488"/>
      <c r="O446" s="488"/>
      <c r="P446" s="488"/>
      <c r="Q446" s="488"/>
      <c r="R446" s="488"/>
      <c r="S446" s="488"/>
      <c r="T446" s="488"/>
      <c r="U446" s="488"/>
      <c r="V446" s="488"/>
      <c r="W446" s="488"/>
      <c r="X446" s="488"/>
      <c r="Y446" s="488"/>
      <c r="Z446" s="489">
        <f t="shared" si="221"/>
        <v>0</v>
      </c>
      <c r="AA446" s="489">
        <f t="shared" si="222"/>
        <v>0</v>
      </c>
      <c r="AB446" s="488"/>
      <c r="AC446" s="488"/>
      <c r="AD446" s="488"/>
      <c r="AE446" s="488"/>
      <c r="AF446" s="488"/>
      <c r="AG446" s="488"/>
      <c r="AH446" s="488"/>
      <c r="AI446" s="488"/>
      <c r="AJ446" s="479">
        <f t="shared" si="219"/>
        <v>0</v>
      </c>
      <c r="AK446" s="470"/>
      <c r="AL446" s="1396"/>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794"/>
      <c r="AO446" s="13">
        <v>33</v>
      </c>
      <c r="AP446" s="81"/>
      <c r="AQ446" s="82"/>
    </row>
    <row r="447" spans="1:43" s="83" customFormat="1" ht="25.9" thickBot="1" x14ac:dyDescent="0.8">
      <c r="A447" s="1113"/>
      <c r="B447" s="738" t="s">
        <v>1062</v>
      </c>
      <c r="C447" s="742" t="s">
        <v>1067</v>
      </c>
      <c r="D447" s="726"/>
      <c r="E447" s="754"/>
      <c r="F447" s="553"/>
      <c r="G447" s="549"/>
      <c r="H447" s="549"/>
      <c r="I447" s="549"/>
      <c r="J447" s="549"/>
      <c r="K447" s="549"/>
      <c r="L447" s="549"/>
      <c r="M447" s="549"/>
      <c r="N447" s="549"/>
      <c r="O447" s="549"/>
      <c r="P447" s="549"/>
      <c r="Q447" s="549"/>
      <c r="R447" s="549"/>
      <c r="S447" s="549"/>
      <c r="T447" s="549"/>
      <c r="U447" s="549"/>
      <c r="V447" s="549"/>
      <c r="W447" s="549"/>
      <c r="X447" s="549"/>
      <c r="Y447" s="549"/>
      <c r="Z447" s="489">
        <f t="shared" si="221"/>
        <v>0</v>
      </c>
      <c r="AA447" s="489">
        <f t="shared" si="222"/>
        <v>0</v>
      </c>
      <c r="AB447" s="549"/>
      <c r="AC447" s="549"/>
      <c r="AD447" s="549"/>
      <c r="AE447" s="549"/>
      <c r="AF447" s="549"/>
      <c r="AG447" s="549"/>
      <c r="AH447" s="549"/>
      <c r="AI447" s="549"/>
      <c r="AJ447" s="480">
        <f t="shared" ref="AJ447:AJ456" si="223">SUM(D447:AA447)</f>
        <v>0</v>
      </c>
      <c r="AK447" s="470"/>
      <c r="AL447" s="1396"/>
      <c r="AM447" s="31" t="str">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0"&amp;CHAR(10),""),IF(D509&gt;0," * F01-14 for Age "&amp;D433&amp;" "&amp;D434&amp;" has a value greater than 0"&amp;CHAR(10),""),IF(E509&gt;0,"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
      </c>
      <c r="AN447" s="794"/>
      <c r="AO447" s="13">
        <v>33</v>
      </c>
      <c r="AP447" s="81"/>
      <c r="AQ447" s="82"/>
    </row>
    <row r="448" spans="1:43" s="83" customFormat="1" ht="25.9" thickBot="1" x14ac:dyDescent="0.8">
      <c r="A448" s="1111" t="s">
        <v>14</v>
      </c>
      <c r="B448" s="736" t="s">
        <v>138</v>
      </c>
      <c r="C448" s="740" t="s">
        <v>1068</v>
      </c>
      <c r="D448" s="723"/>
      <c r="E448" s="751"/>
      <c r="F448" s="762">
        <f t="shared" ref="F448:AI448" si="224">F36</f>
        <v>0</v>
      </c>
      <c r="G448" s="487">
        <f t="shared" si="224"/>
        <v>0</v>
      </c>
      <c r="H448" s="487">
        <f t="shared" si="224"/>
        <v>0</v>
      </c>
      <c r="I448" s="487">
        <f t="shared" si="224"/>
        <v>0</v>
      </c>
      <c r="J448" s="487">
        <f t="shared" si="224"/>
        <v>0</v>
      </c>
      <c r="K448" s="487">
        <f t="shared" si="224"/>
        <v>0</v>
      </c>
      <c r="L448" s="487">
        <f t="shared" si="224"/>
        <v>0</v>
      </c>
      <c r="M448" s="487">
        <f t="shared" si="224"/>
        <v>0</v>
      </c>
      <c r="N448" s="487">
        <f t="shared" si="224"/>
        <v>0</v>
      </c>
      <c r="O448" s="487">
        <f t="shared" si="224"/>
        <v>0</v>
      </c>
      <c r="P448" s="487">
        <f t="shared" si="224"/>
        <v>0</v>
      </c>
      <c r="Q448" s="487">
        <f t="shared" si="224"/>
        <v>0</v>
      </c>
      <c r="R448" s="487">
        <f t="shared" si="224"/>
        <v>0</v>
      </c>
      <c r="S448" s="487">
        <f t="shared" si="224"/>
        <v>0</v>
      </c>
      <c r="T448" s="487">
        <f t="shared" si="224"/>
        <v>0</v>
      </c>
      <c r="U448" s="487">
        <f t="shared" si="224"/>
        <v>0</v>
      </c>
      <c r="V448" s="487">
        <f t="shared" si="224"/>
        <v>0</v>
      </c>
      <c r="W448" s="487">
        <f t="shared" si="224"/>
        <v>0</v>
      </c>
      <c r="X448" s="487">
        <f t="shared" si="224"/>
        <v>0</v>
      </c>
      <c r="Y448" s="487">
        <f t="shared" si="224"/>
        <v>0</v>
      </c>
      <c r="Z448" s="487">
        <f t="shared" si="224"/>
        <v>0</v>
      </c>
      <c r="AA448" s="487">
        <f t="shared" si="224"/>
        <v>0</v>
      </c>
      <c r="AB448" s="487">
        <f t="shared" si="224"/>
        <v>0</v>
      </c>
      <c r="AC448" s="487">
        <f t="shared" si="224"/>
        <v>0</v>
      </c>
      <c r="AD448" s="487">
        <f t="shared" si="224"/>
        <v>0</v>
      </c>
      <c r="AE448" s="487">
        <f t="shared" si="224"/>
        <v>0</v>
      </c>
      <c r="AF448" s="487">
        <f t="shared" si="224"/>
        <v>0</v>
      </c>
      <c r="AG448" s="487">
        <f t="shared" si="224"/>
        <v>0</v>
      </c>
      <c r="AH448" s="487">
        <f t="shared" si="224"/>
        <v>0</v>
      </c>
      <c r="AI448" s="487">
        <f t="shared" si="224"/>
        <v>0</v>
      </c>
      <c r="AJ448" s="477">
        <f t="shared" si="223"/>
        <v>0</v>
      </c>
      <c r="AK448" s="545" t="str">
        <f>CONCATENATE(IF((D449+D450+D451+D452)&lt;&gt;D448," * "&amp;$A448&amp;" , "&amp;$B449&amp;" plus "&amp;$B450&amp;" plus "&amp;$B451&amp;" plus "&amp;$B452&amp;" For age "&amp;$D$20&amp;" "&amp;$D$21&amp;" should be equal to "&amp;$B448&amp;""&amp;CHAR(10),""),IF((E449+E450+E451+E452)&lt;&gt;E448," * "&amp;$A448&amp;" , "&amp;$B449&amp;" plus "&amp;$B450&amp;" plus "&amp;$B451&amp;" plus "&amp;$B452&amp;" For age "&amp;$D$20&amp;" "&amp;$E$21&amp;" should be equal to "&amp;$B448&amp;""&amp;CHAR(10),""),IF((F449+F450+F451+F452)&lt;&gt;F448," * "&amp;$A448&amp;" , "&amp;$B449&amp;" plus "&amp;$B450&amp;" plus "&amp;$B451&amp;" plus "&amp;$B452&amp;" For age "&amp;$F$20&amp;" "&amp;$F$21&amp;" should be equal to "&amp;$B448&amp;""&amp;CHAR(10),""),IF((G449+G450+G451+G452)&lt;&gt;G448," * "&amp;$A448&amp;" , "&amp;$B449&amp;" plus "&amp;$B450&amp;" plus "&amp;$B451&amp;" plus "&amp;$B452&amp;" For age "&amp;$F$20&amp;" "&amp;$G$21&amp;" should be equal to "&amp;$B448&amp;""&amp;CHAR(10),""),IF((H449+H450+H451+H452)&lt;&gt;H448," * "&amp;$A448&amp;" , "&amp;$B449&amp;" plus "&amp;$B450&amp;" plus "&amp;$B451&amp;" plus "&amp;$B452&amp;" For age "&amp;$H$20&amp;" "&amp;$H$21&amp;" should be equal to "&amp;$B448&amp;""&amp;CHAR(10),""),IF((I449+I450+I451+I452)&lt;&gt;I448," * "&amp;$A448&amp;" , "&amp;$B449&amp;" plus "&amp;$B450&amp;" plus "&amp;$B451&amp;" plus "&amp;$B452&amp;" For age "&amp;$H$20&amp;" "&amp;$I$21&amp;" should be equal to "&amp;$B448&amp;""&amp;CHAR(10),""),IF((J449+J450+J451+J452)&lt;&gt;J448," * "&amp;$A448&amp;" , "&amp;$B449&amp;" plus "&amp;$B450&amp;" plus "&amp;$B451&amp;" plus "&amp;$B452&amp;" For age "&amp;$J$20&amp;" "&amp;$J$21&amp;" should be equal to "&amp;$B448&amp;""&amp;CHAR(10),""),IF((K449+K450+K451+K452)&lt;&gt;K448," * "&amp;$A448&amp;" , "&amp;$B449&amp;" plus "&amp;$B450&amp;" plus "&amp;$B451&amp;" plus "&amp;$B452&amp;" For age "&amp;$J$20&amp;" "&amp;$K$21&amp;" should be equal to "&amp;$B448&amp;""&amp;CHAR(10),""),IF((L449+L450+L451+L452)&lt;&gt;L448," * "&amp;$A448&amp;" , "&amp;$B449&amp;" plus "&amp;$B450&amp;" plus "&amp;$B451&amp;" plus "&amp;$B452&amp;" For age "&amp;$L$20&amp;" "&amp;$L$21&amp;" should be equal to "&amp;$B448&amp;""&amp;CHAR(10),""),IF((M449+M450+M451+M452)&lt;&gt;M448," * "&amp;$A448&amp;" , "&amp;$B449&amp;" plus "&amp;$B450&amp;" plus "&amp;$B451&amp;" plus "&amp;$B452&amp;" For age "&amp;$L$20&amp;" "&amp;$M$21&amp;" should be equal to "&amp;$B448&amp;""&amp;CHAR(10),""),IF((N449+N450+N451+N452)&lt;&gt;N448," * "&amp;$A448&amp;" , "&amp;$B449&amp;" plus "&amp;$B450&amp;" plus "&amp;$B451&amp;" plus "&amp;$B452&amp;" For age "&amp;$N$20&amp;" "&amp;$N$21&amp;" should be equal to "&amp;$B448&amp;""&amp;CHAR(10),""),IF((O449+O450+O451+O452)&lt;&gt;O448," * "&amp;$A448&amp;" , "&amp;$B449&amp;" plus "&amp;$B450&amp;" plus "&amp;$B451&amp;" plus "&amp;$B452&amp;" For age "&amp;$N$20&amp;" "&amp;$O$21&amp;" should be equal to "&amp;$B448&amp;""&amp;CHAR(10),""),IF((P449+P450+P451+P452)&lt;&gt;P448," * "&amp;$A448&amp;" , "&amp;$B449&amp;" plus "&amp;$B450&amp;" plus "&amp;$B451&amp;" plus "&amp;$B452&amp;" For age "&amp;$P$20&amp;" "&amp;$P$21&amp;" should be equal to "&amp;$B448&amp;""&amp;CHAR(10),""),IF((Q449+Q450+Q451+Q452)&lt;&gt;Q448," * "&amp;$A448&amp;" , "&amp;$B449&amp;" plus "&amp;$B450&amp;" plus "&amp;$B451&amp;" plus "&amp;$B452&amp;" For age "&amp;$P$20&amp;" "&amp;$Q$21&amp;" should be equal to "&amp;$B448&amp;""&amp;CHAR(10),""),IF((R449+R450+R451+R452)&lt;&gt;R448," * "&amp;$A448&amp;" , "&amp;$B449&amp;" plus "&amp;$B450&amp;" plus "&amp;$B451&amp;" plus "&amp;$B452&amp;" For age "&amp;$R$20&amp;" "&amp;$R$21&amp;" should be equal to "&amp;$B448&amp;""&amp;CHAR(10),""),IF((S449+S450+S451+S452)&lt;&gt;S448," * "&amp;$A448&amp;" , "&amp;$B449&amp;" plus "&amp;$B450&amp;" plus "&amp;$B451&amp;" plus "&amp;$B452&amp;" For age "&amp;$R$20&amp;" "&amp;$S$21&amp;" should be equal to "&amp;$B448&amp;""&amp;CHAR(10),""),IF((T449+T450+T451+T452)&lt;&gt;T448," * "&amp;$A448&amp;" , "&amp;$B449&amp;" plus "&amp;$B450&amp;" plus "&amp;$B451&amp;" plus "&amp;$B452&amp;" For age "&amp;$T$20&amp;" "&amp;$T$21&amp;" should be equal to "&amp;$B448&amp;""&amp;CHAR(10),""),IF((U449+U450+U451+U452)&lt;&gt;U448," * "&amp;$A448&amp;" , "&amp;$B449&amp;" plus "&amp;$B450&amp;" plus "&amp;$B451&amp;" plus "&amp;$B452&amp;" For age "&amp;$T$20&amp;" "&amp;$U$21&amp;" should be equal to "&amp;$B448&amp;""&amp;CHAR(10),""),IF((V449+V450+V451+V452)&lt;&gt;V448," * "&amp;$A448&amp;" , "&amp;$B449&amp;" plus "&amp;$B450&amp;" plus "&amp;$B451&amp;" plus "&amp;$B452&amp;" For age "&amp;$V$20&amp;" "&amp;$V$21&amp;" should be equal to "&amp;$B448&amp;""&amp;CHAR(10),""),IF((W449+W450+W451+W452)&lt;&gt;W448," * "&amp;$A448&amp;" , "&amp;$B449&amp;" plus "&amp;$B450&amp;" plus "&amp;$B451&amp;" plus "&amp;$B452&amp;" For age "&amp;$V$20&amp;" "&amp;$W$21&amp;" should be equal to "&amp;$B448&amp;""&amp;CHAR(10),""),IF((X449+X450+X451+X452)&lt;&gt;X448," * "&amp;$A448&amp;" , "&amp;$B449&amp;" plus "&amp;$B450&amp;" plus "&amp;$B451&amp;" plus "&amp;$B452&amp;" For age "&amp;$X$20&amp;" "&amp;$X$21&amp;" should be equal to "&amp;$B448&amp;""&amp;CHAR(10),""),IF((Y449+Y450+Y451+Y452)&lt;&gt;Y448," * "&amp;$A448&amp;" , "&amp;$B449&amp;" plus "&amp;$B450&amp;" plus "&amp;$B451&amp;" plus "&amp;$B452&amp;" For age "&amp;$X$20&amp;" "&amp;$Y$21&amp;" should be equal to "&amp;$B448&amp;""&amp;CHAR(10),""),IF((Z449+Z450+Z451+Z452)&lt;&gt;Z448," * "&amp;$A448&amp;" , "&amp;$B449&amp;" plus "&amp;$B450&amp;" plus "&amp;$B451&amp;" plus "&amp;$B452&amp;" For age "&amp;$Z$20&amp;" "&amp;$Z$21&amp;" should be equal to "&amp;$B448&amp;""&amp;CHAR(10),""),IF((AA449+AA450+AA451+AA452)&lt;&gt;AA448," * "&amp;$A448&amp;" , "&amp;$B449&amp;" plus "&amp;$B450&amp;" plus "&amp;$B451&amp;" plus "&amp;$B452&amp;" For age "&amp;$Z$20&amp;" "&amp;$AA$21&amp;" should be equal to "&amp;$B448&amp;""&amp;CHAR(10),""))</f>
        <v/>
      </c>
      <c r="AL448" s="1396"/>
      <c r="AM448" s="31"/>
      <c r="AN448" s="794"/>
      <c r="AO448" s="13">
        <v>31</v>
      </c>
      <c r="AP448" s="81"/>
      <c r="AQ448" s="82"/>
    </row>
    <row r="449" spans="1:43" s="83" customFormat="1" ht="25.5" x14ac:dyDescent="0.75">
      <c r="A449" s="1112"/>
      <c r="B449" s="737" t="s">
        <v>1077</v>
      </c>
      <c r="C449" s="741" t="s">
        <v>1069</v>
      </c>
      <c r="D449" s="625"/>
      <c r="E449" s="752"/>
      <c r="F449" s="550"/>
      <c r="G449" s="547"/>
      <c r="H449" s="547"/>
      <c r="I449" s="547"/>
      <c r="J449" s="547"/>
      <c r="K449" s="547"/>
      <c r="L449" s="547"/>
      <c r="M449" s="547"/>
      <c r="N449" s="547"/>
      <c r="O449" s="547"/>
      <c r="P449" s="547"/>
      <c r="Q449" s="547"/>
      <c r="R449" s="547"/>
      <c r="S449" s="547"/>
      <c r="T449" s="547"/>
      <c r="U449" s="547"/>
      <c r="V449" s="547"/>
      <c r="W449" s="547"/>
      <c r="X449" s="547"/>
      <c r="Y449" s="547"/>
      <c r="Z449" s="489">
        <f t="shared" ref="Z449:Z452" si="225">SUM(AB449,AD449,AF449,AH449)</f>
        <v>0</v>
      </c>
      <c r="AA449" s="489">
        <f t="shared" ref="AA449:AA452" si="226">SUM(AC449,AE449,AG449,AI449)</f>
        <v>0</v>
      </c>
      <c r="AB449" s="547"/>
      <c r="AC449" s="547"/>
      <c r="AD449" s="547"/>
      <c r="AE449" s="547"/>
      <c r="AF449" s="547"/>
      <c r="AG449" s="547"/>
      <c r="AH449" s="547"/>
      <c r="AI449" s="547"/>
      <c r="AJ449" s="478">
        <f t="shared" si="223"/>
        <v>0</v>
      </c>
      <c r="AK449" s="1114" t="str">
        <f>CONCATENATE(IF(D450&gt;D449," * Positive F01-13 for Age "&amp;D436&amp;" "&amp;D437&amp;" is more than Tested F01-12"&amp;CHAR(10),""),IF(E450&gt;E449," * Positive F01-13 for Age "&amp;D436&amp;" "&amp;E437&amp;" is more than Tested F01-12"&amp;CHAR(10),""),IF(F450&gt;F449," * Positive F01-13 for Age "&amp;F436&amp;" "&amp;F437&amp;" is more than Tested F01-12"&amp;CHAR(10),""),IF(G450&gt;G449," * Positive F01-13 for Age "&amp;F436&amp;" "&amp;G437&amp;" is more than Tested F01-12"&amp;CHAR(10),""),IF(H450&gt;H449," * Positive F01-13 for Age "&amp;H436&amp;" "&amp;H437&amp;" is more than Tested F01-12"&amp;CHAR(10),""),IF(I450&gt;I449," * Positive F01-13 for Age "&amp;H436&amp;" "&amp;I437&amp;" is more than Tested F01-12"&amp;CHAR(10),""),IF(J450&gt;J449," * Positive F01-13 for Age "&amp;J436&amp;" "&amp;J437&amp;" is more than Tested F01-12"&amp;CHAR(10),""),IF(K450&gt;K449," * Positive F01-13 for Age "&amp;J436&amp;" "&amp;K437&amp;" is more than Tested F01-12"&amp;CHAR(10),""),IF(L450&gt;L449," * Positive F01-13 for Age "&amp;L436&amp;" "&amp;L437&amp;" is more than Tested F01-12"&amp;CHAR(10),""),IF(M450&gt;M449," * Positive F01-13 for Age "&amp;L436&amp;" "&amp;M437&amp;" is more than Tested F01-12"&amp;CHAR(10),""),IF(N450&gt;N449," * Positive F01-13 for Age "&amp;N436&amp;" "&amp;N437&amp;" is more than Tested F01-12"&amp;CHAR(10),""),IF(O450&gt;O449," * Positive F01-13 for Age "&amp;N436&amp;" "&amp;O437&amp;" is more than Tested F01-12"&amp;CHAR(10),""),IF(P450&gt;P449," * Positive F01-13 for Age "&amp;P436&amp;" "&amp;P437&amp;" is more than Tested F01-12"&amp;CHAR(10),""),IF(Q450&gt;Q449," * Positive F01-13 for Age "&amp;P436&amp;" "&amp;Q437&amp;" is more than Tested F01-12"&amp;CHAR(10),""),IF(R450&gt;R449," * Positive F01-13 for Age "&amp;R436&amp;" "&amp;R437&amp;" is more than Tested F01-12"&amp;CHAR(10),""),IF(S450&gt;S449," * Positive F01-13 for Age "&amp;R436&amp;" "&amp;S437&amp;" is more than Tested F01-12"&amp;CHAR(10),""),IF(T450&gt;T449," * Positive F01-13 for Age "&amp;T436&amp;" "&amp;T437&amp;" is more than Tested F01-12"&amp;CHAR(10),""),IF(U450&gt;U449," * Positive F01-13 for Age "&amp;T436&amp;" "&amp;U437&amp;" is more than Tested F01-12"&amp;CHAR(10),""),IF(V450&gt;V449," * Positive F01-13 for Age "&amp;V436&amp;" "&amp;V437&amp;" is more than Tested F01-12"&amp;CHAR(10),""),IF(W450&gt;W449," * Positive F01-13 for Age "&amp;V436&amp;" "&amp;W437&amp;" is more than Tested F01-12"&amp;CHAR(10),""),IF(X450&gt;X449," * Positive F01-13 for Age "&amp;X436&amp;" "&amp;X437&amp;" is more than Tested F01-12"&amp;CHAR(10),""),IF(Y450&gt;Y449," * Positive F01-13 for Age "&amp;X436&amp;" "&amp;Y437&amp;" is more than Tested F01-12"&amp;CHAR(10),""),IF(Z450&gt;Z449," * Positive F01-13 for Age "&amp;Z436&amp;" "&amp;Z437&amp;" is more than Tested F01-12"&amp;CHAR(10),""),IF(AA450&gt;AA449," * Positive F01-13 for Age "&amp;Z436&amp;" "&amp;AA437&amp;" is more than Tested F01-12"&amp;CHAR(10),""))</f>
        <v/>
      </c>
      <c r="AL449" s="1396"/>
      <c r="AM449" s="31" t="str">
        <f>CONCATENATE(IF(AND(IFERROR((AJ450*100)/AJ449,0)&gt;10,AJ450&gt;5)," * This facility has a high positivity rate for Index Testing. Kindly confirm if this is the true reflection"&amp;CHAR(10),""),"")</f>
        <v/>
      </c>
      <c r="AN449" s="794"/>
      <c r="AO449" s="13">
        <v>32</v>
      </c>
      <c r="AP449" s="81"/>
      <c r="AQ449" s="82"/>
    </row>
    <row r="450" spans="1:43" s="83" customFormat="1" ht="25.5" x14ac:dyDescent="0.75">
      <c r="A450" s="1112"/>
      <c r="B450" s="737" t="s">
        <v>1058</v>
      </c>
      <c r="C450" s="741" t="s">
        <v>1070</v>
      </c>
      <c r="D450" s="725"/>
      <c r="E450" s="753"/>
      <c r="F450" s="551"/>
      <c r="G450" s="481"/>
      <c r="H450" s="481"/>
      <c r="I450" s="481"/>
      <c r="J450" s="481"/>
      <c r="K450" s="481"/>
      <c r="L450" s="481"/>
      <c r="M450" s="481"/>
      <c r="N450" s="481"/>
      <c r="O450" s="481"/>
      <c r="P450" s="481"/>
      <c r="Q450" s="481"/>
      <c r="R450" s="481"/>
      <c r="S450" s="481"/>
      <c r="T450" s="481"/>
      <c r="U450" s="481"/>
      <c r="V450" s="481"/>
      <c r="W450" s="481"/>
      <c r="X450" s="481"/>
      <c r="Y450" s="481"/>
      <c r="Z450" s="489">
        <f t="shared" si="225"/>
        <v>0</v>
      </c>
      <c r="AA450" s="489">
        <f t="shared" si="226"/>
        <v>0</v>
      </c>
      <c r="AB450" s="481"/>
      <c r="AC450" s="481"/>
      <c r="AD450" s="481"/>
      <c r="AE450" s="481"/>
      <c r="AF450" s="481"/>
      <c r="AG450" s="481"/>
      <c r="AH450" s="481"/>
      <c r="AI450" s="481"/>
      <c r="AJ450" s="479">
        <f t="shared" si="223"/>
        <v>0</v>
      </c>
      <c r="AK450" s="1114"/>
      <c r="AL450" s="1396"/>
      <c r="AM450" s="31" t="e">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0"&amp;CHAR(10),""),IF(#REF!&gt;0," * F01-14 for Age "&amp;D436&amp;" "&amp;D437&amp;" has a value greater than 0"&amp;CHAR(10),""),IF(#REF!&gt;0,"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#REF!</v>
      </c>
      <c r="AN450" s="794"/>
      <c r="AO450" s="13">
        <v>33</v>
      </c>
      <c r="AP450" s="81"/>
      <c r="AQ450" s="82"/>
    </row>
    <row r="451" spans="1:43" s="83" customFormat="1" ht="25.5" x14ac:dyDescent="0.75">
      <c r="A451" s="1112"/>
      <c r="B451" s="737" t="s">
        <v>1060</v>
      </c>
      <c r="C451" s="741" t="s">
        <v>1071</v>
      </c>
      <c r="D451" s="725"/>
      <c r="E451" s="753"/>
      <c r="F451" s="552"/>
      <c r="G451" s="488"/>
      <c r="H451" s="488"/>
      <c r="I451" s="488"/>
      <c r="J451" s="488"/>
      <c r="K451" s="488"/>
      <c r="L451" s="488"/>
      <c r="M451" s="488"/>
      <c r="N451" s="488"/>
      <c r="O451" s="488"/>
      <c r="P451" s="488"/>
      <c r="Q451" s="488"/>
      <c r="R451" s="488"/>
      <c r="S451" s="488"/>
      <c r="T451" s="488"/>
      <c r="U451" s="488"/>
      <c r="V451" s="488"/>
      <c r="W451" s="488"/>
      <c r="X451" s="488"/>
      <c r="Y451" s="488"/>
      <c r="Z451" s="489">
        <f t="shared" si="225"/>
        <v>0</v>
      </c>
      <c r="AA451" s="489">
        <f t="shared" si="226"/>
        <v>0</v>
      </c>
      <c r="AB451" s="488"/>
      <c r="AC451" s="488"/>
      <c r="AD451" s="488"/>
      <c r="AE451" s="488"/>
      <c r="AF451" s="488"/>
      <c r="AG451" s="488"/>
      <c r="AH451" s="488"/>
      <c r="AI451" s="488"/>
      <c r="AJ451" s="479">
        <f t="shared" si="223"/>
        <v>0</v>
      </c>
      <c r="AK451" s="470"/>
      <c r="AL451" s="1396"/>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794"/>
      <c r="AO451" s="13">
        <v>33</v>
      </c>
      <c r="AP451" s="81"/>
      <c r="AQ451" s="82"/>
    </row>
    <row r="452" spans="1:43" s="83" customFormat="1" ht="25.9" thickBot="1" x14ac:dyDescent="0.8">
      <c r="A452" s="1113"/>
      <c r="B452" s="738" t="s">
        <v>1062</v>
      </c>
      <c r="C452" s="742" t="s">
        <v>1072</v>
      </c>
      <c r="D452" s="726"/>
      <c r="E452" s="754"/>
      <c r="F452" s="553"/>
      <c r="G452" s="549"/>
      <c r="H452" s="549"/>
      <c r="I452" s="549"/>
      <c r="J452" s="549"/>
      <c r="K452" s="549"/>
      <c r="L452" s="549"/>
      <c r="M452" s="549"/>
      <c r="N452" s="549"/>
      <c r="O452" s="549"/>
      <c r="P452" s="549"/>
      <c r="Q452" s="549"/>
      <c r="R452" s="549"/>
      <c r="S452" s="549"/>
      <c r="T452" s="549"/>
      <c r="U452" s="549"/>
      <c r="V452" s="549"/>
      <c r="W452" s="549"/>
      <c r="X452" s="549"/>
      <c r="Y452" s="549"/>
      <c r="Z452" s="489">
        <f t="shared" si="225"/>
        <v>0</v>
      </c>
      <c r="AA452" s="489">
        <f t="shared" si="226"/>
        <v>0</v>
      </c>
      <c r="AB452" s="549"/>
      <c r="AC452" s="549"/>
      <c r="AD452" s="549"/>
      <c r="AE452" s="549"/>
      <c r="AF452" s="549"/>
      <c r="AG452" s="549"/>
      <c r="AH452" s="549"/>
      <c r="AI452" s="549"/>
      <c r="AJ452" s="480">
        <f t="shared" si="223"/>
        <v>0</v>
      </c>
      <c r="AK452" s="470"/>
      <c r="AL452" s="1396"/>
      <c r="AM452" s="31" t="str">
        <f>CONCATENATE(IF(D451&gt;0," * F01-12 for Age "&amp;D438&amp;" "&amp;D439&amp;" has a value greater than 0"&amp;CHAR(10),""),IF(E451&gt;0," * F01-12 for Age "&amp;D438&amp;" "&amp;E439&amp;" has a value greater than 0"&amp;CHAR(10),""),IF(D452&gt;0," * F01-13 for Age "&amp;D438&amp;" "&amp;D439&amp;" has a value greater than 0"&amp;CHAR(10),""),IF(E452&gt;0," * F01-13 for Age "&amp;D438&amp;" "&amp;E439&amp;" has a value greater than 0"&amp;CHAR(10),""),IF(D514&gt;0," * F01-14 for Age "&amp;D438&amp;" "&amp;D439&amp;" has a value greater than 0"&amp;CHAR(10),""),IF(E514&gt;0," * F01-14 for Age "&amp;D438&amp;" "&amp;E439&amp;" has a value greater than 0"&amp;CHAR(10),""),IF(D515&gt;0," * F01-15 for Age "&amp;D438&amp;" "&amp;D439&amp;" has a value greater than 0"&amp;CHAR(10),""),IF(E515&gt;0," * F01-15 for Age "&amp;D438&amp;" "&amp;E439&amp;" has a value greater than 0"&amp;CHAR(10),""),IF(D520&gt;0," * F01-20 for Age "&amp;D438&amp;" "&amp;D439&amp;" has a value greater than 0"&amp;CHAR(10),""),IF(E520&gt;0," * F01-20 for Age "&amp;D438&amp;" "&amp;E439&amp;" has a value greater than 0"&amp;CHAR(10),""),IF(D521&gt;0," * F01-21 for Age "&amp;D438&amp;" "&amp;D439&amp;" has a value greater than 0"&amp;CHAR(10),""),IF(E521&gt;0," * F01-21 for Age "&amp;D438&amp;" "&amp;E439&amp;" has a value greater than 0"&amp;CHAR(10),""),IF(D522&gt;0," * F01-22 for Age "&amp;D438&amp;" "&amp;D439&amp;" has a value greater than 0"&amp;CHAR(10),""),IF(E522&gt;0," * F01-22 for Age "&amp;D438&amp;" "&amp;E439&amp;" has a value greater than 0"&amp;CHAR(10),""),IF(D523&gt;0," * F01-23 for Age "&amp;D438&amp;" "&amp;D439&amp;" has a value greater than 0"&amp;CHAR(10),""),IF(E523&gt;0," * F01-23 for Age "&amp;D438&amp;" "&amp;E439&amp;" has a value greater than 0"&amp;CHAR(10),""),"")</f>
        <v/>
      </c>
      <c r="AN452" s="794"/>
      <c r="AO452" s="13">
        <v>33</v>
      </c>
      <c r="AP452" s="81"/>
      <c r="AQ452" s="82"/>
    </row>
    <row r="453" spans="1:43" s="83" customFormat="1" ht="25.9" thickBot="1" x14ac:dyDescent="0.8">
      <c r="A453" s="1111" t="s">
        <v>15</v>
      </c>
      <c r="B453" s="736" t="s">
        <v>138</v>
      </c>
      <c r="C453" s="740" t="s">
        <v>1073</v>
      </c>
      <c r="D453" s="723"/>
      <c r="E453" s="751"/>
      <c r="F453" s="762">
        <f t="shared" ref="F453:AI453" si="227">F38</f>
        <v>0</v>
      </c>
      <c r="G453" s="487">
        <f t="shared" si="227"/>
        <v>0</v>
      </c>
      <c r="H453" s="487">
        <f t="shared" si="227"/>
        <v>0</v>
      </c>
      <c r="I453" s="487">
        <f t="shared" si="227"/>
        <v>0</v>
      </c>
      <c r="J453" s="487">
        <f t="shared" si="227"/>
        <v>0</v>
      </c>
      <c r="K453" s="487">
        <f t="shared" si="227"/>
        <v>0</v>
      </c>
      <c r="L453" s="487">
        <f t="shared" si="227"/>
        <v>0</v>
      </c>
      <c r="M453" s="487">
        <f t="shared" si="227"/>
        <v>0</v>
      </c>
      <c r="N453" s="487">
        <f t="shared" si="227"/>
        <v>0</v>
      </c>
      <c r="O453" s="487">
        <f t="shared" si="227"/>
        <v>0</v>
      </c>
      <c r="P453" s="487">
        <f t="shared" si="227"/>
        <v>0</v>
      </c>
      <c r="Q453" s="487">
        <f t="shared" si="227"/>
        <v>0</v>
      </c>
      <c r="R453" s="487">
        <f t="shared" si="227"/>
        <v>0</v>
      </c>
      <c r="S453" s="487">
        <f t="shared" si="227"/>
        <v>0</v>
      </c>
      <c r="T453" s="487">
        <f t="shared" si="227"/>
        <v>0</v>
      </c>
      <c r="U453" s="487">
        <f t="shared" si="227"/>
        <v>0</v>
      </c>
      <c r="V453" s="487">
        <f t="shared" si="227"/>
        <v>0</v>
      </c>
      <c r="W453" s="487">
        <f t="shared" si="227"/>
        <v>0</v>
      </c>
      <c r="X453" s="487">
        <f t="shared" si="227"/>
        <v>0</v>
      </c>
      <c r="Y453" s="487">
        <f t="shared" si="227"/>
        <v>0</v>
      </c>
      <c r="Z453" s="487">
        <f t="shared" si="227"/>
        <v>0</v>
      </c>
      <c r="AA453" s="487">
        <f t="shared" si="227"/>
        <v>0</v>
      </c>
      <c r="AB453" s="487">
        <f t="shared" si="227"/>
        <v>0</v>
      </c>
      <c r="AC453" s="487">
        <f t="shared" si="227"/>
        <v>0</v>
      </c>
      <c r="AD453" s="487">
        <f t="shared" si="227"/>
        <v>0</v>
      </c>
      <c r="AE453" s="487">
        <f t="shared" si="227"/>
        <v>0</v>
      </c>
      <c r="AF453" s="487">
        <f t="shared" si="227"/>
        <v>0</v>
      </c>
      <c r="AG453" s="487">
        <f t="shared" si="227"/>
        <v>0</v>
      </c>
      <c r="AH453" s="487">
        <f t="shared" si="227"/>
        <v>0</v>
      </c>
      <c r="AI453" s="487">
        <f t="shared" si="227"/>
        <v>0</v>
      </c>
      <c r="AJ453" s="477">
        <f t="shared" si="223"/>
        <v>0</v>
      </c>
      <c r="AK453" s="545" t="str">
        <f>CONCATENATE(IF((D454+D455+D456+D457)&lt;&gt;D453," * "&amp;$A453&amp;" , "&amp;$B454&amp;" plus "&amp;$B455&amp;" plus "&amp;$B456&amp;" plus "&amp;$B457&amp;" For age "&amp;$D$20&amp;" "&amp;$D$21&amp;" should be equal to "&amp;$B453&amp;""&amp;CHAR(10),""),IF((E454+E455+E456+E457)&lt;&gt;E453," * "&amp;$A453&amp;" , "&amp;$B454&amp;" plus "&amp;$B455&amp;" plus "&amp;$B456&amp;" plus "&amp;$B457&amp;" For age "&amp;$D$20&amp;" "&amp;$E$21&amp;" should be equal to "&amp;$B453&amp;""&amp;CHAR(10),""),IF((F454+F455+F456+F457)&lt;&gt;F453," * "&amp;$A453&amp;" , "&amp;$B454&amp;" plus "&amp;$B455&amp;" plus "&amp;$B456&amp;" plus "&amp;$B457&amp;" For age "&amp;$F$20&amp;" "&amp;$F$21&amp;" should be equal to "&amp;$B453&amp;""&amp;CHAR(10),""),IF((G454+G455+G456+G457)&lt;&gt;G453," * "&amp;$A453&amp;" , "&amp;$B454&amp;" plus "&amp;$B455&amp;" plus "&amp;$B456&amp;" plus "&amp;$B457&amp;" For age "&amp;$F$20&amp;" "&amp;$G$21&amp;" should be equal to "&amp;$B453&amp;""&amp;CHAR(10),""),IF((H454+H455+H456+H457)&lt;&gt;H453," * "&amp;$A453&amp;" , "&amp;$B454&amp;" plus "&amp;$B455&amp;" plus "&amp;$B456&amp;" plus "&amp;$B457&amp;" For age "&amp;$H$20&amp;" "&amp;$H$21&amp;" should be equal to "&amp;$B453&amp;""&amp;CHAR(10),""),IF((I454+I455+I456+I457)&lt;&gt;I453," * "&amp;$A453&amp;" , "&amp;$B454&amp;" plus "&amp;$B455&amp;" plus "&amp;$B456&amp;" plus "&amp;$B457&amp;" For age "&amp;$H$20&amp;" "&amp;$I$21&amp;" should be equal to "&amp;$B453&amp;""&amp;CHAR(10),""),IF((J454+J455+J456+J457)&lt;&gt;J453," * "&amp;$A453&amp;" , "&amp;$B454&amp;" plus "&amp;$B455&amp;" plus "&amp;$B456&amp;" plus "&amp;$B457&amp;" For age "&amp;$J$20&amp;" "&amp;$J$21&amp;" should be equal to "&amp;$B453&amp;""&amp;CHAR(10),""),IF((K454+K455+K456+K457)&lt;&gt;K453," * "&amp;$A453&amp;" , "&amp;$B454&amp;" plus "&amp;$B455&amp;" plus "&amp;$B456&amp;" plus "&amp;$B457&amp;" For age "&amp;$J$20&amp;" "&amp;$K$21&amp;" should be equal to "&amp;$B453&amp;""&amp;CHAR(10),""),IF((L454+L455+L456+L457)&lt;&gt;L453," * "&amp;$A453&amp;" , "&amp;$B454&amp;" plus "&amp;$B455&amp;" plus "&amp;$B456&amp;" plus "&amp;$B457&amp;" For age "&amp;$L$20&amp;" "&amp;$L$21&amp;" should be equal to "&amp;$B453&amp;""&amp;CHAR(10),""),IF((M454+M455+M456+M457)&lt;&gt;M453," * "&amp;$A453&amp;" , "&amp;$B454&amp;" plus "&amp;$B455&amp;" plus "&amp;$B456&amp;" plus "&amp;$B457&amp;" For age "&amp;$L$20&amp;" "&amp;$M$21&amp;" should be equal to "&amp;$B453&amp;""&amp;CHAR(10),""),IF((N454+N455+N456+N457)&lt;&gt;N453," * "&amp;$A453&amp;" , "&amp;$B454&amp;" plus "&amp;$B455&amp;" plus "&amp;$B456&amp;" plus "&amp;$B457&amp;" For age "&amp;$N$20&amp;" "&amp;$N$21&amp;" should be equal to "&amp;$B453&amp;""&amp;CHAR(10),""),IF((O454+O455+O456+O457)&lt;&gt;O453," * "&amp;$A453&amp;" , "&amp;$B454&amp;" plus "&amp;$B455&amp;" plus "&amp;$B456&amp;" plus "&amp;$B457&amp;" For age "&amp;$N$20&amp;" "&amp;$O$21&amp;" should be equal to "&amp;$B453&amp;""&amp;CHAR(10),""),IF((P454+P455+P456+P457)&lt;&gt;P453," * "&amp;$A453&amp;" , "&amp;$B454&amp;" plus "&amp;$B455&amp;" plus "&amp;$B456&amp;" plus "&amp;$B457&amp;" For age "&amp;$P$20&amp;" "&amp;$P$21&amp;" should be equal to "&amp;$B453&amp;""&amp;CHAR(10),""),IF((Q454+Q455+Q456+Q457)&lt;&gt;Q453," * "&amp;$A453&amp;" , "&amp;$B454&amp;" plus "&amp;$B455&amp;" plus "&amp;$B456&amp;" plus "&amp;$B457&amp;" For age "&amp;$P$20&amp;" "&amp;$Q$21&amp;" should be equal to "&amp;$B453&amp;""&amp;CHAR(10),""),IF((R454+R455+R456+R457)&lt;&gt;R453," * "&amp;$A453&amp;" , "&amp;$B454&amp;" plus "&amp;$B455&amp;" plus "&amp;$B456&amp;" plus "&amp;$B457&amp;" For age "&amp;$R$20&amp;" "&amp;$R$21&amp;" should be equal to "&amp;$B453&amp;""&amp;CHAR(10),""),IF((S454+S455+S456+S457)&lt;&gt;S453," * "&amp;$A453&amp;" , "&amp;$B454&amp;" plus "&amp;$B455&amp;" plus "&amp;$B456&amp;" plus "&amp;$B457&amp;" For age "&amp;$R$20&amp;" "&amp;$S$21&amp;" should be equal to "&amp;$B453&amp;""&amp;CHAR(10),""),IF((T454+T455+T456+T457)&lt;&gt;T453," * "&amp;$A453&amp;" , "&amp;$B454&amp;" plus "&amp;$B455&amp;" plus "&amp;$B456&amp;" plus "&amp;$B457&amp;" For age "&amp;$T$20&amp;" "&amp;$T$21&amp;" should be equal to "&amp;$B453&amp;""&amp;CHAR(10),""),IF((U454+U455+U456+U457)&lt;&gt;U453," * "&amp;$A453&amp;" , "&amp;$B454&amp;" plus "&amp;$B455&amp;" plus "&amp;$B456&amp;" plus "&amp;$B457&amp;" For age "&amp;$T$20&amp;" "&amp;$U$21&amp;" should be equal to "&amp;$B453&amp;""&amp;CHAR(10),""),IF((V454+V455+V456+V457)&lt;&gt;V453," * "&amp;$A453&amp;" , "&amp;$B454&amp;" plus "&amp;$B455&amp;" plus "&amp;$B456&amp;" plus "&amp;$B457&amp;" For age "&amp;$V$20&amp;" "&amp;$V$21&amp;" should be equal to "&amp;$B453&amp;""&amp;CHAR(10),""),IF((W454+W455+W456+W457)&lt;&gt;W453," * "&amp;$A453&amp;" , "&amp;$B454&amp;" plus "&amp;$B455&amp;" plus "&amp;$B456&amp;" plus "&amp;$B457&amp;" For age "&amp;$V$20&amp;" "&amp;$W$21&amp;" should be equal to "&amp;$B453&amp;""&amp;CHAR(10),""),IF((X454+X455+X456+X457)&lt;&gt;X453," * "&amp;$A453&amp;" , "&amp;$B454&amp;" plus "&amp;$B455&amp;" plus "&amp;$B456&amp;" plus "&amp;$B457&amp;" For age "&amp;$X$20&amp;" "&amp;$X$21&amp;" should be equal to "&amp;$B453&amp;""&amp;CHAR(10),""),IF((Y454+Y455+Y456+Y457)&lt;&gt;Y453," * "&amp;$A453&amp;" , "&amp;$B454&amp;" plus "&amp;$B455&amp;" plus "&amp;$B456&amp;" plus "&amp;$B457&amp;" For age "&amp;$X$20&amp;" "&amp;$Y$21&amp;" should be equal to "&amp;$B453&amp;""&amp;CHAR(10),""),IF((Z454+Z455+Z456+Z457)&lt;&gt;Z453," * "&amp;$A453&amp;" , "&amp;$B454&amp;" plus "&amp;$B455&amp;" plus "&amp;$B456&amp;" plus "&amp;$B457&amp;" For age "&amp;$Z$20&amp;" "&amp;$Z$21&amp;" should be equal to "&amp;$B453&amp;""&amp;CHAR(10),""),IF((AA454+AA455+AA456+AA457)&lt;&gt;AA453," * "&amp;$A453&amp;" , "&amp;$B454&amp;" plus "&amp;$B455&amp;" plus "&amp;$B456&amp;" plus "&amp;$B457&amp;" For age "&amp;$Z$20&amp;" "&amp;$AA$21&amp;" should be equal to "&amp;$B453&amp;""&amp;CHAR(10),""))</f>
        <v/>
      </c>
      <c r="AL453" s="1396"/>
      <c r="AM453" s="31"/>
      <c r="AN453" s="794"/>
      <c r="AO453" s="13">
        <v>31</v>
      </c>
      <c r="AP453" s="81"/>
      <c r="AQ453" s="82"/>
    </row>
    <row r="454" spans="1:43" s="83" customFormat="1" ht="25.5" x14ac:dyDescent="0.75">
      <c r="A454" s="1112"/>
      <c r="B454" s="737" t="s">
        <v>1077</v>
      </c>
      <c r="C454" s="741" t="s">
        <v>1074</v>
      </c>
      <c r="D454" s="625"/>
      <c r="E454" s="752"/>
      <c r="F454" s="550"/>
      <c r="G454" s="547"/>
      <c r="H454" s="547"/>
      <c r="I454" s="547"/>
      <c r="J454" s="547"/>
      <c r="K454" s="547"/>
      <c r="L454" s="547"/>
      <c r="M454" s="547"/>
      <c r="N454" s="547"/>
      <c r="O454" s="547"/>
      <c r="P454" s="547"/>
      <c r="Q454" s="547"/>
      <c r="R454" s="547"/>
      <c r="S454" s="547"/>
      <c r="T454" s="547"/>
      <c r="U454" s="547"/>
      <c r="V454" s="547"/>
      <c r="W454" s="547"/>
      <c r="X454" s="547"/>
      <c r="Y454" s="547"/>
      <c r="Z454" s="489">
        <f t="shared" ref="Z454:Z457" si="228">SUM(AB454,AD454,AF454,AH454)</f>
        <v>0</v>
      </c>
      <c r="AA454" s="489">
        <f t="shared" ref="AA454:AA457" si="229">SUM(AC454,AE454,AG454,AI454)</f>
        <v>0</v>
      </c>
      <c r="AB454" s="547"/>
      <c r="AC454" s="547"/>
      <c r="AD454" s="547"/>
      <c r="AE454" s="547"/>
      <c r="AF454" s="547"/>
      <c r="AG454" s="547"/>
      <c r="AH454" s="547"/>
      <c r="AI454" s="547"/>
      <c r="AJ454" s="478">
        <f t="shared" si="223"/>
        <v>0</v>
      </c>
      <c r="AK454" s="1114" t="str">
        <f>CONCATENATE(IF(D455&gt;D454," * Positive F01-13 for Age "&amp;D441&amp;" "&amp;D442&amp;" is more than Tested F01-12"&amp;CHAR(10),""),IF(E455&gt;E454," * Positive F01-13 for Age "&amp;D441&amp;" "&amp;E442&amp;" is more than Tested F01-12"&amp;CHAR(10),""),IF(F455&gt;F454," * Positive F01-13 for Age "&amp;F441&amp;" "&amp;F442&amp;" is more than Tested F01-12"&amp;CHAR(10),""),IF(G455&gt;G454," * Positive F01-13 for Age "&amp;F441&amp;" "&amp;G442&amp;" is more than Tested F01-12"&amp;CHAR(10),""),IF(H455&gt;H454," * Positive F01-13 for Age "&amp;H441&amp;" "&amp;H442&amp;" is more than Tested F01-12"&amp;CHAR(10),""),IF(I455&gt;I454," * Positive F01-13 for Age "&amp;H441&amp;" "&amp;I442&amp;" is more than Tested F01-12"&amp;CHAR(10),""),IF(J455&gt;J454," * Positive F01-13 for Age "&amp;J441&amp;" "&amp;J442&amp;" is more than Tested F01-12"&amp;CHAR(10),""),IF(K455&gt;K454," * Positive F01-13 for Age "&amp;J441&amp;" "&amp;K442&amp;" is more than Tested F01-12"&amp;CHAR(10),""),IF(L455&gt;L454," * Positive F01-13 for Age "&amp;L441&amp;" "&amp;L442&amp;" is more than Tested F01-12"&amp;CHAR(10),""),IF(M455&gt;M454," * Positive F01-13 for Age "&amp;L441&amp;" "&amp;M442&amp;" is more than Tested F01-12"&amp;CHAR(10),""),IF(N455&gt;N454," * Positive F01-13 for Age "&amp;N441&amp;" "&amp;N442&amp;" is more than Tested F01-12"&amp;CHAR(10),""),IF(O455&gt;O454," * Positive F01-13 for Age "&amp;N441&amp;" "&amp;O442&amp;" is more than Tested F01-12"&amp;CHAR(10),""),IF(P455&gt;P454," * Positive F01-13 for Age "&amp;P441&amp;" "&amp;P442&amp;" is more than Tested F01-12"&amp;CHAR(10),""),IF(Q455&gt;Q454," * Positive F01-13 for Age "&amp;P441&amp;" "&amp;Q442&amp;" is more than Tested F01-12"&amp;CHAR(10),""),IF(R455&gt;R454," * Positive F01-13 for Age "&amp;R441&amp;" "&amp;R442&amp;" is more than Tested F01-12"&amp;CHAR(10),""),IF(S455&gt;S454," * Positive F01-13 for Age "&amp;R441&amp;" "&amp;S442&amp;" is more than Tested F01-12"&amp;CHAR(10),""),IF(T455&gt;T454," * Positive F01-13 for Age "&amp;T441&amp;" "&amp;T442&amp;" is more than Tested F01-12"&amp;CHAR(10),""),IF(U455&gt;U454," * Positive F01-13 for Age "&amp;T441&amp;" "&amp;U442&amp;" is more than Tested F01-12"&amp;CHAR(10),""),IF(V455&gt;V454," * Positive F01-13 for Age "&amp;V441&amp;" "&amp;V442&amp;" is more than Tested F01-12"&amp;CHAR(10),""),IF(W455&gt;W454," * Positive F01-13 for Age "&amp;V441&amp;" "&amp;W442&amp;" is more than Tested F01-12"&amp;CHAR(10),""),IF(X455&gt;X454," * Positive F01-13 for Age "&amp;X441&amp;" "&amp;X442&amp;" is more than Tested F01-12"&amp;CHAR(10),""),IF(Y455&gt;Y454," * Positive F01-13 for Age "&amp;X441&amp;" "&amp;Y442&amp;" is more than Tested F01-12"&amp;CHAR(10),""),IF(Z455&gt;Z454," * Positive F01-13 for Age "&amp;Z441&amp;" "&amp;Z442&amp;" is more than Tested F01-12"&amp;CHAR(10),""),IF(AA455&gt;AA454," * Positive F01-13 for Age "&amp;Z441&amp;" "&amp;AA442&amp;" is more than Tested F01-12"&amp;CHAR(10),""))</f>
        <v/>
      </c>
      <c r="AL454" s="1396"/>
      <c r="AM454" s="31" t="str">
        <f>CONCATENATE(IF(AND(IFERROR((AJ455*100)/AJ454,0)&gt;10,AJ455&gt;5)," * This facility has a high positivity rate for Index Testing. Kindly confirm if this is the true reflection"&amp;CHAR(10),""),"")</f>
        <v/>
      </c>
      <c r="AN454" s="794"/>
      <c r="AO454" s="13">
        <v>32</v>
      </c>
      <c r="AP454" s="81"/>
      <c r="AQ454" s="82"/>
    </row>
    <row r="455" spans="1:43" s="83" customFormat="1" ht="25.5" x14ac:dyDescent="0.75">
      <c r="A455" s="1112"/>
      <c r="B455" s="737" t="s">
        <v>1058</v>
      </c>
      <c r="C455" s="741" t="s">
        <v>1075</v>
      </c>
      <c r="D455" s="725"/>
      <c r="E455" s="753"/>
      <c r="F455" s="551"/>
      <c r="G455" s="481"/>
      <c r="H455" s="481"/>
      <c r="I455" s="481"/>
      <c r="J455" s="481"/>
      <c r="K455" s="481"/>
      <c r="L455" s="481"/>
      <c r="M455" s="481"/>
      <c r="N455" s="481"/>
      <c r="O455" s="481"/>
      <c r="P455" s="481"/>
      <c r="Q455" s="481"/>
      <c r="R455" s="481"/>
      <c r="S455" s="481"/>
      <c r="T455" s="481"/>
      <c r="U455" s="481"/>
      <c r="V455" s="481"/>
      <c r="W455" s="481"/>
      <c r="X455" s="481"/>
      <c r="Y455" s="481"/>
      <c r="Z455" s="489">
        <f t="shared" si="228"/>
        <v>0</v>
      </c>
      <c r="AA455" s="489">
        <f t="shared" si="229"/>
        <v>0</v>
      </c>
      <c r="AB455" s="481"/>
      <c r="AC455" s="481"/>
      <c r="AD455" s="481"/>
      <c r="AE455" s="481"/>
      <c r="AF455" s="481"/>
      <c r="AG455" s="481"/>
      <c r="AH455" s="481"/>
      <c r="AI455" s="481"/>
      <c r="AJ455" s="479">
        <f t="shared" si="223"/>
        <v>0</v>
      </c>
      <c r="AK455" s="1114"/>
      <c r="AL455" s="1396"/>
      <c r="AM455" s="31" t="e">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0"&amp;CHAR(10),""),IF(#REF!&gt;0," * F01-14 for Age "&amp;D441&amp;" "&amp;D442&amp;" has a value greater than 0"&amp;CHAR(10),""),IF(#REF!&gt;0,"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#REF!</v>
      </c>
      <c r="AN455" s="794"/>
      <c r="AO455" s="13">
        <v>33</v>
      </c>
      <c r="AP455" s="81"/>
      <c r="AQ455" s="82"/>
    </row>
    <row r="456" spans="1:43" s="83" customFormat="1" ht="25.5" x14ac:dyDescent="0.75">
      <c r="A456" s="1112"/>
      <c r="B456" s="737" t="s">
        <v>1060</v>
      </c>
      <c r="C456" s="741" t="s">
        <v>1076</v>
      </c>
      <c r="D456" s="725"/>
      <c r="E456" s="753"/>
      <c r="F456" s="552"/>
      <c r="G456" s="488"/>
      <c r="H456" s="488"/>
      <c r="I456" s="488"/>
      <c r="J456" s="488"/>
      <c r="K456" s="488"/>
      <c r="L456" s="488"/>
      <c r="M456" s="488"/>
      <c r="N456" s="488"/>
      <c r="O456" s="488"/>
      <c r="P456" s="488"/>
      <c r="Q456" s="488"/>
      <c r="R456" s="488"/>
      <c r="S456" s="488"/>
      <c r="T456" s="488"/>
      <c r="U456" s="488"/>
      <c r="V456" s="488"/>
      <c r="W456" s="488"/>
      <c r="X456" s="488"/>
      <c r="Y456" s="488"/>
      <c r="Z456" s="489">
        <f t="shared" si="228"/>
        <v>0</v>
      </c>
      <c r="AA456" s="489">
        <f t="shared" si="229"/>
        <v>0</v>
      </c>
      <c r="AB456" s="488"/>
      <c r="AC456" s="488"/>
      <c r="AD456" s="488"/>
      <c r="AE456" s="488"/>
      <c r="AF456" s="488"/>
      <c r="AG456" s="488"/>
      <c r="AH456" s="488"/>
      <c r="AI456" s="488"/>
      <c r="AJ456" s="479">
        <f t="shared" si="223"/>
        <v>0</v>
      </c>
      <c r="AK456" s="470"/>
      <c r="AL456" s="1396"/>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94"/>
      <c r="AO456" s="13">
        <v>33</v>
      </c>
      <c r="AP456" s="81"/>
      <c r="AQ456" s="82"/>
    </row>
    <row r="457" spans="1:43" s="83" customFormat="1" ht="25.9" thickBot="1" x14ac:dyDescent="0.8">
      <c r="A457" s="1113"/>
      <c r="B457" s="738" t="s">
        <v>1062</v>
      </c>
      <c r="C457" s="742" t="s">
        <v>1082</v>
      </c>
      <c r="D457" s="726"/>
      <c r="E457" s="754"/>
      <c r="F457" s="553"/>
      <c r="G457" s="549"/>
      <c r="H457" s="549"/>
      <c r="I457" s="549"/>
      <c r="J457" s="549"/>
      <c r="K457" s="549"/>
      <c r="L457" s="549"/>
      <c r="M457" s="549"/>
      <c r="N457" s="549"/>
      <c r="O457" s="549"/>
      <c r="P457" s="549"/>
      <c r="Q457" s="549"/>
      <c r="R457" s="549"/>
      <c r="S457" s="549"/>
      <c r="T457" s="549"/>
      <c r="U457" s="549"/>
      <c r="V457" s="549"/>
      <c r="W457" s="549"/>
      <c r="X457" s="549"/>
      <c r="Y457" s="549"/>
      <c r="Z457" s="489">
        <f t="shared" si="228"/>
        <v>0</v>
      </c>
      <c r="AA457" s="489">
        <f t="shared" si="229"/>
        <v>0</v>
      </c>
      <c r="AB457" s="549"/>
      <c r="AC457" s="549"/>
      <c r="AD457" s="549"/>
      <c r="AE457" s="549"/>
      <c r="AF457" s="549"/>
      <c r="AG457" s="549"/>
      <c r="AH457" s="549"/>
      <c r="AI457" s="549"/>
      <c r="AJ457" s="480">
        <f t="shared" ref="AJ457:AJ476" si="230">SUM(D457:AA457)</f>
        <v>0</v>
      </c>
      <c r="AK457" s="470"/>
      <c r="AL457" s="1396"/>
      <c r="AM457" s="31" t="str">
        <f>CONCATENATE(IF(D456&gt;0," * F01-12 for Age "&amp;D443&amp;" "&amp;D444&amp;" has a value greater than 0"&amp;CHAR(10),""),IF(E456&gt;0," * F01-12 for Age "&amp;D443&amp;" "&amp;E444&amp;" has a value greater than 0"&amp;CHAR(10),""),IF(D457&gt;0," * F01-13 for Age "&amp;D443&amp;" "&amp;D444&amp;" has a value greater than 0"&amp;CHAR(10),""),IF(E457&gt;0," * F01-13 for Age "&amp;D443&amp;" "&amp;E444&amp;" has a value greater than 0"&amp;CHAR(10),""),IF(D519&gt;0," * F01-14 for Age "&amp;D443&amp;" "&amp;D444&amp;" has a value greater than 0"&amp;CHAR(10),""),IF(E519&gt;0," * F01-14 for Age "&amp;D443&amp;" "&amp;E444&amp;" has a value greater than 0"&amp;CHAR(10),""),IF(D520&gt;0," * F01-15 for Age "&amp;D443&amp;" "&amp;D444&amp;" has a value greater than 0"&amp;CHAR(10),""),IF(E520&gt;0," * F01-15 for Age "&amp;D443&amp;" "&amp;E444&amp;" has a value greater than 0"&amp;CHAR(10),""),IF(D525&gt;0," * F01-20 for Age "&amp;D443&amp;" "&amp;D444&amp;" has a value greater than 0"&amp;CHAR(10),""),IF(E525&gt;0," * F01-20 for Age "&amp;D443&amp;" "&amp;E444&amp;" has a value greater than 0"&amp;CHAR(10),""),IF(D526&gt;0," * F01-21 for Age "&amp;D443&amp;" "&amp;D444&amp;" has a value greater than 0"&amp;CHAR(10),""),IF(E526&gt;0," * F01-21 for Age "&amp;D443&amp;" "&amp;E444&amp;" has a value greater than 0"&amp;CHAR(10),""),IF(D527&gt;0," * F01-22 for Age "&amp;D443&amp;" "&amp;D444&amp;" has a value greater than 0"&amp;CHAR(10),""),IF(E527&gt;0," * F01-22 for Age "&amp;D443&amp;" "&amp;E444&amp;" has a value greater than 0"&amp;CHAR(10),""),IF(D528&gt;0," * F01-23 for Age "&amp;D443&amp;" "&amp;D444&amp;" has a value greater than 0"&amp;CHAR(10),""),IF(E528&gt;0," * F01-23 for Age "&amp;D443&amp;" "&amp;E444&amp;" has a value greater than 0"&amp;CHAR(10),""),"")</f>
        <v/>
      </c>
      <c r="AN457" s="794"/>
      <c r="AO457" s="13">
        <v>33</v>
      </c>
      <c r="AP457" s="81"/>
      <c r="AQ457" s="82"/>
    </row>
    <row r="458" spans="1:43" s="83" customFormat="1" ht="25.9" thickBot="1" x14ac:dyDescent="0.8">
      <c r="A458" s="1111" t="s">
        <v>1078</v>
      </c>
      <c r="B458" s="736" t="s">
        <v>138</v>
      </c>
      <c r="C458" s="740" t="s">
        <v>1083</v>
      </c>
      <c r="D458" s="723"/>
      <c r="E458" s="751"/>
      <c r="F458" s="762">
        <f t="shared" ref="F458:AI458" si="231">F40</f>
        <v>0</v>
      </c>
      <c r="G458" s="487">
        <f t="shared" si="231"/>
        <v>0</v>
      </c>
      <c r="H458" s="487">
        <f t="shared" si="231"/>
        <v>0</v>
      </c>
      <c r="I458" s="487">
        <f t="shared" si="231"/>
        <v>0</v>
      </c>
      <c r="J458" s="487">
        <f t="shared" si="231"/>
        <v>0</v>
      </c>
      <c r="K458" s="487">
        <f t="shared" si="231"/>
        <v>0</v>
      </c>
      <c r="L458" s="487">
        <f t="shared" si="231"/>
        <v>0</v>
      </c>
      <c r="M458" s="487">
        <f t="shared" si="231"/>
        <v>0</v>
      </c>
      <c r="N458" s="487">
        <f t="shared" si="231"/>
        <v>0</v>
      </c>
      <c r="O458" s="487">
        <f t="shared" si="231"/>
        <v>0</v>
      </c>
      <c r="P458" s="487">
        <f t="shared" si="231"/>
        <v>0</v>
      </c>
      <c r="Q458" s="487">
        <f t="shared" si="231"/>
        <v>0</v>
      </c>
      <c r="R458" s="487">
        <f t="shared" si="231"/>
        <v>0</v>
      </c>
      <c r="S458" s="487">
        <f t="shared" si="231"/>
        <v>0</v>
      </c>
      <c r="T458" s="487">
        <f t="shared" si="231"/>
        <v>0</v>
      </c>
      <c r="U458" s="487">
        <f t="shared" si="231"/>
        <v>0</v>
      </c>
      <c r="V458" s="487">
        <f t="shared" si="231"/>
        <v>0</v>
      </c>
      <c r="W458" s="487">
        <f t="shared" si="231"/>
        <v>0</v>
      </c>
      <c r="X458" s="487">
        <f t="shared" si="231"/>
        <v>0</v>
      </c>
      <c r="Y458" s="487">
        <f t="shared" si="231"/>
        <v>0</v>
      </c>
      <c r="Z458" s="487">
        <f t="shared" si="231"/>
        <v>0</v>
      </c>
      <c r="AA458" s="487">
        <f t="shared" si="231"/>
        <v>0</v>
      </c>
      <c r="AB458" s="487">
        <f t="shared" si="231"/>
        <v>0</v>
      </c>
      <c r="AC458" s="487">
        <f t="shared" si="231"/>
        <v>0</v>
      </c>
      <c r="AD458" s="487">
        <f t="shared" si="231"/>
        <v>0</v>
      </c>
      <c r="AE458" s="487">
        <f t="shared" si="231"/>
        <v>0</v>
      </c>
      <c r="AF458" s="487">
        <f t="shared" si="231"/>
        <v>0</v>
      </c>
      <c r="AG458" s="487">
        <f t="shared" si="231"/>
        <v>0</v>
      </c>
      <c r="AH458" s="487">
        <f t="shared" si="231"/>
        <v>0</v>
      </c>
      <c r="AI458" s="487">
        <f t="shared" si="231"/>
        <v>0</v>
      </c>
      <c r="AJ458" s="477">
        <f t="shared" si="230"/>
        <v>0</v>
      </c>
      <c r="AK458" s="545" t="str">
        <f>CONCATENATE(IF((D459+D460+D461+D462)&lt;&gt;D458," * "&amp;$A458&amp;" , "&amp;$B459&amp;" plus "&amp;$B460&amp;" plus "&amp;$B461&amp;" plus "&amp;$B462&amp;" For age "&amp;$D$20&amp;" "&amp;$D$21&amp;" should be equal to "&amp;$B458&amp;""&amp;CHAR(10),""),IF((E459+E460+E461+E462)&lt;&gt;E458," * "&amp;$A458&amp;" , "&amp;$B459&amp;" plus "&amp;$B460&amp;" plus "&amp;$B461&amp;" plus "&amp;$B462&amp;" For age "&amp;$D$20&amp;" "&amp;$E$21&amp;" should be equal to "&amp;$B458&amp;""&amp;CHAR(10),""),IF((F459+F460+F461+F462)&lt;&gt;F458," * "&amp;$A458&amp;" , "&amp;$B459&amp;" plus "&amp;$B460&amp;" plus "&amp;$B461&amp;" plus "&amp;$B462&amp;" For age "&amp;$F$20&amp;" "&amp;$F$21&amp;" should be equal to "&amp;$B458&amp;""&amp;CHAR(10),""),IF((G459+G460+G461+G462)&lt;&gt;G458," * "&amp;$A458&amp;" , "&amp;$B459&amp;" plus "&amp;$B460&amp;" plus "&amp;$B461&amp;" plus "&amp;$B462&amp;" For age "&amp;$F$20&amp;" "&amp;$G$21&amp;" should be equal to "&amp;$B458&amp;""&amp;CHAR(10),""),IF((H459+H460+H461+H462)&lt;&gt;H458," * "&amp;$A458&amp;" , "&amp;$B459&amp;" plus "&amp;$B460&amp;" plus "&amp;$B461&amp;" plus "&amp;$B462&amp;" For age "&amp;$H$20&amp;" "&amp;$H$21&amp;" should be equal to "&amp;$B458&amp;""&amp;CHAR(10),""),IF((I459+I460+I461+I462)&lt;&gt;I458," * "&amp;$A458&amp;" , "&amp;$B459&amp;" plus "&amp;$B460&amp;" plus "&amp;$B461&amp;" plus "&amp;$B462&amp;" For age "&amp;$H$20&amp;" "&amp;$I$21&amp;" should be equal to "&amp;$B458&amp;""&amp;CHAR(10),""),IF((J459+J460+J461+J462)&lt;&gt;J458," * "&amp;$A458&amp;" , "&amp;$B459&amp;" plus "&amp;$B460&amp;" plus "&amp;$B461&amp;" plus "&amp;$B462&amp;" For age "&amp;$J$20&amp;" "&amp;$J$21&amp;" should be equal to "&amp;$B458&amp;""&amp;CHAR(10),""),IF((K459+K460+K461+K462)&lt;&gt;K458," * "&amp;$A458&amp;" , "&amp;$B459&amp;" plus "&amp;$B460&amp;" plus "&amp;$B461&amp;" plus "&amp;$B462&amp;" For age "&amp;$J$20&amp;" "&amp;$K$21&amp;" should be equal to "&amp;$B458&amp;""&amp;CHAR(10),""),IF((L459+L460+L461+L462)&lt;&gt;L458," * "&amp;$A458&amp;" , "&amp;$B459&amp;" plus "&amp;$B460&amp;" plus "&amp;$B461&amp;" plus "&amp;$B462&amp;" For age "&amp;$L$20&amp;" "&amp;$L$21&amp;" should be equal to "&amp;$B458&amp;""&amp;CHAR(10),""),IF((M459+M460+M461+M462)&lt;&gt;M458," * "&amp;$A458&amp;" , "&amp;$B459&amp;" plus "&amp;$B460&amp;" plus "&amp;$B461&amp;" plus "&amp;$B462&amp;" For age "&amp;$L$20&amp;" "&amp;$M$21&amp;" should be equal to "&amp;$B458&amp;""&amp;CHAR(10),""),IF((N459+N460+N461+N462)&lt;&gt;N458," * "&amp;$A458&amp;" , "&amp;$B459&amp;" plus "&amp;$B460&amp;" plus "&amp;$B461&amp;" plus "&amp;$B462&amp;" For age "&amp;$N$20&amp;" "&amp;$N$21&amp;" should be equal to "&amp;$B458&amp;""&amp;CHAR(10),""),IF((O459+O460+O461+O462)&lt;&gt;O458," * "&amp;$A458&amp;" , "&amp;$B459&amp;" plus "&amp;$B460&amp;" plus "&amp;$B461&amp;" plus "&amp;$B462&amp;" For age "&amp;$N$20&amp;" "&amp;$O$21&amp;" should be equal to "&amp;$B458&amp;""&amp;CHAR(10),""),IF((P459+P460+P461+P462)&lt;&gt;P458," * "&amp;$A458&amp;" , "&amp;$B459&amp;" plus "&amp;$B460&amp;" plus "&amp;$B461&amp;" plus "&amp;$B462&amp;" For age "&amp;$P$20&amp;" "&amp;$P$21&amp;" should be equal to "&amp;$B458&amp;""&amp;CHAR(10),""),IF((Q459+Q460+Q461+Q462)&lt;&gt;Q458," * "&amp;$A458&amp;" , "&amp;$B459&amp;" plus "&amp;$B460&amp;" plus "&amp;$B461&amp;" plus "&amp;$B462&amp;" For age "&amp;$P$20&amp;" "&amp;$Q$21&amp;" should be equal to "&amp;$B458&amp;""&amp;CHAR(10),""),IF((R459+R460+R461+R462)&lt;&gt;R458," * "&amp;$A458&amp;" , "&amp;$B459&amp;" plus "&amp;$B460&amp;" plus "&amp;$B461&amp;" plus "&amp;$B462&amp;" For age "&amp;$R$20&amp;" "&amp;$R$21&amp;" should be equal to "&amp;$B458&amp;""&amp;CHAR(10),""),IF((S459+S460+S461+S462)&lt;&gt;S458," * "&amp;$A458&amp;" , "&amp;$B459&amp;" plus "&amp;$B460&amp;" plus "&amp;$B461&amp;" plus "&amp;$B462&amp;" For age "&amp;$R$20&amp;" "&amp;$S$21&amp;" should be equal to "&amp;$B458&amp;""&amp;CHAR(10),""),IF((T459+T460+T461+T462)&lt;&gt;T458," * "&amp;$A458&amp;" , "&amp;$B459&amp;" plus "&amp;$B460&amp;" plus "&amp;$B461&amp;" plus "&amp;$B462&amp;" For age "&amp;$T$20&amp;" "&amp;$T$21&amp;" should be equal to "&amp;$B458&amp;""&amp;CHAR(10),""),IF((U459+U460+U461+U462)&lt;&gt;U458," * "&amp;$A458&amp;" , "&amp;$B459&amp;" plus "&amp;$B460&amp;" plus "&amp;$B461&amp;" plus "&amp;$B462&amp;" For age "&amp;$T$20&amp;" "&amp;$U$21&amp;" should be equal to "&amp;$B458&amp;""&amp;CHAR(10),""),IF((V459+V460+V461+V462)&lt;&gt;V458," * "&amp;$A458&amp;" , "&amp;$B459&amp;" plus "&amp;$B460&amp;" plus "&amp;$B461&amp;" plus "&amp;$B462&amp;" For age "&amp;$V$20&amp;" "&amp;$V$21&amp;" should be equal to "&amp;$B458&amp;""&amp;CHAR(10),""),IF((W459+W460+W461+W462)&lt;&gt;W458," * "&amp;$A458&amp;" , "&amp;$B459&amp;" plus "&amp;$B460&amp;" plus "&amp;$B461&amp;" plus "&amp;$B462&amp;" For age "&amp;$V$20&amp;" "&amp;$W$21&amp;" should be equal to "&amp;$B458&amp;""&amp;CHAR(10),""),IF((X459+X460+X461+X462)&lt;&gt;X458," * "&amp;$A458&amp;" , "&amp;$B459&amp;" plus "&amp;$B460&amp;" plus "&amp;$B461&amp;" plus "&amp;$B462&amp;" For age "&amp;$X$20&amp;" "&amp;$X$21&amp;" should be equal to "&amp;$B458&amp;""&amp;CHAR(10),""),IF((Y459+Y460+Y461+Y462)&lt;&gt;Y458," * "&amp;$A458&amp;" , "&amp;$B459&amp;" plus "&amp;$B460&amp;" plus "&amp;$B461&amp;" plus "&amp;$B462&amp;" For age "&amp;$X$20&amp;" "&amp;$Y$21&amp;" should be equal to "&amp;$B458&amp;""&amp;CHAR(10),""),IF((Z459+Z460+Z461+Z462)&lt;&gt;Z458," * "&amp;$A458&amp;" , "&amp;$B459&amp;" plus "&amp;$B460&amp;" plus "&amp;$B461&amp;" plus "&amp;$B462&amp;" For age "&amp;$Z$20&amp;" "&amp;$Z$21&amp;" should be equal to "&amp;$B458&amp;""&amp;CHAR(10),""),IF((AA459+AA460+AA461+AA462)&lt;&gt;AA458," * "&amp;$A458&amp;" , "&amp;$B459&amp;" plus "&amp;$B460&amp;" plus "&amp;$B461&amp;" plus "&amp;$B462&amp;" For age "&amp;$Z$20&amp;" "&amp;$AA$21&amp;" should be equal to "&amp;$B458&amp;""&amp;CHAR(10),""))</f>
        <v/>
      </c>
      <c r="AL458" s="1396"/>
      <c r="AM458" s="31"/>
      <c r="AN458" s="794"/>
      <c r="AO458" s="13">
        <v>31</v>
      </c>
      <c r="AP458" s="81"/>
      <c r="AQ458" s="82"/>
    </row>
    <row r="459" spans="1:43" s="83" customFormat="1" ht="25.5" x14ac:dyDescent="0.75">
      <c r="A459" s="1112"/>
      <c r="B459" s="737" t="s">
        <v>1077</v>
      </c>
      <c r="C459" s="741" t="s">
        <v>1084</v>
      </c>
      <c r="D459" s="625"/>
      <c r="E459" s="752"/>
      <c r="F459" s="550"/>
      <c r="G459" s="547"/>
      <c r="H459" s="547"/>
      <c r="I459" s="547"/>
      <c r="J459" s="547"/>
      <c r="K459" s="547"/>
      <c r="L459" s="547"/>
      <c r="M459" s="547"/>
      <c r="N459" s="547"/>
      <c r="O459" s="547"/>
      <c r="P459" s="547"/>
      <c r="Q459" s="547"/>
      <c r="R459" s="547"/>
      <c r="S459" s="547"/>
      <c r="T459" s="547"/>
      <c r="U459" s="547"/>
      <c r="V459" s="547"/>
      <c r="W459" s="547"/>
      <c r="X459" s="547"/>
      <c r="Y459" s="547"/>
      <c r="Z459" s="489">
        <f t="shared" ref="Z459:Z462" si="232">SUM(AB459,AD459,AF459,AH459)</f>
        <v>0</v>
      </c>
      <c r="AA459" s="489">
        <f t="shared" ref="AA459:AA462" si="233">SUM(AC459,AE459,AG459,AI459)</f>
        <v>0</v>
      </c>
      <c r="AB459" s="547"/>
      <c r="AC459" s="547"/>
      <c r="AD459" s="547"/>
      <c r="AE459" s="547"/>
      <c r="AF459" s="547"/>
      <c r="AG459" s="547"/>
      <c r="AH459" s="547"/>
      <c r="AI459" s="547"/>
      <c r="AJ459" s="478">
        <f t="shared" si="230"/>
        <v>0</v>
      </c>
      <c r="AK459" s="1114" t="str">
        <f>CONCATENATE(IF(D460&gt;D459," * Positive F01-13 for Age "&amp;D446&amp;" "&amp;D447&amp;" is more than Tested F01-12"&amp;CHAR(10),""),IF(E460&gt;E459," * Positive F01-13 for Age "&amp;D446&amp;" "&amp;E447&amp;" is more than Tested F01-12"&amp;CHAR(10),""),IF(F460&gt;F459," * Positive F01-13 for Age "&amp;F446&amp;" "&amp;F447&amp;" is more than Tested F01-12"&amp;CHAR(10),""),IF(G460&gt;G459," * Positive F01-13 for Age "&amp;F446&amp;" "&amp;G447&amp;" is more than Tested F01-12"&amp;CHAR(10),""),IF(H460&gt;H459," * Positive F01-13 for Age "&amp;H446&amp;" "&amp;H447&amp;" is more than Tested F01-12"&amp;CHAR(10),""),IF(I460&gt;I459," * Positive F01-13 for Age "&amp;H446&amp;" "&amp;I447&amp;" is more than Tested F01-12"&amp;CHAR(10),""),IF(J460&gt;J459," * Positive F01-13 for Age "&amp;J446&amp;" "&amp;J447&amp;" is more than Tested F01-12"&amp;CHAR(10),""),IF(K460&gt;K459," * Positive F01-13 for Age "&amp;J446&amp;" "&amp;K447&amp;" is more than Tested F01-12"&amp;CHAR(10),""),IF(L460&gt;L459," * Positive F01-13 for Age "&amp;L446&amp;" "&amp;L447&amp;" is more than Tested F01-12"&amp;CHAR(10),""),IF(M460&gt;M459," * Positive F01-13 for Age "&amp;L446&amp;" "&amp;M447&amp;" is more than Tested F01-12"&amp;CHAR(10),""),IF(N460&gt;N459," * Positive F01-13 for Age "&amp;N446&amp;" "&amp;N447&amp;" is more than Tested F01-12"&amp;CHAR(10),""),IF(O460&gt;O459," * Positive F01-13 for Age "&amp;N446&amp;" "&amp;O447&amp;" is more than Tested F01-12"&amp;CHAR(10),""),IF(P460&gt;P459," * Positive F01-13 for Age "&amp;P446&amp;" "&amp;P447&amp;" is more than Tested F01-12"&amp;CHAR(10),""),IF(Q460&gt;Q459," * Positive F01-13 for Age "&amp;P446&amp;" "&amp;Q447&amp;" is more than Tested F01-12"&amp;CHAR(10),""),IF(R460&gt;R459," * Positive F01-13 for Age "&amp;R446&amp;" "&amp;R447&amp;" is more than Tested F01-12"&amp;CHAR(10),""),IF(S460&gt;S459," * Positive F01-13 for Age "&amp;R446&amp;" "&amp;S447&amp;" is more than Tested F01-12"&amp;CHAR(10),""),IF(T460&gt;T459," * Positive F01-13 for Age "&amp;T446&amp;" "&amp;T447&amp;" is more than Tested F01-12"&amp;CHAR(10),""),IF(U460&gt;U459," * Positive F01-13 for Age "&amp;T446&amp;" "&amp;U447&amp;" is more than Tested F01-12"&amp;CHAR(10),""),IF(V460&gt;V459," * Positive F01-13 for Age "&amp;V446&amp;" "&amp;V447&amp;" is more than Tested F01-12"&amp;CHAR(10),""),IF(W460&gt;W459," * Positive F01-13 for Age "&amp;V446&amp;" "&amp;W447&amp;" is more than Tested F01-12"&amp;CHAR(10),""),IF(X460&gt;X459," * Positive F01-13 for Age "&amp;X446&amp;" "&amp;X447&amp;" is more than Tested F01-12"&amp;CHAR(10),""),IF(Y460&gt;Y459," * Positive F01-13 for Age "&amp;X446&amp;" "&amp;Y447&amp;" is more than Tested F01-12"&amp;CHAR(10),""),IF(Z460&gt;Z459," * Positive F01-13 for Age "&amp;Z446&amp;" "&amp;Z447&amp;" is more than Tested F01-12"&amp;CHAR(10),""),IF(AA460&gt;AA459," * Positive F01-13 for Age "&amp;Z446&amp;" "&amp;AA447&amp;" is more than Tested F01-12"&amp;CHAR(10),""))</f>
        <v/>
      </c>
      <c r="AL459" s="1396"/>
      <c r="AM459" s="31" t="str">
        <f>CONCATENATE(IF(AND(IFERROR((AJ460*100)/AJ459,0)&gt;10,AJ460&gt;5)," * This facility has a high positivity rate for Index Testing. Kindly confirm if this is the true reflection"&amp;CHAR(10),""),"")</f>
        <v/>
      </c>
      <c r="AN459" s="794"/>
      <c r="AO459" s="13">
        <v>32</v>
      </c>
      <c r="AP459" s="81"/>
      <c r="AQ459" s="82"/>
    </row>
    <row r="460" spans="1:43" s="83" customFormat="1" ht="25.5" x14ac:dyDescent="0.75">
      <c r="A460" s="1112"/>
      <c r="B460" s="737" t="s">
        <v>1058</v>
      </c>
      <c r="C460" s="741" t="s">
        <v>1085</v>
      </c>
      <c r="D460" s="725"/>
      <c r="E460" s="753"/>
      <c r="F460" s="551"/>
      <c r="G460" s="481"/>
      <c r="H460" s="481"/>
      <c r="I460" s="481"/>
      <c r="J460" s="481"/>
      <c r="K460" s="481"/>
      <c r="L460" s="481"/>
      <c r="M460" s="481"/>
      <c r="N460" s="481"/>
      <c r="O460" s="481"/>
      <c r="P460" s="481"/>
      <c r="Q460" s="481"/>
      <c r="R460" s="481"/>
      <c r="S460" s="481"/>
      <c r="T460" s="481"/>
      <c r="U460" s="481"/>
      <c r="V460" s="481"/>
      <c r="W460" s="481"/>
      <c r="X460" s="481"/>
      <c r="Y460" s="481"/>
      <c r="Z460" s="489">
        <f t="shared" si="232"/>
        <v>0</v>
      </c>
      <c r="AA460" s="489">
        <f t="shared" si="233"/>
        <v>0</v>
      </c>
      <c r="AB460" s="481"/>
      <c r="AC460" s="481"/>
      <c r="AD460" s="481"/>
      <c r="AE460" s="481"/>
      <c r="AF460" s="481"/>
      <c r="AG460" s="481"/>
      <c r="AH460" s="481"/>
      <c r="AI460" s="481"/>
      <c r="AJ460" s="479">
        <f t="shared" si="230"/>
        <v>0</v>
      </c>
      <c r="AK460" s="1114"/>
      <c r="AL460" s="1396"/>
      <c r="AM460" s="31" t="e">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0"&amp;CHAR(10),""),IF(#REF!&gt;0," * F01-14 for Age "&amp;D446&amp;" "&amp;D447&amp;" has a value greater than 0"&amp;CHAR(10),""),IF(#REF!&gt;0,"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#REF!</v>
      </c>
      <c r="AN460" s="794"/>
      <c r="AO460" s="13">
        <v>33</v>
      </c>
      <c r="AP460" s="81"/>
      <c r="AQ460" s="82"/>
    </row>
    <row r="461" spans="1:43" s="83" customFormat="1" ht="25.5" x14ac:dyDescent="0.75">
      <c r="A461" s="1112"/>
      <c r="B461" s="737" t="s">
        <v>1060</v>
      </c>
      <c r="C461" s="741" t="s">
        <v>1086</v>
      </c>
      <c r="D461" s="725"/>
      <c r="E461" s="753"/>
      <c r="F461" s="552"/>
      <c r="G461" s="488"/>
      <c r="H461" s="488"/>
      <c r="I461" s="488"/>
      <c r="J461" s="488"/>
      <c r="K461" s="488"/>
      <c r="L461" s="488"/>
      <c r="M461" s="488"/>
      <c r="N461" s="488"/>
      <c r="O461" s="488"/>
      <c r="P461" s="488"/>
      <c r="Q461" s="488"/>
      <c r="R461" s="488"/>
      <c r="S461" s="488"/>
      <c r="T461" s="488"/>
      <c r="U461" s="488"/>
      <c r="V461" s="488"/>
      <c r="W461" s="488"/>
      <c r="X461" s="488"/>
      <c r="Y461" s="488"/>
      <c r="Z461" s="489">
        <f t="shared" si="232"/>
        <v>0</v>
      </c>
      <c r="AA461" s="489">
        <f t="shared" si="233"/>
        <v>0</v>
      </c>
      <c r="AB461" s="488"/>
      <c r="AC461" s="488"/>
      <c r="AD461" s="488"/>
      <c r="AE461" s="488"/>
      <c r="AF461" s="488"/>
      <c r="AG461" s="488"/>
      <c r="AH461" s="488"/>
      <c r="AI461" s="488"/>
      <c r="AJ461" s="479">
        <f t="shared" si="230"/>
        <v>0</v>
      </c>
      <c r="AK461" s="470"/>
      <c r="AL461" s="1396"/>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94"/>
      <c r="AO461" s="13">
        <v>33</v>
      </c>
      <c r="AP461" s="81"/>
      <c r="AQ461" s="82"/>
    </row>
    <row r="462" spans="1:43" s="83" customFormat="1" ht="25.9" thickBot="1" x14ac:dyDescent="0.8">
      <c r="A462" s="1113"/>
      <c r="B462" s="738" t="s">
        <v>1062</v>
      </c>
      <c r="C462" s="742" t="s">
        <v>1087</v>
      </c>
      <c r="D462" s="726"/>
      <c r="E462" s="754"/>
      <c r="F462" s="553"/>
      <c r="G462" s="549"/>
      <c r="H462" s="549"/>
      <c r="I462" s="549"/>
      <c r="J462" s="549"/>
      <c r="K462" s="549"/>
      <c r="L462" s="549"/>
      <c r="M462" s="549"/>
      <c r="N462" s="549"/>
      <c r="O462" s="549"/>
      <c r="P462" s="549"/>
      <c r="Q462" s="549"/>
      <c r="R462" s="549"/>
      <c r="S462" s="549"/>
      <c r="T462" s="549"/>
      <c r="U462" s="549"/>
      <c r="V462" s="549"/>
      <c r="W462" s="549"/>
      <c r="X462" s="549"/>
      <c r="Y462" s="549"/>
      <c r="Z462" s="489">
        <f t="shared" si="232"/>
        <v>0</v>
      </c>
      <c r="AA462" s="489">
        <f t="shared" si="233"/>
        <v>0</v>
      </c>
      <c r="AB462" s="549"/>
      <c r="AC462" s="549"/>
      <c r="AD462" s="549"/>
      <c r="AE462" s="549"/>
      <c r="AF462" s="549"/>
      <c r="AG462" s="549"/>
      <c r="AH462" s="549"/>
      <c r="AI462" s="549"/>
      <c r="AJ462" s="480">
        <f t="shared" si="230"/>
        <v>0</v>
      </c>
      <c r="AK462" s="470"/>
      <c r="AL462" s="1396"/>
      <c r="AM462" s="31" t="str">
        <f>CONCATENATE(IF(D461&gt;0," * F01-12 for Age "&amp;D448&amp;" "&amp;D449&amp;" has a value greater than 0"&amp;CHAR(10),""),IF(E461&gt;0," * F01-12 for Age "&amp;D448&amp;" "&amp;E449&amp;" has a value greater than 0"&amp;CHAR(10),""),IF(D462&gt;0," * F01-13 for Age "&amp;D448&amp;" "&amp;D449&amp;" has a value greater than 0"&amp;CHAR(10),""),IF(E462&gt;0," * F01-13 for Age "&amp;D448&amp;" "&amp;E449&amp;" has a value greater than 0"&amp;CHAR(10),""),IF(D524&gt;0," * F01-14 for Age "&amp;D448&amp;" "&amp;D449&amp;" has a value greater than 0"&amp;CHAR(10),""),IF(E524&gt;0," * F01-14 for Age "&amp;D448&amp;" "&amp;E449&amp;" has a value greater than 0"&amp;CHAR(10),""),IF(D525&gt;0," * F01-15 for Age "&amp;D448&amp;" "&amp;D449&amp;" has a value greater than 0"&amp;CHAR(10),""),IF(E525&gt;0," * F01-15 for Age "&amp;D448&amp;" "&amp;E449&amp;" has a value greater than 0"&amp;CHAR(10),""),IF(D530&gt;0," * F01-20 for Age "&amp;D448&amp;" "&amp;D449&amp;" has a value greater than 0"&amp;CHAR(10),""),IF(E530&gt;0," * F01-20 for Age "&amp;D448&amp;" "&amp;E449&amp;" has a value greater than 0"&amp;CHAR(10),""),IF(D531&gt;0," * F01-21 for Age "&amp;D448&amp;" "&amp;D449&amp;" has a value greater than 0"&amp;CHAR(10),""),IF(E531&gt;0," * F01-21 for Age "&amp;D448&amp;" "&amp;E449&amp;" has a value greater than 0"&amp;CHAR(10),""),IF(D532&gt;0," * F01-22 for Age "&amp;D448&amp;" "&amp;D449&amp;" has a value greater than 0"&amp;CHAR(10),""),IF(E532&gt;0," * F01-22 for Age "&amp;D448&amp;" "&amp;E449&amp;" has a value greater than 0"&amp;CHAR(10),""),IF(D533&gt;0," * F01-23 for Age "&amp;D448&amp;" "&amp;D449&amp;" has a value greater than 0"&amp;CHAR(10),""),IF(E533&gt;0," * F01-23 for Age "&amp;D448&amp;" "&amp;E449&amp;" has a value greater than 0"&amp;CHAR(10),""),"")</f>
        <v/>
      </c>
      <c r="AN462" s="794"/>
      <c r="AO462" s="13">
        <v>33</v>
      </c>
      <c r="AP462" s="81"/>
      <c r="AQ462" s="82"/>
    </row>
    <row r="463" spans="1:43" s="83" customFormat="1" ht="25.9" thickBot="1" x14ac:dyDescent="0.8">
      <c r="A463" s="1111" t="s">
        <v>16</v>
      </c>
      <c r="B463" s="736" t="s">
        <v>138</v>
      </c>
      <c r="C463" s="740" t="s">
        <v>1088</v>
      </c>
      <c r="D463" s="723"/>
      <c r="E463" s="751"/>
      <c r="F463" s="762">
        <f t="shared" ref="F463:AI463" si="234">F42</f>
        <v>0</v>
      </c>
      <c r="G463" s="487">
        <f t="shared" si="234"/>
        <v>0</v>
      </c>
      <c r="H463" s="487">
        <f t="shared" si="234"/>
        <v>0</v>
      </c>
      <c r="I463" s="487">
        <f t="shared" si="234"/>
        <v>0</v>
      </c>
      <c r="J463" s="487">
        <f t="shared" si="234"/>
        <v>0</v>
      </c>
      <c r="K463" s="487">
        <f t="shared" si="234"/>
        <v>0</v>
      </c>
      <c r="L463" s="487">
        <f t="shared" si="234"/>
        <v>0</v>
      </c>
      <c r="M463" s="487">
        <f t="shared" si="234"/>
        <v>0</v>
      </c>
      <c r="N463" s="487">
        <f t="shared" si="234"/>
        <v>0</v>
      </c>
      <c r="O463" s="487">
        <f t="shared" si="234"/>
        <v>0</v>
      </c>
      <c r="P463" s="487">
        <f t="shared" si="234"/>
        <v>0</v>
      </c>
      <c r="Q463" s="487">
        <f t="shared" si="234"/>
        <v>0</v>
      </c>
      <c r="R463" s="487">
        <f t="shared" si="234"/>
        <v>0</v>
      </c>
      <c r="S463" s="487">
        <f t="shared" si="234"/>
        <v>0</v>
      </c>
      <c r="T463" s="487">
        <f t="shared" si="234"/>
        <v>0</v>
      </c>
      <c r="U463" s="487">
        <f t="shared" si="234"/>
        <v>0</v>
      </c>
      <c r="V463" s="487">
        <f t="shared" si="234"/>
        <v>0</v>
      </c>
      <c r="W463" s="487">
        <f t="shared" si="234"/>
        <v>0</v>
      </c>
      <c r="X463" s="487">
        <f t="shared" si="234"/>
        <v>0</v>
      </c>
      <c r="Y463" s="487">
        <f t="shared" si="234"/>
        <v>0</v>
      </c>
      <c r="Z463" s="487">
        <f t="shared" si="234"/>
        <v>0</v>
      </c>
      <c r="AA463" s="487">
        <f t="shared" si="234"/>
        <v>0</v>
      </c>
      <c r="AB463" s="487">
        <f t="shared" si="234"/>
        <v>0</v>
      </c>
      <c r="AC463" s="487">
        <f t="shared" si="234"/>
        <v>0</v>
      </c>
      <c r="AD463" s="487">
        <f t="shared" si="234"/>
        <v>0</v>
      </c>
      <c r="AE463" s="487">
        <f t="shared" si="234"/>
        <v>0</v>
      </c>
      <c r="AF463" s="487">
        <f t="shared" si="234"/>
        <v>0</v>
      </c>
      <c r="AG463" s="487">
        <f t="shared" si="234"/>
        <v>0</v>
      </c>
      <c r="AH463" s="487">
        <f t="shared" si="234"/>
        <v>0</v>
      </c>
      <c r="AI463" s="487">
        <f t="shared" si="234"/>
        <v>0</v>
      </c>
      <c r="AJ463" s="477">
        <f t="shared" si="230"/>
        <v>0</v>
      </c>
      <c r="AK463" s="545" t="str">
        <f>CONCATENATE(IF((D464+D465+D466+D467)&lt;&gt;D463," * "&amp;$A463&amp;" , "&amp;$B464&amp;" plus "&amp;$B465&amp;" plus "&amp;$B466&amp;" plus "&amp;$B467&amp;" For age "&amp;$D$20&amp;" "&amp;$D$21&amp;" should be equal to "&amp;$B463&amp;""&amp;CHAR(10),""),IF((E464+E465+E466+E467)&lt;&gt;E463," * "&amp;$A463&amp;" , "&amp;$B464&amp;" plus "&amp;$B465&amp;" plus "&amp;$B466&amp;" plus "&amp;$B467&amp;" For age "&amp;$D$20&amp;" "&amp;$E$21&amp;" should be equal to "&amp;$B463&amp;""&amp;CHAR(10),""),IF((F464+F465+F466+F467)&lt;&gt;F463," * "&amp;$A463&amp;" , "&amp;$B464&amp;" plus "&amp;$B465&amp;" plus "&amp;$B466&amp;" plus "&amp;$B467&amp;" For age "&amp;$F$20&amp;" "&amp;$F$21&amp;" should be equal to "&amp;$B463&amp;""&amp;CHAR(10),""),IF((G464+G465+G466+G467)&lt;&gt;G463," * "&amp;$A463&amp;" , "&amp;$B464&amp;" plus "&amp;$B465&amp;" plus "&amp;$B466&amp;" plus "&amp;$B467&amp;" For age "&amp;$F$20&amp;" "&amp;$G$21&amp;" should be equal to "&amp;$B463&amp;""&amp;CHAR(10),""),IF((H464+H465+H466+H467)&lt;&gt;H463," * "&amp;$A463&amp;" , "&amp;$B464&amp;" plus "&amp;$B465&amp;" plus "&amp;$B466&amp;" plus "&amp;$B467&amp;" For age "&amp;$H$20&amp;" "&amp;$H$21&amp;" should be equal to "&amp;$B463&amp;""&amp;CHAR(10),""),IF((I464+I465+I466+I467)&lt;&gt;I463," * "&amp;$A463&amp;" , "&amp;$B464&amp;" plus "&amp;$B465&amp;" plus "&amp;$B466&amp;" plus "&amp;$B467&amp;" For age "&amp;$H$20&amp;" "&amp;$I$21&amp;" should be equal to "&amp;$B463&amp;""&amp;CHAR(10),""),IF((J464+J465+J466+J467)&lt;&gt;J463," * "&amp;$A463&amp;" , "&amp;$B464&amp;" plus "&amp;$B465&amp;" plus "&amp;$B466&amp;" plus "&amp;$B467&amp;" For age "&amp;$J$20&amp;" "&amp;$J$21&amp;" should be equal to "&amp;$B463&amp;""&amp;CHAR(10),""),IF((K464+K465+K466+K467)&lt;&gt;K463," * "&amp;$A463&amp;" , "&amp;$B464&amp;" plus "&amp;$B465&amp;" plus "&amp;$B466&amp;" plus "&amp;$B467&amp;" For age "&amp;$J$20&amp;" "&amp;$K$21&amp;" should be equal to "&amp;$B463&amp;""&amp;CHAR(10),""),IF((L464+L465+L466+L467)&lt;&gt;L463," * "&amp;$A463&amp;" , "&amp;$B464&amp;" plus "&amp;$B465&amp;" plus "&amp;$B466&amp;" plus "&amp;$B467&amp;" For age "&amp;$L$20&amp;" "&amp;$L$21&amp;" should be equal to "&amp;$B463&amp;""&amp;CHAR(10),""),IF((M464+M465+M466+M467)&lt;&gt;M463," * "&amp;$A463&amp;" , "&amp;$B464&amp;" plus "&amp;$B465&amp;" plus "&amp;$B466&amp;" plus "&amp;$B467&amp;" For age "&amp;$L$20&amp;" "&amp;$M$21&amp;" should be equal to "&amp;$B463&amp;""&amp;CHAR(10),""),IF((N464+N465+N466+N467)&lt;&gt;N463," * "&amp;$A463&amp;" , "&amp;$B464&amp;" plus "&amp;$B465&amp;" plus "&amp;$B466&amp;" plus "&amp;$B467&amp;" For age "&amp;$N$20&amp;" "&amp;$N$21&amp;" should be equal to "&amp;$B463&amp;""&amp;CHAR(10),""),IF((O464+O465+O466+O467)&lt;&gt;O463," * "&amp;$A463&amp;" , "&amp;$B464&amp;" plus "&amp;$B465&amp;" plus "&amp;$B466&amp;" plus "&amp;$B467&amp;" For age "&amp;$N$20&amp;" "&amp;$O$21&amp;" should be equal to "&amp;$B463&amp;""&amp;CHAR(10),""),IF((P464+P465+P466+P467)&lt;&gt;P463," * "&amp;$A463&amp;" , "&amp;$B464&amp;" plus "&amp;$B465&amp;" plus "&amp;$B466&amp;" plus "&amp;$B467&amp;" For age "&amp;$P$20&amp;" "&amp;$P$21&amp;" should be equal to "&amp;$B463&amp;""&amp;CHAR(10),""),IF((Q464+Q465+Q466+Q467)&lt;&gt;Q463," * "&amp;$A463&amp;" , "&amp;$B464&amp;" plus "&amp;$B465&amp;" plus "&amp;$B466&amp;" plus "&amp;$B467&amp;" For age "&amp;$P$20&amp;" "&amp;$Q$21&amp;" should be equal to "&amp;$B463&amp;""&amp;CHAR(10),""),IF((R464+R465+R466+R467)&lt;&gt;R463," * "&amp;$A463&amp;" , "&amp;$B464&amp;" plus "&amp;$B465&amp;" plus "&amp;$B466&amp;" plus "&amp;$B467&amp;" For age "&amp;$R$20&amp;" "&amp;$R$21&amp;" should be equal to "&amp;$B463&amp;""&amp;CHAR(10),""),IF((S464+S465+S466+S467)&lt;&gt;S463," * "&amp;$A463&amp;" , "&amp;$B464&amp;" plus "&amp;$B465&amp;" plus "&amp;$B466&amp;" plus "&amp;$B467&amp;" For age "&amp;$R$20&amp;" "&amp;$S$21&amp;" should be equal to "&amp;$B463&amp;""&amp;CHAR(10),""),IF((T464+T465+T466+T467)&lt;&gt;T463," * "&amp;$A463&amp;" , "&amp;$B464&amp;" plus "&amp;$B465&amp;" plus "&amp;$B466&amp;" plus "&amp;$B467&amp;" For age "&amp;$T$20&amp;" "&amp;$T$21&amp;" should be equal to "&amp;$B463&amp;""&amp;CHAR(10),""),IF((U464+U465+U466+U467)&lt;&gt;U463," * "&amp;$A463&amp;" , "&amp;$B464&amp;" plus "&amp;$B465&amp;" plus "&amp;$B466&amp;" plus "&amp;$B467&amp;" For age "&amp;$T$20&amp;" "&amp;$U$21&amp;" should be equal to "&amp;$B463&amp;""&amp;CHAR(10),""),IF((V464+V465+V466+V467)&lt;&gt;V463," * "&amp;$A463&amp;" , "&amp;$B464&amp;" plus "&amp;$B465&amp;" plus "&amp;$B466&amp;" plus "&amp;$B467&amp;" For age "&amp;$V$20&amp;" "&amp;$V$21&amp;" should be equal to "&amp;$B463&amp;""&amp;CHAR(10),""),IF((W464+W465+W466+W467)&lt;&gt;W463," * "&amp;$A463&amp;" , "&amp;$B464&amp;" plus "&amp;$B465&amp;" plus "&amp;$B466&amp;" plus "&amp;$B467&amp;" For age "&amp;$V$20&amp;" "&amp;$W$21&amp;" should be equal to "&amp;$B463&amp;""&amp;CHAR(10),""),IF((X464+X465+X466+X467)&lt;&gt;X463," * "&amp;$A463&amp;" , "&amp;$B464&amp;" plus "&amp;$B465&amp;" plus "&amp;$B466&amp;" plus "&amp;$B467&amp;" For age "&amp;$X$20&amp;" "&amp;$X$21&amp;" should be equal to "&amp;$B463&amp;""&amp;CHAR(10),""),IF((Y464+Y465+Y466+Y467)&lt;&gt;Y463," * "&amp;$A463&amp;" , "&amp;$B464&amp;" plus "&amp;$B465&amp;" plus "&amp;$B466&amp;" plus "&amp;$B467&amp;" For age "&amp;$X$20&amp;" "&amp;$Y$21&amp;" should be equal to "&amp;$B463&amp;""&amp;CHAR(10),""),IF((Z464+Z465+Z466+Z467)&lt;&gt;Z463," * "&amp;$A463&amp;" , "&amp;$B464&amp;" plus "&amp;$B465&amp;" plus "&amp;$B466&amp;" plus "&amp;$B467&amp;" For age "&amp;$Z$20&amp;" "&amp;$Z$21&amp;" should be equal to "&amp;$B463&amp;""&amp;CHAR(10),""),IF((AA464+AA465+AA466+AA467)&lt;&gt;AA463," * "&amp;$A463&amp;" , "&amp;$B464&amp;" plus "&amp;$B465&amp;" plus "&amp;$B466&amp;" plus "&amp;$B467&amp;" For age "&amp;$Z$20&amp;" "&amp;$AA$21&amp;" should be equal to "&amp;$B463&amp;""&amp;CHAR(10),""))</f>
        <v/>
      </c>
      <c r="AL463" s="1396"/>
      <c r="AM463" s="31"/>
      <c r="AN463" s="794"/>
      <c r="AO463" s="13">
        <v>31</v>
      </c>
      <c r="AP463" s="81"/>
      <c r="AQ463" s="82"/>
    </row>
    <row r="464" spans="1:43" s="83" customFormat="1" ht="25.5" x14ac:dyDescent="0.75">
      <c r="A464" s="1112"/>
      <c r="B464" s="737" t="s">
        <v>1077</v>
      </c>
      <c r="C464" s="741" t="s">
        <v>1089</v>
      </c>
      <c r="D464" s="625"/>
      <c r="E464" s="752"/>
      <c r="F464" s="550"/>
      <c r="G464" s="547"/>
      <c r="H464" s="547"/>
      <c r="I464" s="547"/>
      <c r="J464" s="547"/>
      <c r="K464" s="547"/>
      <c r="L464" s="547"/>
      <c r="M464" s="547"/>
      <c r="N464" s="547"/>
      <c r="O464" s="547"/>
      <c r="P464" s="547"/>
      <c r="Q464" s="547"/>
      <c r="R464" s="547"/>
      <c r="S464" s="547"/>
      <c r="T464" s="547"/>
      <c r="U464" s="547"/>
      <c r="V464" s="547"/>
      <c r="W464" s="547"/>
      <c r="X464" s="547"/>
      <c r="Y464" s="547"/>
      <c r="Z464" s="489">
        <f t="shared" ref="Z464:Z467" si="235">SUM(AB464,AD464,AF464,AH464)</f>
        <v>0</v>
      </c>
      <c r="AA464" s="489">
        <f t="shared" ref="AA464:AA467" si="236">SUM(AC464,AE464,AG464,AI464)</f>
        <v>0</v>
      </c>
      <c r="AB464" s="547"/>
      <c r="AC464" s="547"/>
      <c r="AD464" s="547"/>
      <c r="AE464" s="547"/>
      <c r="AF464" s="547"/>
      <c r="AG464" s="547"/>
      <c r="AH464" s="547"/>
      <c r="AI464" s="547"/>
      <c r="AJ464" s="478">
        <f t="shared" si="230"/>
        <v>0</v>
      </c>
      <c r="AK464" s="1114" t="str">
        <f>CONCATENATE(IF(D465&gt;D464," * Positive F01-13 for Age "&amp;D451&amp;" "&amp;D452&amp;" is more than Tested F01-12"&amp;CHAR(10),""),IF(E465&gt;E464," * Positive F01-13 for Age "&amp;D451&amp;" "&amp;E452&amp;" is more than Tested F01-12"&amp;CHAR(10),""),IF(F465&gt;F464," * Positive F01-13 for Age "&amp;F451&amp;" "&amp;F452&amp;" is more than Tested F01-12"&amp;CHAR(10),""),IF(G465&gt;G464," * Positive F01-13 for Age "&amp;F451&amp;" "&amp;G452&amp;" is more than Tested F01-12"&amp;CHAR(10),""),IF(H465&gt;H464," * Positive F01-13 for Age "&amp;H451&amp;" "&amp;H452&amp;" is more than Tested F01-12"&amp;CHAR(10),""),IF(I465&gt;I464," * Positive F01-13 for Age "&amp;H451&amp;" "&amp;I452&amp;" is more than Tested F01-12"&amp;CHAR(10),""),IF(J465&gt;J464," * Positive F01-13 for Age "&amp;J451&amp;" "&amp;J452&amp;" is more than Tested F01-12"&amp;CHAR(10),""),IF(K465&gt;K464," * Positive F01-13 for Age "&amp;J451&amp;" "&amp;K452&amp;" is more than Tested F01-12"&amp;CHAR(10),""),IF(L465&gt;L464," * Positive F01-13 for Age "&amp;L451&amp;" "&amp;L452&amp;" is more than Tested F01-12"&amp;CHAR(10),""),IF(M465&gt;M464," * Positive F01-13 for Age "&amp;L451&amp;" "&amp;M452&amp;" is more than Tested F01-12"&amp;CHAR(10),""),IF(N465&gt;N464," * Positive F01-13 for Age "&amp;N451&amp;" "&amp;N452&amp;" is more than Tested F01-12"&amp;CHAR(10),""),IF(O465&gt;O464," * Positive F01-13 for Age "&amp;N451&amp;" "&amp;O452&amp;" is more than Tested F01-12"&amp;CHAR(10),""),IF(P465&gt;P464," * Positive F01-13 for Age "&amp;P451&amp;" "&amp;P452&amp;" is more than Tested F01-12"&amp;CHAR(10),""),IF(Q465&gt;Q464," * Positive F01-13 for Age "&amp;P451&amp;" "&amp;Q452&amp;" is more than Tested F01-12"&amp;CHAR(10),""),IF(R465&gt;R464," * Positive F01-13 for Age "&amp;R451&amp;" "&amp;R452&amp;" is more than Tested F01-12"&amp;CHAR(10),""),IF(S465&gt;S464," * Positive F01-13 for Age "&amp;R451&amp;" "&amp;S452&amp;" is more than Tested F01-12"&amp;CHAR(10),""),IF(T465&gt;T464," * Positive F01-13 for Age "&amp;T451&amp;" "&amp;T452&amp;" is more than Tested F01-12"&amp;CHAR(10),""),IF(U465&gt;U464," * Positive F01-13 for Age "&amp;T451&amp;" "&amp;U452&amp;" is more than Tested F01-12"&amp;CHAR(10),""),IF(V465&gt;V464," * Positive F01-13 for Age "&amp;V451&amp;" "&amp;V452&amp;" is more than Tested F01-12"&amp;CHAR(10),""),IF(W465&gt;W464," * Positive F01-13 for Age "&amp;V451&amp;" "&amp;W452&amp;" is more than Tested F01-12"&amp;CHAR(10),""),IF(X465&gt;X464," * Positive F01-13 for Age "&amp;X451&amp;" "&amp;X452&amp;" is more than Tested F01-12"&amp;CHAR(10),""),IF(Y465&gt;Y464," * Positive F01-13 for Age "&amp;X451&amp;" "&amp;Y452&amp;" is more than Tested F01-12"&amp;CHAR(10),""),IF(Z465&gt;Z464," * Positive F01-13 for Age "&amp;Z451&amp;" "&amp;Z452&amp;" is more than Tested F01-12"&amp;CHAR(10),""),IF(AA465&gt;AA464," * Positive F01-13 for Age "&amp;Z451&amp;" "&amp;AA452&amp;" is more than Tested F01-12"&amp;CHAR(10),""))</f>
        <v/>
      </c>
      <c r="AL464" s="1396"/>
      <c r="AM464" s="31" t="str">
        <f>CONCATENATE(IF(AND(IFERROR((AJ465*100)/AJ464,0)&gt;10,AJ465&gt;5)," * This facility has a high positivity rate for Index Testing. Kindly confirm if this is the true reflection"&amp;CHAR(10),""),"")</f>
        <v/>
      </c>
      <c r="AN464" s="794"/>
      <c r="AO464" s="13">
        <v>32</v>
      </c>
      <c r="AP464" s="81"/>
      <c r="AQ464" s="82"/>
    </row>
    <row r="465" spans="1:43" s="83" customFormat="1" ht="25.5" x14ac:dyDescent="0.75">
      <c r="A465" s="1112"/>
      <c r="B465" s="737" t="s">
        <v>1058</v>
      </c>
      <c r="C465" s="741" t="s">
        <v>1090</v>
      </c>
      <c r="D465" s="725"/>
      <c r="E465" s="753"/>
      <c r="F465" s="551"/>
      <c r="G465" s="481"/>
      <c r="H465" s="481"/>
      <c r="I465" s="481"/>
      <c r="J465" s="481"/>
      <c r="K465" s="481"/>
      <c r="L465" s="481"/>
      <c r="M465" s="481"/>
      <c r="N465" s="481"/>
      <c r="O465" s="481"/>
      <c r="P465" s="481"/>
      <c r="Q465" s="481"/>
      <c r="R465" s="481"/>
      <c r="S465" s="481"/>
      <c r="T465" s="481"/>
      <c r="U465" s="481"/>
      <c r="V465" s="481"/>
      <c r="W465" s="481"/>
      <c r="X465" s="481"/>
      <c r="Y465" s="481"/>
      <c r="Z465" s="489">
        <f t="shared" si="235"/>
        <v>0</v>
      </c>
      <c r="AA465" s="489">
        <f t="shared" si="236"/>
        <v>0</v>
      </c>
      <c r="AB465" s="481"/>
      <c r="AC465" s="481"/>
      <c r="AD465" s="481"/>
      <c r="AE465" s="481"/>
      <c r="AF465" s="481"/>
      <c r="AG465" s="481"/>
      <c r="AH465" s="481"/>
      <c r="AI465" s="481"/>
      <c r="AJ465" s="479">
        <f t="shared" si="230"/>
        <v>0</v>
      </c>
      <c r="AK465" s="1114"/>
      <c r="AL465" s="1396"/>
      <c r="AM465" s="31" t="e">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0"&amp;CHAR(10),""),IF(#REF!&gt;0," * F01-14 for Age "&amp;D451&amp;" "&amp;D452&amp;" has a value greater than 0"&amp;CHAR(10),""),IF(#REF!&gt;0,"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#REF!</v>
      </c>
      <c r="AN465" s="794"/>
      <c r="AO465" s="13">
        <v>33</v>
      </c>
      <c r="AP465" s="81"/>
      <c r="AQ465" s="82"/>
    </row>
    <row r="466" spans="1:43" s="83" customFormat="1" ht="25.5" x14ac:dyDescent="0.75">
      <c r="A466" s="1112"/>
      <c r="B466" s="737" t="s">
        <v>1060</v>
      </c>
      <c r="C466" s="741" t="s">
        <v>1091</v>
      </c>
      <c r="D466" s="725"/>
      <c r="E466" s="753"/>
      <c r="F466" s="552"/>
      <c r="G466" s="488"/>
      <c r="H466" s="488"/>
      <c r="I466" s="488"/>
      <c r="J466" s="488"/>
      <c r="K466" s="488"/>
      <c r="L466" s="488"/>
      <c r="M466" s="488"/>
      <c r="N466" s="488"/>
      <c r="O466" s="488"/>
      <c r="P466" s="488"/>
      <c r="Q466" s="488"/>
      <c r="R466" s="488"/>
      <c r="S466" s="488"/>
      <c r="T466" s="488"/>
      <c r="U466" s="488"/>
      <c r="V466" s="488"/>
      <c r="W466" s="488"/>
      <c r="X466" s="488"/>
      <c r="Y466" s="488"/>
      <c r="Z466" s="489">
        <f t="shared" si="235"/>
        <v>0</v>
      </c>
      <c r="AA466" s="489">
        <f t="shared" si="236"/>
        <v>0</v>
      </c>
      <c r="AB466" s="488"/>
      <c r="AC466" s="488"/>
      <c r="AD466" s="488"/>
      <c r="AE466" s="488"/>
      <c r="AF466" s="488"/>
      <c r="AG466" s="488"/>
      <c r="AH466" s="488"/>
      <c r="AI466" s="488"/>
      <c r="AJ466" s="479">
        <f t="shared" si="230"/>
        <v>0</v>
      </c>
      <c r="AK466" s="470"/>
      <c r="AL466" s="1396"/>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94"/>
      <c r="AO466" s="13">
        <v>33</v>
      </c>
      <c r="AP466" s="81"/>
      <c r="AQ466" s="82"/>
    </row>
    <row r="467" spans="1:43" s="83" customFormat="1" ht="25.9" thickBot="1" x14ac:dyDescent="0.8">
      <c r="A467" s="1113"/>
      <c r="B467" s="738" t="s">
        <v>1062</v>
      </c>
      <c r="C467" s="742" t="s">
        <v>1092</v>
      </c>
      <c r="D467" s="726"/>
      <c r="E467" s="754"/>
      <c r="F467" s="553"/>
      <c r="G467" s="549"/>
      <c r="H467" s="549"/>
      <c r="I467" s="549"/>
      <c r="J467" s="549"/>
      <c r="K467" s="549"/>
      <c r="L467" s="549"/>
      <c r="M467" s="549"/>
      <c r="N467" s="549"/>
      <c r="O467" s="549"/>
      <c r="P467" s="549"/>
      <c r="Q467" s="549"/>
      <c r="R467" s="549"/>
      <c r="S467" s="549"/>
      <c r="T467" s="549"/>
      <c r="U467" s="549"/>
      <c r="V467" s="549"/>
      <c r="W467" s="549"/>
      <c r="X467" s="549"/>
      <c r="Y467" s="549"/>
      <c r="Z467" s="489">
        <f t="shared" si="235"/>
        <v>0</v>
      </c>
      <c r="AA467" s="489">
        <f t="shared" si="236"/>
        <v>0</v>
      </c>
      <c r="AB467" s="549"/>
      <c r="AC467" s="549"/>
      <c r="AD467" s="549"/>
      <c r="AE467" s="549"/>
      <c r="AF467" s="549"/>
      <c r="AG467" s="549"/>
      <c r="AH467" s="549"/>
      <c r="AI467" s="549"/>
      <c r="AJ467" s="480">
        <f t="shared" si="230"/>
        <v>0</v>
      </c>
      <c r="AK467" s="470"/>
      <c r="AL467" s="1396"/>
      <c r="AM467" s="31" t="str">
        <f>CONCATENATE(IF(D466&gt;0," * F01-12 for Age "&amp;D453&amp;" "&amp;D454&amp;" has a value greater than 0"&amp;CHAR(10),""),IF(E466&gt;0," * F01-12 for Age "&amp;D453&amp;" "&amp;E454&amp;" has a value greater than 0"&amp;CHAR(10),""),IF(D467&gt;0," * F01-13 for Age "&amp;D453&amp;" "&amp;D454&amp;" has a value greater than 0"&amp;CHAR(10),""),IF(E467&gt;0," * F01-13 for Age "&amp;D453&amp;" "&amp;E454&amp;" has a value greater than 0"&amp;CHAR(10),""),IF(D529&gt;0," * F01-14 for Age "&amp;D453&amp;" "&amp;D454&amp;" has a value greater than 0"&amp;CHAR(10),""),IF(E529&gt;0," * F01-14 for Age "&amp;D453&amp;" "&amp;E454&amp;" has a value greater than 0"&amp;CHAR(10),""),IF(D530&gt;0," * F01-15 for Age "&amp;D453&amp;" "&amp;D454&amp;" has a value greater than 0"&amp;CHAR(10),""),IF(E530&gt;0," * F01-15 for Age "&amp;D453&amp;" "&amp;E454&amp;" has a value greater than 0"&amp;CHAR(10),""),IF(D535&gt;0," * F01-20 for Age "&amp;D453&amp;" "&amp;D454&amp;" has a value greater than 0"&amp;CHAR(10),""),IF(E535&gt;0," * F01-20 for Age "&amp;D453&amp;" "&amp;E454&amp;" has a value greater than 0"&amp;CHAR(10),""),IF(D536&gt;0," * F01-21 for Age "&amp;D453&amp;" "&amp;D454&amp;" has a value greater than 0"&amp;CHAR(10),""),IF(E536&gt;0," * F01-21 for Age "&amp;D453&amp;" "&amp;E454&amp;" has a value greater than 0"&amp;CHAR(10),""),IF(D537&gt;0," * F01-22 for Age "&amp;D453&amp;" "&amp;D454&amp;" has a value greater than 0"&amp;CHAR(10),""),IF(E537&gt;0," * F01-22 for Age "&amp;D453&amp;" "&amp;E454&amp;" has a value greater than 0"&amp;CHAR(10),""),IF(D538&gt;0," * F01-23 for Age "&amp;D453&amp;" "&amp;D454&amp;" has a value greater than 0"&amp;CHAR(10),""),IF(E538&gt;0," * F01-23 for Age "&amp;D453&amp;" "&amp;E454&amp;" has a value greater than 0"&amp;CHAR(10),""),"")</f>
        <v/>
      </c>
      <c r="AN467" s="794"/>
      <c r="AO467" s="13">
        <v>33</v>
      </c>
      <c r="AP467" s="81"/>
      <c r="AQ467" s="82"/>
    </row>
    <row r="468" spans="1:43" s="83" customFormat="1" ht="25.9" thickBot="1" x14ac:dyDescent="0.8">
      <c r="A468" s="1111" t="s">
        <v>1079</v>
      </c>
      <c r="B468" s="736" t="s">
        <v>138</v>
      </c>
      <c r="C468" s="740" t="s">
        <v>1093</v>
      </c>
      <c r="D468" s="723"/>
      <c r="E468" s="751"/>
      <c r="F468" s="762">
        <f t="shared" ref="F468:AI468" si="237">F44</f>
        <v>0</v>
      </c>
      <c r="G468" s="487">
        <f t="shared" si="237"/>
        <v>0</v>
      </c>
      <c r="H468" s="487">
        <f t="shared" si="237"/>
        <v>0</v>
      </c>
      <c r="I468" s="487">
        <f t="shared" si="237"/>
        <v>0</v>
      </c>
      <c r="J468" s="487">
        <f t="shared" si="237"/>
        <v>0</v>
      </c>
      <c r="K468" s="487">
        <f t="shared" si="237"/>
        <v>0</v>
      </c>
      <c r="L468" s="487">
        <f t="shared" si="237"/>
        <v>0</v>
      </c>
      <c r="M468" s="487">
        <f t="shared" si="237"/>
        <v>0</v>
      </c>
      <c r="N468" s="487">
        <f t="shared" si="237"/>
        <v>0</v>
      </c>
      <c r="O468" s="487">
        <f t="shared" si="237"/>
        <v>0</v>
      </c>
      <c r="P468" s="487">
        <f t="shared" si="237"/>
        <v>0</v>
      </c>
      <c r="Q468" s="487">
        <f t="shared" si="237"/>
        <v>0</v>
      </c>
      <c r="R468" s="487">
        <f t="shared" si="237"/>
        <v>0</v>
      </c>
      <c r="S468" s="487">
        <f t="shared" si="237"/>
        <v>0</v>
      </c>
      <c r="T468" s="487">
        <f t="shared" si="237"/>
        <v>0</v>
      </c>
      <c r="U468" s="487">
        <f t="shared" si="237"/>
        <v>0</v>
      </c>
      <c r="V468" s="487">
        <f t="shared" si="237"/>
        <v>0</v>
      </c>
      <c r="W468" s="487">
        <f t="shared" si="237"/>
        <v>0</v>
      </c>
      <c r="X468" s="487">
        <f t="shared" si="237"/>
        <v>0</v>
      </c>
      <c r="Y468" s="487">
        <f t="shared" si="237"/>
        <v>0</v>
      </c>
      <c r="Z468" s="487">
        <f t="shared" si="237"/>
        <v>0</v>
      </c>
      <c r="AA468" s="487">
        <f t="shared" si="237"/>
        <v>0</v>
      </c>
      <c r="AB468" s="487">
        <f t="shared" si="237"/>
        <v>0</v>
      </c>
      <c r="AC468" s="487">
        <f t="shared" si="237"/>
        <v>0</v>
      </c>
      <c r="AD468" s="487">
        <f t="shared" si="237"/>
        <v>0</v>
      </c>
      <c r="AE468" s="487">
        <f t="shared" si="237"/>
        <v>0</v>
      </c>
      <c r="AF468" s="487">
        <f t="shared" si="237"/>
        <v>0</v>
      </c>
      <c r="AG468" s="487">
        <f t="shared" si="237"/>
        <v>0</v>
      </c>
      <c r="AH468" s="487">
        <f t="shared" si="237"/>
        <v>0</v>
      </c>
      <c r="AI468" s="487">
        <f t="shared" si="237"/>
        <v>0</v>
      </c>
      <c r="AJ468" s="477">
        <f t="shared" si="230"/>
        <v>0</v>
      </c>
      <c r="AK468" s="545" t="str">
        <f>CONCATENATE(IF((D469+D470+D471+D472)&lt;&gt;D468," * "&amp;$A468&amp;" , "&amp;$B469&amp;" plus "&amp;$B470&amp;" plus "&amp;$B471&amp;" plus "&amp;$B472&amp;" For age "&amp;$D$20&amp;" "&amp;$D$21&amp;" should be equal to "&amp;$B468&amp;""&amp;CHAR(10),""),IF((E469+E470+E471+E472)&lt;&gt;E468," * "&amp;$A468&amp;" , "&amp;$B469&amp;" plus "&amp;$B470&amp;" plus "&amp;$B471&amp;" plus "&amp;$B472&amp;" For age "&amp;$D$20&amp;" "&amp;$E$21&amp;" should be equal to "&amp;$B468&amp;""&amp;CHAR(10),""),IF((F469+F470+F471+F472)&lt;&gt;F468," * "&amp;$A468&amp;" , "&amp;$B469&amp;" plus "&amp;$B470&amp;" plus "&amp;$B471&amp;" plus "&amp;$B472&amp;" For age "&amp;$F$20&amp;" "&amp;$F$21&amp;" should be equal to "&amp;$B468&amp;""&amp;CHAR(10),""),IF((G469+G470+G471+G472)&lt;&gt;G468," * "&amp;$A468&amp;" , "&amp;$B469&amp;" plus "&amp;$B470&amp;" plus "&amp;$B471&amp;" plus "&amp;$B472&amp;" For age "&amp;$F$20&amp;" "&amp;$G$21&amp;" should be equal to "&amp;$B468&amp;""&amp;CHAR(10),""),IF((H469+H470+H471+H472)&lt;&gt;H468," * "&amp;$A468&amp;" , "&amp;$B469&amp;" plus "&amp;$B470&amp;" plus "&amp;$B471&amp;" plus "&amp;$B472&amp;" For age "&amp;$H$20&amp;" "&amp;$H$21&amp;" should be equal to "&amp;$B468&amp;""&amp;CHAR(10),""),IF((I469+I470+I471+I472)&lt;&gt;I468," * "&amp;$A468&amp;" , "&amp;$B469&amp;" plus "&amp;$B470&amp;" plus "&amp;$B471&amp;" plus "&amp;$B472&amp;" For age "&amp;$H$20&amp;" "&amp;$I$21&amp;" should be equal to "&amp;$B468&amp;""&amp;CHAR(10),""),IF((J469+J470+J471+J472)&lt;&gt;J468," * "&amp;$A468&amp;" , "&amp;$B469&amp;" plus "&amp;$B470&amp;" plus "&amp;$B471&amp;" plus "&amp;$B472&amp;" For age "&amp;$J$20&amp;" "&amp;$J$21&amp;" should be equal to "&amp;$B468&amp;""&amp;CHAR(10),""),IF((K469+K470+K471+K472)&lt;&gt;K468," * "&amp;$A468&amp;" , "&amp;$B469&amp;" plus "&amp;$B470&amp;" plus "&amp;$B471&amp;" plus "&amp;$B472&amp;" For age "&amp;$J$20&amp;" "&amp;$K$21&amp;" should be equal to "&amp;$B468&amp;""&amp;CHAR(10),""),IF((L469+L470+L471+L472)&lt;&gt;L468," * "&amp;$A468&amp;" , "&amp;$B469&amp;" plus "&amp;$B470&amp;" plus "&amp;$B471&amp;" plus "&amp;$B472&amp;" For age "&amp;$L$20&amp;" "&amp;$L$21&amp;" should be equal to "&amp;$B468&amp;""&amp;CHAR(10),""),IF((M469+M470+M471+M472)&lt;&gt;M468," * "&amp;$A468&amp;" , "&amp;$B469&amp;" plus "&amp;$B470&amp;" plus "&amp;$B471&amp;" plus "&amp;$B472&amp;" For age "&amp;$L$20&amp;" "&amp;$M$21&amp;" should be equal to "&amp;$B468&amp;""&amp;CHAR(10),""),IF((N469+N470+N471+N472)&lt;&gt;N468," * "&amp;$A468&amp;" , "&amp;$B469&amp;" plus "&amp;$B470&amp;" plus "&amp;$B471&amp;" plus "&amp;$B472&amp;" For age "&amp;$N$20&amp;" "&amp;$N$21&amp;" should be equal to "&amp;$B468&amp;""&amp;CHAR(10),""),IF((O469+O470+O471+O472)&lt;&gt;O468," * "&amp;$A468&amp;" , "&amp;$B469&amp;" plus "&amp;$B470&amp;" plus "&amp;$B471&amp;" plus "&amp;$B472&amp;" For age "&amp;$N$20&amp;" "&amp;$O$21&amp;" should be equal to "&amp;$B468&amp;""&amp;CHAR(10),""),IF((P469+P470+P471+P472)&lt;&gt;P468," * "&amp;$A468&amp;" , "&amp;$B469&amp;" plus "&amp;$B470&amp;" plus "&amp;$B471&amp;" plus "&amp;$B472&amp;" For age "&amp;$P$20&amp;" "&amp;$P$21&amp;" should be equal to "&amp;$B468&amp;""&amp;CHAR(10),""),IF((Q469+Q470+Q471+Q472)&lt;&gt;Q468," * "&amp;$A468&amp;" , "&amp;$B469&amp;" plus "&amp;$B470&amp;" plus "&amp;$B471&amp;" plus "&amp;$B472&amp;" For age "&amp;$P$20&amp;" "&amp;$Q$21&amp;" should be equal to "&amp;$B468&amp;""&amp;CHAR(10),""),IF((R469+R470+R471+R472)&lt;&gt;R468," * "&amp;$A468&amp;" , "&amp;$B469&amp;" plus "&amp;$B470&amp;" plus "&amp;$B471&amp;" plus "&amp;$B472&amp;" For age "&amp;$R$20&amp;" "&amp;$R$21&amp;" should be equal to "&amp;$B468&amp;""&amp;CHAR(10),""),IF((S469+S470+S471+S472)&lt;&gt;S468," * "&amp;$A468&amp;" , "&amp;$B469&amp;" plus "&amp;$B470&amp;" plus "&amp;$B471&amp;" plus "&amp;$B472&amp;" For age "&amp;$R$20&amp;" "&amp;$S$21&amp;" should be equal to "&amp;$B468&amp;""&amp;CHAR(10),""),IF((T469+T470+T471+T472)&lt;&gt;T468," * "&amp;$A468&amp;" , "&amp;$B469&amp;" plus "&amp;$B470&amp;" plus "&amp;$B471&amp;" plus "&amp;$B472&amp;" For age "&amp;$T$20&amp;" "&amp;$T$21&amp;" should be equal to "&amp;$B468&amp;""&amp;CHAR(10),""),IF((U469+U470+U471+U472)&lt;&gt;U468," * "&amp;$A468&amp;" , "&amp;$B469&amp;" plus "&amp;$B470&amp;" plus "&amp;$B471&amp;" plus "&amp;$B472&amp;" For age "&amp;$T$20&amp;" "&amp;$U$21&amp;" should be equal to "&amp;$B468&amp;""&amp;CHAR(10),""),IF((V469+V470+V471+V472)&lt;&gt;V468," * "&amp;$A468&amp;" , "&amp;$B469&amp;" plus "&amp;$B470&amp;" plus "&amp;$B471&amp;" plus "&amp;$B472&amp;" For age "&amp;$V$20&amp;" "&amp;$V$21&amp;" should be equal to "&amp;$B468&amp;""&amp;CHAR(10),""),IF((W469+W470+W471+W472)&lt;&gt;W468," * "&amp;$A468&amp;" , "&amp;$B469&amp;" plus "&amp;$B470&amp;" plus "&amp;$B471&amp;" plus "&amp;$B472&amp;" For age "&amp;$V$20&amp;" "&amp;$W$21&amp;" should be equal to "&amp;$B468&amp;""&amp;CHAR(10),""),IF((X469+X470+X471+X472)&lt;&gt;X468," * "&amp;$A468&amp;" , "&amp;$B469&amp;" plus "&amp;$B470&amp;" plus "&amp;$B471&amp;" plus "&amp;$B472&amp;" For age "&amp;$X$20&amp;" "&amp;$X$21&amp;" should be equal to "&amp;$B468&amp;""&amp;CHAR(10),""),IF((Y469+Y470+Y471+Y472)&lt;&gt;Y468," * "&amp;$A468&amp;" , "&amp;$B469&amp;" plus "&amp;$B470&amp;" plus "&amp;$B471&amp;" plus "&amp;$B472&amp;" For age "&amp;$X$20&amp;" "&amp;$Y$21&amp;" should be equal to "&amp;$B468&amp;""&amp;CHAR(10),""),IF((Z469+Z470+Z471+Z472)&lt;&gt;Z468," * "&amp;$A468&amp;" , "&amp;$B469&amp;" plus "&amp;$B470&amp;" plus "&amp;$B471&amp;" plus "&amp;$B472&amp;" For age "&amp;$Z$20&amp;" "&amp;$Z$21&amp;" should be equal to "&amp;$B468&amp;""&amp;CHAR(10),""),IF((AA469+AA470+AA471+AA472)&lt;&gt;AA468," * "&amp;$A468&amp;" , "&amp;$B469&amp;" plus "&amp;$B470&amp;" plus "&amp;$B471&amp;" plus "&amp;$B472&amp;" For age "&amp;$Z$20&amp;" "&amp;$AA$21&amp;" should be equal to "&amp;$B468&amp;""&amp;CHAR(10),""))</f>
        <v/>
      </c>
      <c r="AL468" s="1396"/>
      <c r="AM468" s="31"/>
      <c r="AN468" s="794"/>
      <c r="AO468" s="13">
        <v>31</v>
      </c>
      <c r="AP468" s="81"/>
      <c r="AQ468" s="82"/>
    </row>
    <row r="469" spans="1:43" s="83" customFormat="1" ht="25.5" x14ac:dyDescent="0.75">
      <c r="A469" s="1112"/>
      <c r="B469" s="737" t="s">
        <v>1077</v>
      </c>
      <c r="C469" s="741" t="s">
        <v>1094</v>
      </c>
      <c r="D469" s="625"/>
      <c r="E469" s="752"/>
      <c r="F469" s="550"/>
      <c r="G469" s="547"/>
      <c r="H469" s="547"/>
      <c r="I469" s="547"/>
      <c r="J469" s="547"/>
      <c r="K469" s="547"/>
      <c r="L469" s="547"/>
      <c r="M469" s="547"/>
      <c r="N469" s="547"/>
      <c r="O469" s="547"/>
      <c r="P469" s="547"/>
      <c r="Q469" s="547"/>
      <c r="R469" s="547"/>
      <c r="S469" s="547"/>
      <c r="T469" s="547"/>
      <c r="U469" s="547"/>
      <c r="V469" s="547"/>
      <c r="W469" s="547"/>
      <c r="X469" s="547"/>
      <c r="Y469" s="547"/>
      <c r="Z469" s="489">
        <f t="shared" ref="Z469:Z472" si="238">SUM(AB469,AD469,AF469,AH469)</f>
        <v>0</v>
      </c>
      <c r="AA469" s="489">
        <f t="shared" ref="AA469:AA472" si="239">SUM(AC469,AE469,AG469,AI469)</f>
        <v>0</v>
      </c>
      <c r="AB469" s="547"/>
      <c r="AC469" s="547"/>
      <c r="AD469" s="547"/>
      <c r="AE469" s="547"/>
      <c r="AF469" s="547"/>
      <c r="AG469" s="547"/>
      <c r="AH469" s="547"/>
      <c r="AI469" s="547"/>
      <c r="AJ469" s="478">
        <f t="shared" si="230"/>
        <v>0</v>
      </c>
      <c r="AK469" s="1114" t="str">
        <f>CONCATENATE(IF(D470&gt;D469," * Positive F01-13 for Age "&amp;D456&amp;" "&amp;D457&amp;" is more than Tested F01-12"&amp;CHAR(10),""),IF(E470&gt;E469," * Positive F01-13 for Age "&amp;D456&amp;" "&amp;E457&amp;" is more than Tested F01-12"&amp;CHAR(10),""),IF(F470&gt;F469," * Positive F01-13 for Age "&amp;F456&amp;" "&amp;F457&amp;" is more than Tested F01-12"&amp;CHAR(10),""),IF(G470&gt;G469," * Positive F01-13 for Age "&amp;F456&amp;" "&amp;G457&amp;" is more than Tested F01-12"&amp;CHAR(10),""),IF(H470&gt;H469," * Positive F01-13 for Age "&amp;H456&amp;" "&amp;H457&amp;" is more than Tested F01-12"&amp;CHAR(10),""),IF(I470&gt;I469," * Positive F01-13 for Age "&amp;H456&amp;" "&amp;I457&amp;" is more than Tested F01-12"&amp;CHAR(10),""),IF(J470&gt;J469," * Positive F01-13 for Age "&amp;J456&amp;" "&amp;J457&amp;" is more than Tested F01-12"&amp;CHAR(10),""),IF(K470&gt;K469," * Positive F01-13 for Age "&amp;J456&amp;" "&amp;K457&amp;" is more than Tested F01-12"&amp;CHAR(10),""),IF(L470&gt;L469," * Positive F01-13 for Age "&amp;L456&amp;" "&amp;L457&amp;" is more than Tested F01-12"&amp;CHAR(10),""),IF(M470&gt;M469," * Positive F01-13 for Age "&amp;L456&amp;" "&amp;M457&amp;" is more than Tested F01-12"&amp;CHAR(10),""),IF(N470&gt;N469," * Positive F01-13 for Age "&amp;N456&amp;" "&amp;N457&amp;" is more than Tested F01-12"&amp;CHAR(10),""),IF(O470&gt;O469," * Positive F01-13 for Age "&amp;N456&amp;" "&amp;O457&amp;" is more than Tested F01-12"&amp;CHAR(10),""),IF(P470&gt;P469," * Positive F01-13 for Age "&amp;P456&amp;" "&amp;P457&amp;" is more than Tested F01-12"&amp;CHAR(10),""),IF(Q470&gt;Q469," * Positive F01-13 for Age "&amp;P456&amp;" "&amp;Q457&amp;" is more than Tested F01-12"&amp;CHAR(10),""),IF(R470&gt;R469," * Positive F01-13 for Age "&amp;R456&amp;" "&amp;R457&amp;" is more than Tested F01-12"&amp;CHAR(10),""),IF(S470&gt;S469," * Positive F01-13 for Age "&amp;R456&amp;" "&amp;S457&amp;" is more than Tested F01-12"&amp;CHAR(10),""),IF(T470&gt;T469," * Positive F01-13 for Age "&amp;T456&amp;" "&amp;T457&amp;" is more than Tested F01-12"&amp;CHAR(10),""),IF(U470&gt;U469," * Positive F01-13 for Age "&amp;T456&amp;" "&amp;U457&amp;" is more than Tested F01-12"&amp;CHAR(10),""),IF(V470&gt;V469," * Positive F01-13 for Age "&amp;V456&amp;" "&amp;V457&amp;" is more than Tested F01-12"&amp;CHAR(10),""),IF(W470&gt;W469," * Positive F01-13 for Age "&amp;V456&amp;" "&amp;W457&amp;" is more than Tested F01-12"&amp;CHAR(10),""),IF(X470&gt;X469," * Positive F01-13 for Age "&amp;X456&amp;" "&amp;X457&amp;" is more than Tested F01-12"&amp;CHAR(10),""),IF(Y470&gt;Y469," * Positive F01-13 for Age "&amp;X456&amp;" "&amp;Y457&amp;" is more than Tested F01-12"&amp;CHAR(10),""),IF(Z470&gt;Z469," * Positive F01-13 for Age "&amp;Z456&amp;" "&amp;Z457&amp;" is more than Tested F01-12"&amp;CHAR(10),""),IF(AA470&gt;AA469," * Positive F01-13 for Age "&amp;Z456&amp;" "&amp;AA457&amp;" is more than Tested F01-12"&amp;CHAR(10),""))</f>
        <v/>
      </c>
      <c r="AL469" s="1396"/>
      <c r="AM469" s="31" t="str">
        <f>CONCATENATE(IF(AND(IFERROR((AJ470*100)/AJ469,0)&gt;10,AJ470&gt;5)," * This facility has a high positivity rate for Index Testing. Kindly confirm if this is the true reflection"&amp;CHAR(10),""),"")</f>
        <v/>
      </c>
      <c r="AN469" s="794"/>
      <c r="AO469" s="13">
        <v>32</v>
      </c>
      <c r="AP469" s="81"/>
      <c r="AQ469" s="82"/>
    </row>
    <row r="470" spans="1:43" s="83" customFormat="1" ht="25.5" x14ac:dyDescent="0.75">
      <c r="A470" s="1112"/>
      <c r="B470" s="737" t="s">
        <v>1058</v>
      </c>
      <c r="C470" s="741" t="s">
        <v>1095</v>
      </c>
      <c r="D470" s="725"/>
      <c r="E470" s="753"/>
      <c r="F470" s="551"/>
      <c r="G470" s="481"/>
      <c r="H470" s="481"/>
      <c r="I470" s="481"/>
      <c r="J470" s="481"/>
      <c r="K470" s="481"/>
      <c r="L470" s="481"/>
      <c r="M470" s="481"/>
      <c r="N470" s="481"/>
      <c r="O470" s="481"/>
      <c r="P470" s="481"/>
      <c r="Q470" s="481"/>
      <c r="R470" s="481"/>
      <c r="S470" s="481"/>
      <c r="T470" s="481"/>
      <c r="U470" s="481"/>
      <c r="V470" s="481"/>
      <c r="W470" s="481"/>
      <c r="X470" s="481"/>
      <c r="Y470" s="481"/>
      <c r="Z470" s="489">
        <f t="shared" si="238"/>
        <v>0</v>
      </c>
      <c r="AA470" s="489">
        <f t="shared" si="239"/>
        <v>0</v>
      </c>
      <c r="AB470" s="481"/>
      <c r="AC470" s="481"/>
      <c r="AD470" s="481"/>
      <c r="AE470" s="481"/>
      <c r="AF470" s="481"/>
      <c r="AG470" s="481"/>
      <c r="AH470" s="481"/>
      <c r="AI470" s="481"/>
      <c r="AJ470" s="479">
        <f t="shared" si="230"/>
        <v>0</v>
      </c>
      <c r="AK470" s="1114"/>
      <c r="AL470" s="1396"/>
      <c r="AM470" s="31" t="e">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0"&amp;CHAR(10),""),IF(#REF!&gt;0," * F01-14 for Age "&amp;D456&amp;" "&amp;D457&amp;" has a value greater than 0"&amp;CHAR(10),""),IF(#REF!&gt;0,"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#REF!</v>
      </c>
      <c r="AN470" s="794"/>
      <c r="AO470" s="13">
        <v>33</v>
      </c>
      <c r="AP470" s="81"/>
      <c r="AQ470" s="82"/>
    </row>
    <row r="471" spans="1:43" s="83" customFormat="1" ht="25.5" x14ac:dyDescent="0.75">
      <c r="A471" s="1112"/>
      <c r="B471" s="737" t="s">
        <v>1060</v>
      </c>
      <c r="C471" s="741" t="s">
        <v>1096</v>
      </c>
      <c r="D471" s="725"/>
      <c r="E471" s="753"/>
      <c r="F471" s="552"/>
      <c r="G471" s="488"/>
      <c r="H471" s="488"/>
      <c r="I471" s="488"/>
      <c r="J471" s="488"/>
      <c r="K471" s="488"/>
      <c r="L471" s="488"/>
      <c r="M471" s="488"/>
      <c r="N471" s="488"/>
      <c r="O471" s="488"/>
      <c r="P471" s="488"/>
      <c r="Q471" s="488"/>
      <c r="R471" s="488"/>
      <c r="S471" s="488"/>
      <c r="T471" s="488"/>
      <c r="U471" s="488"/>
      <c r="V471" s="488"/>
      <c r="W471" s="488"/>
      <c r="X471" s="488"/>
      <c r="Y471" s="488"/>
      <c r="Z471" s="489">
        <f t="shared" si="238"/>
        <v>0</v>
      </c>
      <c r="AA471" s="489">
        <f t="shared" si="239"/>
        <v>0</v>
      </c>
      <c r="AB471" s="488"/>
      <c r="AC471" s="488"/>
      <c r="AD471" s="488"/>
      <c r="AE471" s="488"/>
      <c r="AF471" s="488"/>
      <c r="AG471" s="488"/>
      <c r="AH471" s="488"/>
      <c r="AI471" s="488"/>
      <c r="AJ471" s="479">
        <f t="shared" si="230"/>
        <v>0</v>
      </c>
      <c r="AK471" s="470"/>
      <c r="AL471" s="1396"/>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94"/>
      <c r="AO471" s="13">
        <v>33</v>
      </c>
      <c r="AP471" s="81"/>
      <c r="AQ471" s="82"/>
    </row>
    <row r="472" spans="1:43" s="83" customFormat="1" ht="25.9" thickBot="1" x14ac:dyDescent="0.8">
      <c r="A472" s="1113"/>
      <c r="B472" s="738" t="s">
        <v>1062</v>
      </c>
      <c r="C472" s="742" t="s">
        <v>1097</v>
      </c>
      <c r="D472" s="726"/>
      <c r="E472" s="754"/>
      <c r="F472" s="553"/>
      <c r="G472" s="549"/>
      <c r="H472" s="549"/>
      <c r="I472" s="549"/>
      <c r="J472" s="549"/>
      <c r="K472" s="549"/>
      <c r="L472" s="549"/>
      <c r="M472" s="549"/>
      <c r="N472" s="549"/>
      <c r="O472" s="549"/>
      <c r="P472" s="549"/>
      <c r="Q472" s="549"/>
      <c r="R472" s="549"/>
      <c r="S472" s="549"/>
      <c r="T472" s="549"/>
      <c r="U472" s="549"/>
      <c r="V472" s="549"/>
      <c r="W472" s="549"/>
      <c r="X472" s="549"/>
      <c r="Y472" s="549"/>
      <c r="Z472" s="489">
        <f t="shared" si="238"/>
        <v>0</v>
      </c>
      <c r="AA472" s="489">
        <f t="shared" si="239"/>
        <v>0</v>
      </c>
      <c r="AB472" s="549"/>
      <c r="AC472" s="549"/>
      <c r="AD472" s="549"/>
      <c r="AE472" s="549"/>
      <c r="AF472" s="549"/>
      <c r="AG472" s="549"/>
      <c r="AH472" s="549"/>
      <c r="AI472" s="549"/>
      <c r="AJ472" s="480">
        <f t="shared" si="230"/>
        <v>0</v>
      </c>
      <c r="AK472" s="470"/>
      <c r="AL472" s="1396"/>
      <c r="AM472" s="31" t="str">
        <f>CONCATENATE(IF(D471&gt;0," * F01-12 for Age "&amp;D458&amp;" "&amp;D459&amp;" has a value greater than 0"&amp;CHAR(10),""),IF(E471&gt;0," * F01-12 for Age "&amp;D458&amp;" "&amp;E459&amp;" has a value greater than 0"&amp;CHAR(10),""),IF(D472&gt;0," * F01-13 for Age "&amp;D458&amp;" "&amp;D459&amp;" has a value greater than 0"&amp;CHAR(10),""),IF(E472&gt;0," * F01-13 for Age "&amp;D458&amp;" "&amp;E459&amp;" has a value greater than 0"&amp;CHAR(10),""),IF(D534&gt;0," * F01-14 for Age "&amp;D458&amp;" "&amp;D459&amp;" has a value greater than 0"&amp;CHAR(10),""),IF(E534&gt;0," * F01-14 for Age "&amp;D458&amp;" "&amp;E459&amp;" has a value greater than 0"&amp;CHAR(10),""),IF(D535&gt;0," * F01-15 for Age "&amp;D458&amp;" "&amp;D459&amp;" has a value greater than 0"&amp;CHAR(10),""),IF(E535&gt;0," * F01-15 for Age "&amp;D458&amp;" "&amp;E459&amp;" has a value greater than 0"&amp;CHAR(10),""),IF(D540&gt;0," * F01-20 for Age "&amp;D458&amp;" "&amp;D459&amp;" has a value greater than 0"&amp;CHAR(10),""),IF(E540&gt;0," * F01-20 for Age "&amp;D458&amp;" "&amp;E459&amp;" has a value greater than 0"&amp;CHAR(10),""),IF(D541&gt;0," * F01-21 for Age "&amp;D458&amp;" "&amp;D459&amp;" has a value greater than 0"&amp;CHAR(10),""),IF(E541&gt;0," * F01-21 for Age "&amp;D458&amp;" "&amp;E459&amp;" has a value greater than 0"&amp;CHAR(10),""),IF(D542&gt;0," * F01-22 for Age "&amp;D458&amp;" "&amp;D459&amp;" has a value greater than 0"&amp;CHAR(10),""),IF(E542&gt;0," * F01-22 for Age "&amp;D458&amp;" "&amp;E459&amp;" has a value greater than 0"&amp;CHAR(10),""),IF(D543&gt;0," * F01-23 for Age "&amp;D458&amp;" "&amp;D459&amp;" has a value greater than 0"&amp;CHAR(10),""),IF(E543&gt;0," * F01-23 for Age "&amp;D458&amp;" "&amp;E459&amp;" has a value greater than 0"&amp;CHAR(10),""),"")</f>
        <v/>
      </c>
      <c r="AN472" s="794"/>
      <c r="AO472" s="13">
        <v>33</v>
      </c>
      <c r="AP472" s="81"/>
      <c r="AQ472" s="82"/>
    </row>
    <row r="473" spans="1:43" s="83" customFormat="1" ht="25.9" thickBot="1" x14ac:dyDescent="0.8">
      <c r="A473" s="1111" t="s">
        <v>22</v>
      </c>
      <c r="B473" s="736" t="s">
        <v>138</v>
      </c>
      <c r="C473" s="740" t="s">
        <v>1098</v>
      </c>
      <c r="D473" s="723"/>
      <c r="E473" s="751"/>
      <c r="F473" s="762">
        <f t="shared" ref="F473:AI473" si="240">F46</f>
        <v>0</v>
      </c>
      <c r="G473" s="487">
        <f t="shared" si="240"/>
        <v>0</v>
      </c>
      <c r="H473" s="487">
        <f t="shared" si="240"/>
        <v>0</v>
      </c>
      <c r="I473" s="487">
        <f t="shared" si="240"/>
        <v>0</v>
      </c>
      <c r="J473" s="487">
        <f t="shared" si="240"/>
        <v>0</v>
      </c>
      <c r="K473" s="487">
        <f t="shared" si="240"/>
        <v>0</v>
      </c>
      <c r="L473" s="487">
        <f t="shared" si="240"/>
        <v>0</v>
      </c>
      <c r="M473" s="487">
        <f t="shared" si="240"/>
        <v>0</v>
      </c>
      <c r="N473" s="487">
        <f t="shared" si="240"/>
        <v>0</v>
      </c>
      <c r="O473" s="487">
        <f t="shared" si="240"/>
        <v>0</v>
      </c>
      <c r="P473" s="487">
        <f t="shared" si="240"/>
        <v>0</v>
      </c>
      <c r="Q473" s="487">
        <f t="shared" si="240"/>
        <v>0</v>
      </c>
      <c r="R473" s="487">
        <f t="shared" si="240"/>
        <v>0</v>
      </c>
      <c r="S473" s="487">
        <f t="shared" si="240"/>
        <v>0</v>
      </c>
      <c r="T473" s="487">
        <f t="shared" si="240"/>
        <v>0</v>
      </c>
      <c r="U473" s="487">
        <f t="shared" si="240"/>
        <v>0</v>
      </c>
      <c r="V473" s="487">
        <f t="shared" si="240"/>
        <v>0</v>
      </c>
      <c r="W473" s="487">
        <f t="shared" si="240"/>
        <v>0</v>
      </c>
      <c r="X473" s="487">
        <f t="shared" si="240"/>
        <v>0</v>
      </c>
      <c r="Y473" s="487">
        <f t="shared" si="240"/>
        <v>0</v>
      </c>
      <c r="Z473" s="487">
        <f t="shared" si="240"/>
        <v>0</v>
      </c>
      <c r="AA473" s="487">
        <f t="shared" si="240"/>
        <v>0</v>
      </c>
      <c r="AB473" s="487">
        <f t="shared" si="240"/>
        <v>0</v>
      </c>
      <c r="AC473" s="487">
        <f t="shared" si="240"/>
        <v>0</v>
      </c>
      <c r="AD473" s="487">
        <f t="shared" si="240"/>
        <v>0</v>
      </c>
      <c r="AE473" s="487">
        <f t="shared" si="240"/>
        <v>0</v>
      </c>
      <c r="AF473" s="487">
        <f t="shared" si="240"/>
        <v>0</v>
      </c>
      <c r="AG473" s="487">
        <f t="shared" si="240"/>
        <v>0</v>
      </c>
      <c r="AH473" s="487">
        <f t="shared" si="240"/>
        <v>0</v>
      </c>
      <c r="AI473" s="487">
        <f t="shared" si="240"/>
        <v>0</v>
      </c>
      <c r="AJ473" s="477">
        <f t="shared" si="230"/>
        <v>0</v>
      </c>
      <c r="AK473" s="545" t="str">
        <f>CONCATENATE(IF((D474+D475+D476+D477)&lt;&gt;D473," * "&amp;$A473&amp;" , "&amp;$B474&amp;" plus "&amp;$B475&amp;" plus "&amp;$B476&amp;" plus "&amp;$B477&amp;" For age "&amp;$D$20&amp;" "&amp;$D$21&amp;" should be equal to "&amp;$B473&amp;""&amp;CHAR(10),""),IF((E474+E475+E476+E477)&lt;&gt;E473," * "&amp;$A473&amp;" , "&amp;$B474&amp;" plus "&amp;$B475&amp;" plus "&amp;$B476&amp;" plus "&amp;$B477&amp;" For age "&amp;$D$20&amp;" "&amp;$E$21&amp;" should be equal to "&amp;$B473&amp;""&amp;CHAR(10),""),IF((F474+F475+F476+F477)&lt;&gt;F473," * "&amp;$A473&amp;" , "&amp;$B474&amp;" plus "&amp;$B475&amp;" plus "&amp;$B476&amp;" plus "&amp;$B477&amp;" For age "&amp;$F$20&amp;" "&amp;$F$21&amp;" should be equal to "&amp;$B473&amp;""&amp;CHAR(10),""),IF((G474+G475+G476+G477)&lt;&gt;G473," * "&amp;$A473&amp;" , "&amp;$B474&amp;" plus "&amp;$B475&amp;" plus "&amp;$B476&amp;" plus "&amp;$B477&amp;" For age "&amp;$F$20&amp;" "&amp;$G$21&amp;" should be equal to "&amp;$B473&amp;""&amp;CHAR(10),""),IF((H474+H475+H476+H477)&lt;&gt;H473," * "&amp;$A473&amp;" , "&amp;$B474&amp;" plus "&amp;$B475&amp;" plus "&amp;$B476&amp;" plus "&amp;$B477&amp;" For age "&amp;$H$20&amp;" "&amp;$H$21&amp;" should be equal to "&amp;$B473&amp;""&amp;CHAR(10),""),IF((I474+I475+I476+I477)&lt;&gt;I473," * "&amp;$A473&amp;" , "&amp;$B474&amp;" plus "&amp;$B475&amp;" plus "&amp;$B476&amp;" plus "&amp;$B477&amp;" For age "&amp;$H$20&amp;" "&amp;$I$21&amp;" should be equal to "&amp;$B473&amp;""&amp;CHAR(10),""),IF((J474+J475+J476+J477)&lt;&gt;J473," * "&amp;$A473&amp;" , "&amp;$B474&amp;" plus "&amp;$B475&amp;" plus "&amp;$B476&amp;" plus "&amp;$B477&amp;" For age "&amp;$J$20&amp;" "&amp;$J$21&amp;" should be equal to "&amp;$B473&amp;""&amp;CHAR(10),""),IF((K474+K475+K476+K477)&lt;&gt;K473," * "&amp;$A473&amp;" , "&amp;$B474&amp;" plus "&amp;$B475&amp;" plus "&amp;$B476&amp;" plus "&amp;$B477&amp;" For age "&amp;$J$20&amp;" "&amp;$K$21&amp;" should be equal to "&amp;$B473&amp;""&amp;CHAR(10),""),IF((L474+L475+L476+L477)&lt;&gt;L473," * "&amp;$A473&amp;" , "&amp;$B474&amp;" plus "&amp;$B475&amp;" plus "&amp;$B476&amp;" plus "&amp;$B477&amp;" For age "&amp;$L$20&amp;" "&amp;$L$21&amp;" should be equal to "&amp;$B473&amp;""&amp;CHAR(10),""),IF((M474+M475+M476+M477)&lt;&gt;M473," * "&amp;$A473&amp;" , "&amp;$B474&amp;" plus "&amp;$B475&amp;" plus "&amp;$B476&amp;" plus "&amp;$B477&amp;" For age "&amp;$L$20&amp;" "&amp;$M$21&amp;" should be equal to "&amp;$B473&amp;""&amp;CHAR(10),""),IF((N474+N475+N476+N477)&lt;&gt;N473," * "&amp;$A473&amp;" , "&amp;$B474&amp;" plus "&amp;$B475&amp;" plus "&amp;$B476&amp;" plus "&amp;$B477&amp;" For age "&amp;$N$20&amp;" "&amp;$N$21&amp;" should be equal to "&amp;$B473&amp;""&amp;CHAR(10),""),IF((O474+O475+O476+O477)&lt;&gt;O473," * "&amp;$A473&amp;" , "&amp;$B474&amp;" plus "&amp;$B475&amp;" plus "&amp;$B476&amp;" plus "&amp;$B477&amp;" For age "&amp;$N$20&amp;" "&amp;$O$21&amp;" should be equal to "&amp;$B473&amp;""&amp;CHAR(10),""),IF((P474+P475+P476+P477)&lt;&gt;P473," * "&amp;$A473&amp;" , "&amp;$B474&amp;" plus "&amp;$B475&amp;" plus "&amp;$B476&amp;" plus "&amp;$B477&amp;" For age "&amp;$P$20&amp;" "&amp;$P$21&amp;" should be equal to "&amp;$B473&amp;""&amp;CHAR(10),""),IF((Q474+Q475+Q476+Q477)&lt;&gt;Q473," * "&amp;$A473&amp;" , "&amp;$B474&amp;" plus "&amp;$B475&amp;" plus "&amp;$B476&amp;" plus "&amp;$B477&amp;" For age "&amp;$P$20&amp;" "&amp;$Q$21&amp;" should be equal to "&amp;$B473&amp;""&amp;CHAR(10),""),IF((R474+R475+R476+R477)&lt;&gt;R473," * "&amp;$A473&amp;" , "&amp;$B474&amp;" plus "&amp;$B475&amp;" plus "&amp;$B476&amp;" plus "&amp;$B477&amp;" For age "&amp;$R$20&amp;" "&amp;$R$21&amp;" should be equal to "&amp;$B473&amp;""&amp;CHAR(10),""),IF((S474+S475+S476+S477)&lt;&gt;S473," * "&amp;$A473&amp;" , "&amp;$B474&amp;" plus "&amp;$B475&amp;" plus "&amp;$B476&amp;" plus "&amp;$B477&amp;" For age "&amp;$R$20&amp;" "&amp;$S$21&amp;" should be equal to "&amp;$B473&amp;""&amp;CHAR(10),""),IF((T474+T475+T476+T477)&lt;&gt;T473," * "&amp;$A473&amp;" , "&amp;$B474&amp;" plus "&amp;$B475&amp;" plus "&amp;$B476&amp;" plus "&amp;$B477&amp;" For age "&amp;$T$20&amp;" "&amp;$T$21&amp;" should be equal to "&amp;$B473&amp;""&amp;CHAR(10),""),IF((U474+U475+U476+U477)&lt;&gt;U473," * "&amp;$A473&amp;" , "&amp;$B474&amp;" plus "&amp;$B475&amp;" plus "&amp;$B476&amp;" plus "&amp;$B477&amp;" For age "&amp;$T$20&amp;" "&amp;$U$21&amp;" should be equal to "&amp;$B473&amp;""&amp;CHAR(10),""),IF((V474+V475+V476+V477)&lt;&gt;V473," * "&amp;$A473&amp;" , "&amp;$B474&amp;" plus "&amp;$B475&amp;" plus "&amp;$B476&amp;" plus "&amp;$B477&amp;" For age "&amp;$V$20&amp;" "&amp;$V$21&amp;" should be equal to "&amp;$B473&amp;""&amp;CHAR(10),""),IF((W474+W475+W476+W477)&lt;&gt;W473," * "&amp;$A473&amp;" , "&amp;$B474&amp;" plus "&amp;$B475&amp;" plus "&amp;$B476&amp;" plus "&amp;$B477&amp;" For age "&amp;$V$20&amp;" "&amp;$W$21&amp;" should be equal to "&amp;$B473&amp;""&amp;CHAR(10),""),IF((X474+X475+X476+X477)&lt;&gt;X473," * "&amp;$A473&amp;" , "&amp;$B474&amp;" plus "&amp;$B475&amp;" plus "&amp;$B476&amp;" plus "&amp;$B477&amp;" For age "&amp;$X$20&amp;" "&amp;$X$21&amp;" should be equal to "&amp;$B473&amp;""&amp;CHAR(10),""),IF((Y474+Y475+Y476+Y477)&lt;&gt;Y473," * "&amp;$A473&amp;" , "&amp;$B474&amp;" plus "&amp;$B475&amp;" plus "&amp;$B476&amp;" plus "&amp;$B477&amp;" For age "&amp;$X$20&amp;" "&amp;$Y$21&amp;" should be equal to "&amp;$B473&amp;""&amp;CHAR(10),""),IF((Z474+Z475+Z476+Z477)&lt;&gt;Z473," * "&amp;$A473&amp;" , "&amp;$B474&amp;" plus "&amp;$B475&amp;" plus "&amp;$B476&amp;" plus "&amp;$B477&amp;" For age "&amp;$Z$20&amp;" "&amp;$Z$21&amp;" should be equal to "&amp;$B473&amp;""&amp;CHAR(10),""),IF((AA474+AA475+AA476+AA477)&lt;&gt;AA473," * "&amp;$A473&amp;" , "&amp;$B474&amp;" plus "&amp;$B475&amp;" plus "&amp;$B476&amp;" plus "&amp;$B477&amp;" For age "&amp;$Z$20&amp;" "&amp;$AA$21&amp;" should be equal to "&amp;$B473&amp;""&amp;CHAR(10),""))</f>
        <v/>
      </c>
      <c r="AL473" s="1396"/>
      <c r="AM473" s="31"/>
      <c r="AN473" s="794"/>
      <c r="AO473" s="13">
        <v>31</v>
      </c>
      <c r="AP473" s="81"/>
      <c r="AQ473" s="82"/>
    </row>
    <row r="474" spans="1:43" s="83" customFormat="1" ht="25.5" x14ac:dyDescent="0.75">
      <c r="A474" s="1112"/>
      <c r="B474" s="737" t="s">
        <v>1077</v>
      </c>
      <c r="C474" s="741" t="s">
        <v>1099</v>
      </c>
      <c r="D474" s="625"/>
      <c r="E474" s="752"/>
      <c r="F474" s="550"/>
      <c r="G474" s="547"/>
      <c r="H474" s="547"/>
      <c r="I474" s="547"/>
      <c r="J474" s="547"/>
      <c r="K474" s="547"/>
      <c r="L474" s="547"/>
      <c r="M474" s="547"/>
      <c r="N474" s="547"/>
      <c r="O474" s="547"/>
      <c r="P474" s="547"/>
      <c r="Q474" s="547"/>
      <c r="R474" s="547"/>
      <c r="S474" s="547"/>
      <c r="T474" s="547"/>
      <c r="U474" s="547"/>
      <c r="V474" s="547"/>
      <c r="W474" s="547"/>
      <c r="X474" s="547"/>
      <c r="Y474" s="547"/>
      <c r="Z474" s="489">
        <f t="shared" ref="Z474:Z477" si="241">SUM(AB474,AD474,AF474,AH474)</f>
        <v>0</v>
      </c>
      <c r="AA474" s="489">
        <f t="shared" ref="AA474:AA477" si="242">SUM(AC474,AE474,AG474,AI474)</f>
        <v>0</v>
      </c>
      <c r="AB474" s="547"/>
      <c r="AC474" s="547"/>
      <c r="AD474" s="547"/>
      <c r="AE474" s="547"/>
      <c r="AF474" s="547"/>
      <c r="AG474" s="547"/>
      <c r="AH474" s="547"/>
      <c r="AI474" s="547"/>
      <c r="AJ474" s="478">
        <f t="shared" si="230"/>
        <v>0</v>
      </c>
      <c r="AK474" s="1114" t="str">
        <f>CONCATENATE(IF(D475&gt;D474," * Positive F01-13 for Age "&amp;D461&amp;" "&amp;D462&amp;" is more than Tested F01-12"&amp;CHAR(10),""),IF(E475&gt;E474," * Positive F01-13 for Age "&amp;D461&amp;" "&amp;E462&amp;" is more than Tested F01-12"&amp;CHAR(10),""),IF(F475&gt;F474," * Positive F01-13 for Age "&amp;F461&amp;" "&amp;F462&amp;" is more than Tested F01-12"&amp;CHAR(10),""),IF(G475&gt;G474," * Positive F01-13 for Age "&amp;F461&amp;" "&amp;G462&amp;" is more than Tested F01-12"&amp;CHAR(10),""),IF(H475&gt;H474," * Positive F01-13 for Age "&amp;H461&amp;" "&amp;H462&amp;" is more than Tested F01-12"&amp;CHAR(10),""),IF(I475&gt;I474," * Positive F01-13 for Age "&amp;H461&amp;" "&amp;I462&amp;" is more than Tested F01-12"&amp;CHAR(10),""),IF(J475&gt;J474," * Positive F01-13 for Age "&amp;J461&amp;" "&amp;J462&amp;" is more than Tested F01-12"&amp;CHAR(10),""),IF(K475&gt;K474," * Positive F01-13 for Age "&amp;J461&amp;" "&amp;K462&amp;" is more than Tested F01-12"&amp;CHAR(10),""),IF(L475&gt;L474," * Positive F01-13 for Age "&amp;L461&amp;" "&amp;L462&amp;" is more than Tested F01-12"&amp;CHAR(10),""),IF(M475&gt;M474," * Positive F01-13 for Age "&amp;L461&amp;" "&amp;M462&amp;" is more than Tested F01-12"&amp;CHAR(10),""),IF(N475&gt;N474," * Positive F01-13 for Age "&amp;N461&amp;" "&amp;N462&amp;" is more than Tested F01-12"&amp;CHAR(10),""),IF(O475&gt;O474," * Positive F01-13 for Age "&amp;N461&amp;" "&amp;O462&amp;" is more than Tested F01-12"&amp;CHAR(10),""),IF(P475&gt;P474," * Positive F01-13 for Age "&amp;P461&amp;" "&amp;P462&amp;" is more than Tested F01-12"&amp;CHAR(10),""),IF(Q475&gt;Q474," * Positive F01-13 for Age "&amp;P461&amp;" "&amp;Q462&amp;" is more than Tested F01-12"&amp;CHAR(10),""),IF(R475&gt;R474," * Positive F01-13 for Age "&amp;R461&amp;" "&amp;R462&amp;" is more than Tested F01-12"&amp;CHAR(10),""),IF(S475&gt;S474," * Positive F01-13 for Age "&amp;R461&amp;" "&amp;S462&amp;" is more than Tested F01-12"&amp;CHAR(10),""),IF(T475&gt;T474," * Positive F01-13 for Age "&amp;T461&amp;" "&amp;T462&amp;" is more than Tested F01-12"&amp;CHAR(10),""),IF(U475&gt;U474," * Positive F01-13 for Age "&amp;T461&amp;" "&amp;U462&amp;" is more than Tested F01-12"&amp;CHAR(10),""),IF(V475&gt;V474," * Positive F01-13 for Age "&amp;V461&amp;" "&amp;V462&amp;" is more than Tested F01-12"&amp;CHAR(10),""),IF(W475&gt;W474," * Positive F01-13 for Age "&amp;V461&amp;" "&amp;W462&amp;" is more than Tested F01-12"&amp;CHAR(10),""),IF(X475&gt;X474," * Positive F01-13 for Age "&amp;X461&amp;" "&amp;X462&amp;" is more than Tested F01-12"&amp;CHAR(10),""),IF(Y475&gt;Y474," * Positive F01-13 for Age "&amp;X461&amp;" "&amp;Y462&amp;" is more than Tested F01-12"&amp;CHAR(10),""),IF(Z475&gt;Z474," * Positive F01-13 for Age "&amp;Z461&amp;" "&amp;Z462&amp;" is more than Tested F01-12"&amp;CHAR(10),""),IF(AA475&gt;AA474," * Positive F01-13 for Age "&amp;Z461&amp;" "&amp;AA462&amp;" is more than Tested F01-12"&amp;CHAR(10),""))</f>
        <v/>
      </c>
      <c r="AL474" s="1396"/>
      <c r="AM474" s="31" t="str">
        <f>CONCATENATE(IF(AND(IFERROR((AJ475*100)/AJ474,0)&gt;10,AJ475&gt;5)," * This facility has a high positivity rate for Index Testing. Kindly confirm if this is the true reflection"&amp;CHAR(10),""),"")</f>
        <v/>
      </c>
      <c r="AN474" s="794"/>
      <c r="AO474" s="13">
        <v>32</v>
      </c>
      <c r="AP474" s="81"/>
      <c r="AQ474" s="82"/>
    </row>
    <row r="475" spans="1:43" s="83" customFormat="1" ht="25.5" x14ac:dyDescent="0.75">
      <c r="A475" s="1112"/>
      <c r="B475" s="737" t="s">
        <v>1058</v>
      </c>
      <c r="C475" s="741" t="s">
        <v>1100</v>
      </c>
      <c r="D475" s="725"/>
      <c r="E475" s="753"/>
      <c r="F475" s="551"/>
      <c r="G475" s="481"/>
      <c r="H475" s="481"/>
      <c r="I475" s="481"/>
      <c r="J475" s="481"/>
      <c r="K475" s="481"/>
      <c r="L475" s="481"/>
      <c r="M475" s="481"/>
      <c r="N475" s="481"/>
      <c r="O475" s="481"/>
      <c r="P475" s="481"/>
      <c r="Q475" s="481"/>
      <c r="R475" s="481"/>
      <c r="S475" s="481"/>
      <c r="T475" s="481"/>
      <c r="U475" s="481"/>
      <c r="V475" s="481"/>
      <c r="W475" s="481"/>
      <c r="X475" s="481"/>
      <c r="Y475" s="481"/>
      <c r="Z475" s="489">
        <f t="shared" si="241"/>
        <v>0</v>
      </c>
      <c r="AA475" s="489">
        <f t="shared" si="242"/>
        <v>0</v>
      </c>
      <c r="AB475" s="481"/>
      <c r="AC475" s="481"/>
      <c r="AD475" s="481"/>
      <c r="AE475" s="481"/>
      <c r="AF475" s="481"/>
      <c r="AG475" s="481"/>
      <c r="AH475" s="481"/>
      <c r="AI475" s="481"/>
      <c r="AJ475" s="479">
        <f t="shared" si="230"/>
        <v>0</v>
      </c>
      <c r="AK475" s="1114"/>
      <c r="AL475" s="1396"/>
      <c r="AM475" s="31" t="e">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0"&amp;CHAR(10),""),IF(#REF!&gt;0," * F01-14 for Age "&amp;D461&amp;" "&amp;D462&amp;" has a value greater than 0"&amp;CHAR(10),""),IF(#REF!&gt;0,"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#REF!</v>
      </c>
      <c r="AN475" s="794"/>
      <c r="AO475" s="13">
        <v>33</v>
      </c>
      <c r="AP475" s="81"/>
      <c r="AQ475" s="82"/>
    </row>
    <row r="476" spans="1:43" s="83" customFormat="1" ht="25.5" x14ac:dyDescent="0.75">
      <c r="A476" s="1112"/>
      <c r="B476" s="737" t="s">
        <v>1060</v>
      </c>
      <c r="C476" s="741" t="s">
        <v>1101</v>
      </c>
      <c r="D476" s="725"/>
      <c r="E476" s="753"/>
      <c r="F476" s="552"/>
      <c r="G476" s="488"/>
      <c r="H476" s="488"/>
      <c r="I476" s="488"/>
      <c r="J476" s="488"/>
      <c r="K476" s="488"/>
      <c r="L476" s="488"/>
      <c r="M476" s="488"/>
      <c r="N476" s="488"/>
      <c r="O476" s="488"/>
      <c r="P476" s="488"/>
      <c r="Q476" s="488"/>
      <c r="R476" s="488"/>
      <c r="S476" s="488"/>
      <c r="T476" s="488"/>
      <c r="U476" s="488"/>
      <c r="V476" s="488"/>
      <c r="W476" s="488"/>
      <c r="X476" s="488"/>
      <c r="Y476" s="488"/>
      <c r="Z476" s="489">
        <f t="shared" si="241"/>
        <v>0</v>
      </c>
      <c r="AA476" s="489">
        <f t="shared" si="242"/>
        <v>0</v>
      </c>
      <c r="AB476" s="488"/>
      <c r="AC476" s="488"/>
      <c r="AD476" s="488"/>
      <c r="AE476" s="488"/>
      <c r="AF476" s="488"/>
      <c r="AG476" s="488"/>
      <c r="AH476" s="488"/>
      <c r="AI476" s="488"/>
      <c r="AJ476" s="479">
        <f t="shared" si="230"/>
        <v>0</v>
      </c>
      <c r="AK476" s="470"/>
      <c r="AL476" s="1396"/>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94"/>
      <c r="AO476" s="13">
        <v>33</v>
      </c>
      <c r="AP476" s="81"/>
      <c r="AQ476" s="82"/>
    </row>
    <row r="477" spans="1:43" s="83" customFormat="1" ht="25.9" thickBot="1" x14ac:dyDescent="0.8">
      <c r="A477" s="1113"/>
      <c r="B477" s="738" t="s">
        <v>1062</v>
      </c>
      <c r="C477" s="742" t="s">
        <v>1102</v>
      </c>
      <c r="D477" s="726"/>
      <c r="E477" s="754"/>
      <c r="F477" s="758"/>
      <c r="G477" s="716"/>
      <c r="H477" s="716"/>
      <c r="I477" s="716"/>
      <c r="J477" s="716"/>
      <c r="K477" s="716"/>
      <c r="L477" s="716"/>
      <c r="M477" s="716"/>
      <c r="N477" s="716"/>
      <c r="O477" s="716"/>
      <c r="P477" s="716"/>
      <c r="Q477" s="716"/>
      <c r="R477" s="716"/>
      <c r="S477" s="716"/>
      <c r="T477" s="716"/>
      <c r="U477" s="716"/>
      <c r="V477" s="716"/>
      <c r="W477" s="716"/>
      <c r="X477" s="716"/>
      <c r="Y477" s="716"/>
      <c r="Z477" s="489">
        <f t="shared" si="241"/>
        <v>0</v>
      </c>
      <c r="AA477" s="489">
        <f t="shared" si="242"/>
        <v>0</v>
      </c>
      <c r="AB477" s="716"/>
      <c r="AC477" s="716"/>
      <c r="AD477" s="716"/>
      <c r="AE477" s="716"/>
      <c r="AF477" s="716"/>
      <c r="AG477" s="716"/>
      <c r="AH477" s="716"/>
      <c r="AI477" s="716"/>
      <c r="AJ477" s="480">
        <f t="shared" ref="AJ477:AJ496" si="243">SUM(D477:AA477)</f>
        <v>0</v>
      </c>
      <c r="AK477" s="470"/>
      <c r="AL477" s="1396"/>
      <c r="AM477" s="31" t="str">
        <f>CONCATENATE(IF(D476&gt;0," * F01-12 for Age "&amp;D463&amp;" "&amp;D464&amp;" has a value greater than 0"&amp;CHAR(10),""),IF(E476&gt;0," * F01-12 for Age "&amp;D463&amp;" "&amp;E464&amp;" has a value greater than 0"&amp;CHAR(10),""),IF(D477&gt;0," * F01-13 for Age "&amp;D463&amp;" "&amp;D464&amp;" has a value greater than 0"&amp;CHAR(10),""),IF(E477&gt;0," * F01-13 for Age "&amp;D463&amp;" "&amp;E464&amp;" has a value greater than 0"&amp;CHAR(10),""),IF(D539&gt;0," * F01-14 for Age "&amp;D463&amp;" "&amp;D464&amp;" has a value greater than 0"&amp;CHAR(10),""),IF(E539&gt;0," * F01-14 for Age "&amp;D463&amp;" "&amp;E464&amp;" has a value greater than 0"&amp;CHAR(10),""),IF(D540&gt;0," * F01-15 for Age "&amp;D463&amp;" "&amp;D464&amp;" has a value greater than 0"&amp;CHAR(10),""),IF(E540&gt;0," * F01-15 for Age "&amp;D463&amp;" "&amp;E464&amp;" has a value greater than 0"&amp;CHAR(10),""),IF(D545&gt;0," * F01-20 for Age "&amp;D463&amp;" "&amp;D464&amp;" has a value greater than 0"&amp;CHAR(10),""),IF(E545&gt;0," * F01-20 for Age "&amp;D463&amp;" "&amp;E464&amp;" has a value greater than 0"&amp;CHAR(10),""),IF(D546&gt;0," * F01-21 for Age "&amp;D463&amp;" "&amp;D464&amp;" has a value greater than 0"&amp;CHAR(10),""),IF(E546&gt;0," * F01-21 for Age "&amp;D463&amp;" "&amp;E464&amp;" has a value greater than 0"&amp;CHAR(10),""),IF(D547&gt;0," * F01-22 for Age "&amp;D463&amp;" "&amp;D464&amp;" has a value greater than 0"&amp;CHAR(10),""),IF(E547&gt;0," * F01-22 for Age "&amp;D463&amp;" "&amp;E464&amp;" has a value greater than 0"&amp;CHAR(10),""),IF(D548&gt;0," * F01-23 for Age "&amp;D463&amp;" "&amp;D464&amp;" has a value greater than 0"&amp;CHAR(10),""),IF(E548&gt;0," * F01-23 for Age "&amp;D463&amp;" "&amp;E464&amp;" has a value greater than 0"&amp;CHAR(10),""),"")</f>
        <v/>
      </c>
      <c r="AN477" s="794"/>
      <c r="AO477" s="13">
        <v>33</v>
      </c>
      <c r="AP477" s="81"/>
      <c r="AQ477" s="82"/>
    </row>
    <row r="478" spans="1:43" s="83" customFormat="1" ht="25.5" x14ac:dyDescent="0.75">
      <c r="A478" s="1111" t="s">
        <v>18</v>
      </c>
      <c r="B478" s="736" t="s">
        <v>138</v>
      </c>
      <c r="C478" s="740" t="s">
        <v>1103</v>
      </c>
      <c r="D478" s="723"/>
      <c r="E478" s="751"/>
      <c r="F478" s="735">
        <f t="shared" ref="F478:AI478" si="244">F48</f>
        <v>0</v>
      </c>
      <c r="G478" s="729">
        <f t="shared" si="244"/>
        <v>0</v>
      </c>
      <c r="H478" s="729">
        <f t="shared" si="244"/>
        <v>0</v>
      </c>
      <c r="I478" s="729">
        <f t="shared" si="244"/>
        <v>0</v>
      </c>
      <c r="J478" s="729">
        <f t="shared" si="244"/>
        <v>0</v>
      </c>
      <c r="K478" s="729">
        <f t="shared" si="244"/>
        <v>0</v>
      </c>
      <c r="L478" s="729">
        <f t="shared" si="244"/>
        <v>0</v>
      </c>
      <c r="M478" s="729">
        <f t="shared" si="244"/>
        <v>0</v>
      </c>
      <c r="N478" s="729">
        <f t="shared" si="244"/>
        <v>0</v>
      </c>
      <c r="O478" s="729">
        <f t="shared" si="244"/>
        <v>0</v>
      </c>
      <c r="P478" s="729">
        <f t="shared" si="244"/>
        <v>0</v>
      </c>
      <c r="Q478" s="729">
        <f t="shared" si="244"/>
        <v>0</v>
      </c>
      <c r="R478" s="729">
        <f t="shared" si="244"/>
        <v>0</v>
      </c>
      <c r="S478" s="729">
        <f t="shared" si="244"/>
        <v>0</v>
      </c>
      <c r="T478" s="729">
        <f t="shared" si="244"/>
        <v>0</v>
      </c>
      <c r="U478" s="729">
        <f t="shared" si="244"/>
        <v>0</v>
      </c>
      <c r="V478" s="729">
        <f t="shared" si="244"/>
        <v>0</v>
      </c>
      <c r="W478" s="729">
        <f t="shared" si="244"/>
        <v>0</v>
      </c>
      <c r="X478" s="729">
        <f t="shared" si="244"/>
        <v>0</v>
      </c>
      <c r="Y478" s="729">
        <f t="shared" si="244"/>
        <v>0</v>
      </c>
      <c r="Z478" s="729">
        <f t="shared" si="244"/>
        <v>0</v>
      </c>
      <c r="AA478" s="730">
        <f t="shared" si="244"/>
        <v>0</v>
      </c>
      <c r="AB478" s="729">
        <f t="shared" si="244"/>
        <v>0</v>
      </c>
      <c r="AC478" s="730">
        <f t="shared" si="244"/>
        <v>0</v>
      </c>
      <c r="AD478" s="729">
        <f t="shared" si="244"/>
        <v>0</v>
      </c>
      <c r="AE478" s="730">
        <f t="shared" si="244"/>
        <v>0</v>
      </c>
      <c r="AF478" s="729">
        <f t="shared" si="244"/>
        <v>0</v>
      </c>
      <c r="AG478" s="730">
        <f t="shared" si="244"/>
        <v>0</v>
      </c>
      <c r="AH478" s="729">
        <f t="shared" si="244"/>
        <v>0</v>
      </c>
      <c r="AI478" s="730">
        <f t="shared" si="244"/>
        <v>0</v>
      </c>
      <c r="AJ478" s="477">
        <f t="shared" si="243"/>
        <v>0</v>
      </c>
      <c r="AK478" s="545" t="str">
        <f>CONCATENATE(IF((D479+D480+D481+D482)&lt;&gt;D478," * "&amp;$A478&amp;" , "&amp;$B479&amp;" plus "&amp;$B480&amp;" plus "&amp;$B481&amp;" plus "&amp;$B482&amp;" For age "&amp;$D$20&amp;" "&amp;$D$21&amp;" should be equal to "&amp;$B478&amp;""&amp;CHAR(10),""),IF((E479+E480+E481+E482)&lt;&gt;E478," * "&amp;$A478&amp;" , "&amp;$B479&amp;" plus "&amp;$B480&amp;" plus "&amp;$B481&amp;" plus "&amp;$B482&amp;" For age "&amp;$D$20&amp;" "&amp;$E$21&amp;" should be equal to "&amp;$B478&amp;""&amp;CHAR(10),""),IF((F479+F480+F481+F482)&lt;&gt;F478," * "&amp;$A478&amp;" , "&amp;$B479&amp;" plus "&amp;$B480&amp;" plus "&amp;$B481&amp;" plus "&amp;$B482&amp;" For age "&amp;$F$20&amp;" "&amp;$F$21&amp;" should be equal to "&amp;$B478&amp;""&amp;CHAR(10),""),IF((G479+G480+G481+G482)&lt;&gt;G478," * "&amp;$A478&amp;" , "&amp;$B479&amp;" plus "&amp;$B480&amp;" plus "&amp;$B481&amp;" plus "&amp;$B482&amp;" For age "&amp;$F$20&amp;" "&amp;$G$21&amp;" should be equal to "&amp;$B478&amp;""&amp;CHAR(10),""),IF((H479+H480+H481+H482)&lt;&gt;H478," * "&amp;$A478&amp;" , "&amp;$B479&amp;" plus "&amp;$B480&amp;" plus "&amp;$B481&amp;" plus "&amp;$B482&amp;" For age "&amp;$H$20&amp;" "&amp;$H$21&amp;" should be equal to "&amp;$B478&amp;""&amp;CHAR(10),""),IF((I479+I480+I481+I482)&lt;&gt;I478," * "&amp;$A478&amp;" , "&amp;$B479&amp;" plus "&amp;$B480&amp;" plus "&amp;$B481&amp;" plus "&amp;$B482&amp;" For age "&amp;$H$20&amp;" "&amp;$I$21&amp;" should be equal to "&amp;$B478&amp;""&amp;CHAR(10),""),IF((J479+J480+J481+J482)&lt;&gt;J478," * "&amp;$A478&amp;" , "&amp;$B479&amp;" plus "&amp;$B480&amp;" plus "&amp;$B481&amp;" plus "&amp;$B482&amp;" For age "&amp;$J$20&amp;" "&amp;$J$21&amp;" should be equal to "&amp;$B478&amp;""&amp;CHAR(10),""),IF((K479+K480+K481+K482)&lt;&gt;K478," * "&amp;$A478&amp;" , "&amp;$B479&amp;" plus "&amp;$B480&amp;" plus "&amp;$B481&amp;" plus "&amp;$B482&amp;" For age "&amp;$J$20&amp;" "&amp;$K$21&amp;" should be equal to "&amp;$B478&amp;""&amp;CHAR(10),""),IF((L479+L480+L481+L482)&lt;&gt;L478," * "&amp;$A478&amp;" , "&amp;$B479&amp;" plus "&amp;$B480&amp;" plus "&amp;$B481&amp;" plus "&amp;$B482&amp;" For age "&amp;$L$20&amp;" "&amp;$L$21&amp;" should be equal to "&amp;$B478&amp;""&amp;CHAR(10),""),IF((M479+M480+M481+M482)&lt;&gt;M478," * "&amp;$A478&amp;" , "&amp;$B479&amp;" plus "&amp;$B480&amp;" plus "&amp;$B481&amp;" plus "&amp;$B482&amp;" For age "&amp;$L$20&amp;" "&amp;$M$21&amp;" should be equal to "&amp;$B478&amp;""&amp;CHAR(10),""),IF((N479+N480+N481+N482)&lt;&gt;N478," * "&amp;$A478&amp;" , "&amp;$B479&amp;" plus "&amp;$B480&amp;" plus "&amp;$B481&amp;" plus "&amp;$B482&amp;" For age "&amp;$N$20&amp;" "&amp;$N$21&amp;" should be equal to "&amp;$B478&amp;""&amp;CHAR(10),""),IF((O479+O480+O481+O482)&lt;&gt;O478," * "&amp;$A478&amp;" , "&amp;$B479&amp;" plus "&amp;$B480&amp;" plus "&amp;$B481&amp;" plus "&amp;$B482&amp;" For age "&amp;$N$20&amp;" "&amp;$O$21&amp;" should be equal to "&amp;$B478&amp;""&amp;CHAR(10),""),IF((P479+P480+P481+P482)&lt;&gt;P478," * "&amp;$A478&amp;" , "&amp;$B479&amp;" plus "&amp;$B480&amp;" plus "&amp;$B481&amp;" plus "&amp;$B482&amp;" For age "&amp;$P$20&amp;" "&amp;$P$21&amp;" should be equal to "&amp;$B478&amp;""&amp;CHAR(10),""),IF((Q479+Q480+Q481+Q482)&lt;&gt;Q478," * "&amp;$A478&amp;" , "&amp;$B479&amp;" plus "&amp;$B480&amp;" plus "&amp;$B481&amp;" plus "&amp;$B482&amp;" For age "&amp;$P$20&amp;" "&amp;$Q$21&amp;" should be equal to "&amp;$B478&amp;""&amp;CHAR(10),""),IF((R479+R480+R481+R482)&lt;&gt;R478," * "&amp;$A478&amp;" , "&amp;$B479&amp;" plus "&amp;$B480&amp;" plus "&amp;$B481&amp;" plus "&amp;$B482&amp;" For age "&amp;$R$20&amp;" "&amp;$R$21&amp;" should be equal to "&amp;$B478&amp;""&amp;CHAR(10),""),IF((S479+S480+S481+S482)&lt;&gt;S478," * "&amp;$A478&amp;" , "&amp;$B479&amp;" plus "&amp;$B480&amp;" plus "&amp;$B481&amp;" plus "&amp;$B482&amp;" For age "&amp;$R$20&amp;" "&amp;$S$21&amp;" should be equal to "&amp;$B478&amp;""&amp;CHAR(10),""),IF((T479+T480+T481+T482)&lt;&gt;T478," * "&amp;$A478&amp;" , "&amp;$B479&amp;" plus "&amp;$B480&amp;" plus "&amp;$B481&amp;" plus "&amp;$B482&amp;" For age "&amp;$T$20&amp;" "&amp;$T$21&amp;" should be equal to "&amp;$B478&amp;""&amp;CHAR(10),""),IF((U479+U480+U481+U482)&lt;&gt;U478," * "&amp;$A478&amp;" , "&amp;$B479&amp;" plus "&amp;$B480&amp;" plus "&amp;$B481&amp;" plus "&amp;$B482&amp;" For age "&amp;$T$20&amp;" "&amp;$U$21&amp;" should be equal to "&amp;$B478&amp;""&amp;CHAR(10),""),IF((V479+V480+V481+V482)&lt;&gt;V478," * "&amp;$A478&amp;" , "&amp;$B479&amp;" plus "&amp;$B480&amp;" plus "&amp;$B481&amp;" plus "&amp;$B482&amp;" For age "&amp;$V$20&amp;" "&amp;$V$21&amp;" should be equal to "&amp;$B478&amp;""&amp;CHAR(10),""),IF((W479+W480+W481+W482)&lt;&gt;W478," * "&amp;$A478&amp;" , "&amp;$B479&amp;" plus "&amp;$B480&amp;" plus "&amp;$B481&amp;" plus "&amp;$B482&amp;" For age "&amp;$V$20&amp;" "&amp;$W$21&amp;" should be equal to "&amp;$B478&amp;""&amp;CHAR(10),""),IF((X479+X480+X481+X482)&lt;&gt;X478," * "&amp;$A478&amp;" , "&amp;$B479&amp;" plus "&amp;$B480&amp;" plus "&amp;$B481&amp;" plus "&amp;$B482&amp;" For age "&amp;$X$20&amp;" "&amp;$X$21&amp;" should be equal to "&amp;$B478&amp;""&amp;CHAR(10),""),IF((Y479+Y480+Y481+Y482)&lt;&gt;Y478," * "&amp;$A478&amp;" , "&amp;$B479&amp;" plus "&amp;$B480&amp;" plus "&amp;$B481&amp;" plus "&amp;$B482&amp;" For age "&amp;$X$20&amp;" "&amp;$Y$21&amp;" should be equal to "&amp;$B478&amp;""&amp;CHAR(10),""),IF((Z479+Z480+Z481+Z482)&lt;&gt;Z478," * "&amp;$A478&amp;" , "&amp;$B479&amp;" plus "&amp;$B480&amp;" plus "&amp;$B481&amp;" plus "&amp;$B482&amp;" For age "&amp;$Z$20&amp;" "&amp;$Z$21&amp;" should be equal to "&amp;$B478&amp;""&amp;CHAR(10),""),IF((AA479+AA480+AA481+AA482)&lt;&gt;AA478," * "&amp;$A478&amp;" , "&amp;$B479&amp;" plus "&amp;$B480&amp;" plus "&amp;$B481&amp;" plus "&amp;$B482&amp;" For age "&amp;$Z$20&amp;" "&amp;$AA$21&amp;" should be equal to "&amp;$B478&amp;""&amp;CHAR(10),""))</f>
        <v/>
      </c>
      <c r="AL478" s="1396"/>
      <c r="AM478" s="31"/>
      <c r="AN478" s="794"/>
      <c r="AO478" s="13">
        <v>31</v>
      </c>
      <c r="AP478" s="81"/>
      <c r="AQ478" s="82"/>
    </row>
    <row r="479" spans="1:43" s="83" customFormat="1" ht="25.5" x14ac:dyDescent="0.75">
      <c r="A479" s="1112"/>
      <c r="B479" s="737" t="s">
        <v>1077</v>
      </c>
      <c r="C479" s="741" t="s">
        <v>1104</v>
      </c>
      <c r="D479" s="625"/>
      <c r="E479" s="752"/>
      <c r="F479" s="756"/>
      <c r="G479" s="718"/>
      <c r="H479" s="718"/>
      <c r="I479" s="718"/>
      <c r="J479" s="718"/>
      <c r="K479" s="718"/>
      <c r="L479" s="481"/>
      <c r="M479" s="481"/>
      <c r="N479" s="481"/>
      <c r="O479" s="481"/>
      <c r="P479" s="481"/>
      <c r="Q479" s="481"/>
      <c r="R479" s="481"/>
      <c r="S479" s="481"/>
      <c r="T479" s="481"/>
      <c r="U479" s="481"/>
      <c r="V479" s="481"/>
      <c r="W479" s="481"/>
      <c r="X479" s="481"/>
      <c r="Y479" s="481"/>
      <c r="Z479" s="489">
        <f t="shared" ref="Z479:Z482" si="245">SUM(AB479,AD479,AF479,AH479)</f>
        <v>0</v>
      </c>
      <c r="AA479" s="489">
        <f t="shared" ref="AA479:AA482" si="246">SUM(AC479,AE479,AG479,AI479)</f>
        <v>0</v>
      </c>
      <c r="AB479" s="481"/>
      <c r="AC479" s="731"/>
      <c r="AD479" s="481"/>
      <c r="AE479" s="731"/>
      <c r="AF479" s="481"/>
      <c r="AG479" s="731"/>
      <c r="AH479" s="481"/>
      <c r="AI479" s="731"/>
      <c r="AJ479" s="478">
        <f t="shared" si="243"/>
        <v>0</v>
      </c>
      <c r="AK479" s="1114" t="str">
        <f>CONCATENATE(IF(D480&gt;D479," * Positive F01-13 for Age "&amp;D466&amp;" "&amp;D467&amp;" is more than Tested F01-12"&amp;CHAR(10),""),IF(E480&gt;E479," * Positive F01-13 for Age "&amp;D466&amp;" "&amp;E467&amp;" is more than Tested F01-12"&amp;CHAR(10),""),IF(F480&gt;F479," * Positive F01-13 for Age "&amp;F466&amp;" "&amp;F467&amp;" is more than Tested F01-12"&amp;CHAR(10),""),IF(G480&gt;G479," * Positive F01-13 for Age "&amp;F466&amp;" "&amp;G467&amp;" is more than Tested F01-12"&amp;CHAR(10),""),IF(H480&gt;H479," * Positive F01-13 for Age "&amp;H466&amp;" "&amp;H467&amp;" is more than Tested F01-12"&amp;CHAR(10),""),IF(I480&gt;I479," * Positive F01-13 for Age "&amp;H466&amp;" "&amp;I467&amp;" is more than Tested F01-12"&amp;CHAR(10),""),IF(J480&gt;J479," * Positive F01-13 for Age "&amp;J466&amp;" "&amp;J467&amp;" is more than Tested F01-12"&amp;CHAR(10),""),IF(K480&gt;K479," * Positive F01-13 for Age "&amp;J466&amp;" "&amp;K467&amp;" is more than Tested F01-12"&amp;CHAR(10),""),IF(L480&gt;L479," * Positive F01-13 for Age "&amp;L466&amp;" "&amp;L467&amp;" is more than Tested F01-12"&amp;CHAR(10),""),IF(M480&gt;M479," * Positive F01-13 for Age "&amp;L466&amp;" "&amp;M467&amp;" is more than Tested F01-12"&amp;CHAR(10),""),IF(N480&gt;N479," * Positive F01-13 for Age "&amp;N466&amp;" "&amp;N467&amp;" is more than Tested F01-12"&amp;CHAR(10),""),IF(O480&gt;O479," * Positive F01-13 for Age "&amp;N466&amp;" "&amp;O467&amp;" is more than Tested F01-12"&amp;CHAR(10),""),IF(P480&gt;P479," * Positive F01-13 for Age "&amp;P466&amp;" "&amp;P467&amp;" is more than Tested F01-12"&amp;CHAR(10),""),IF(Q480&gt;Q479," * Positive F01-13 for Age "&amp;P466&amp;" "&amp;Q467&amp;" is more than Tested F01-12"&amp;CHAR(10),""),IF(R480&gt;R479," * Positive F01-13 for Age "&amp;R466&amp;" "&amp;R467&amp;" is more than Tested F01-12"&amp;CHAR(10),""),IF(S480&gt;S479," * Positive F01-13 for Age "&amp;R466&amp;" "&amp;S467&amp;" is more than Tested F01-12"&amp;CHAR(10),""),IF(T480&gt;T479," * Positive F01-13 for Age "&amp;T466&amp;" "&amp;T467&amp;" is more than Tested F01-12"&amp;CHAR(10),""),IF(U480&gt;U479," * Positive F01-13 for Age "&amp;T466&amp;" "&amp;U467&amp;" is more than Tested F01-12"&amp;CHAR(10),""),IF(V480&gt;V479," * Positive F01-13 for Age "&amp;V466&amp;" "&amp;V467&amp;" is more than Tested F01-12"&amp;CHAR(10),""),IF(W480&gt;W479," * Positive F01-13 for Age "&amp;V466&amp;" "&amp;W467&amp;" is more than Tested F01-12"&amp;CHAR(10),""),IF(X480&gt;X479," * Positive F01-13 for Age "&amp;X466&amp;" "&amp;X467&amp;" is more than Tested F01-12"&amp;CHAR(10),""),IF(Y480&gt;Y479," * Positive F01-13 for Age "&amp;X466&amp;" "&amp;Y467&amp;" is more than Tested F01-12"&amp;CHAR(10),""),IF(Z480&gt;Z479," * Positive F01-13 for Age "&amp;Z466&amp;" "&amp;Z467&amp;" is more than Tested F01-12"&amp;CHAR(10),""),IF(AA480&gt;AA479," * Positive F01-13 for Age "&amp;Z466&amp;" "&amp;AA467&amp;" is more than Tested F01-12"&amp;CHAR(10),""))</f>
        <v/>
      </c>
      <c r="AL479" s="1396"/>
      <c r="AM479" s="31" t="str">
        <f>CONCATENATE(IF(AND(IFERROR((AJ480*100)/AJ479,0)&gt;10,AJ480&gt;5)," * This facility has a high positivity rate for Index Testing. Kindly confirm if this is the true reflection"&amp;CHAR(10),""),"")</f>
        <v/>
      </c>
      <c r="AN479" s="794"/>
      <c r="AO479" s="13">
        <v>32</v>
      </c>
      <c r="AP479" s="81"/>
      <c r="AQ479" s="82"/>
    </row>
    <row r="480" spans="1:43" s="83" customFormat="1" ht="25.5" x14ac:dyDescent="0.75">
      <c r="A480" s="1112"/>
      <c r="B480" s="737" t="s">
        <v>1058</v>
      </c>
      <c r="C480" s="741" t="s">
        <v>1105</v>
      </c>
      <c r="D480" s="725"/>
      <c r="E480" s="753"/>
      <c r="F480" s="756"/>
      <c r="G480" s="718"/>
      <c r="H480" s="718"/>
      <c r="I480" s="718"/>
      <c r="J480" s="718"/>
      <c r="K480" s="718"/>
      <c r="L480" s="481"/>
      <c r="M480" s="481"/>
      <c r="N480" s="481"/>
      <c r="O480" s="481"/>
      <c r="P480" s="481"/>
      <c r="Q480" s="481"/>
      <c r="R480" s="481"/>
      <c r="S480" s="481"/>
      <c r="T480" s="481"/>
      <c r="U480" s="481"/>
      <c r="V480" s="481"/>
      <c r="W480" s="481"/>
      <c r="X480" s="481"/>
      <c r="Y480" s="481"/>
      <c r="Z480" s="489">
        <f t="shared" si="245"/>
        <v>0</v>
      </c>
      <c r="AA480" s="489">
        <f t="shared" si="246"/>
        <v>0</v>
      </c>
      <c r="AB480" s="481"/>
      <c r="AC480" s="731"/>
      <c r="AD480" s="481"/>
      <c r="AE480" s="731"/>
      <c r="AF480" s="481"/>
      <c r="AG480" s="731"/>
      <c r="AH480" s="481"/>
      <c r="AI480" s="731"/>
      <c r="AJ480" s="479">
        <f t="shared" si="243"/>
        <v>0</v>
      </c>
      <c r="AK480" s="1114"/>
      <c r="AL480" s="1396"/>
      <c r="AM480" s="31" t="e">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0"&amp;CHAR(10),""),IF(#REF!&gt;0," * F01-14 for Age "&amp;D466&amp;" "&amp;D467&amp;" has a value greater than 0"&amp;CHAR(10),""),IF(#REF!&gt;0,"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#REF!</v>
      </c>
      <c r="AN480" s="794"/>
      <c r="AO480" s="13">
        <v>33</v>
      </c>
      <c r="AP480" s="81"/>
      <c r="AQ480" s="82"/>
    </row>
    <row r="481" spans="1:43" s="83" customFormat="1" ht="25.5" x14ac:dyDescent="0.75">
      <c r="A481" s="1112"/>
      <c r="B481" s="737" t="s">
        <v>1060</v>
      </c>
      <c r="C481" s="741" t="s">
        <v>1106</v>
      </c>
      <c r="D481" s="725"/>
      <c r="E481" s="753"/>
      <c r="F481" s="756"/>
      <c r="G481" s="718"/>
      <c r="H481" s="718"/>
      <c r="I481" s="718"/>
      <c r="J481" s="718"/>
      <c r="K481" s="718"/>
      <c r="L481" s="481"/>
      <c r="M481" s="481"/>
      <c r="N481" s="481"/>
      <c r="O481" s="481"/>
      <c r="P481" s="481"/>
      <c r="Q481" s="481"/>
      <c r="R481" s="481"/>
      <c r="S481" s="481"/>
      <c r="T481" s="481"/>
      <c r="U481" s="481"/>
      <c r="V481" s="481"/>
      <c r="W481" s="481"/>
      <c r="X481" s="481"/>
      <c r="Y481" s="481"/>
      <c r="Z481" s="489">
        <f t="shared" si="245"/>
        <v>0</v>
      </c>
      <c r="AA481" s="489">
        <f t="shared" si="246"/>
        <v>0</v>
      </c>
      <c r="AB481" s="481"/>
      <c r="AC481" s="731"/>
      <c r="AD481" s="481"/>
      <c r="AE481" s="731"/>
      <c r="AF481" s="481"/>
      <c r="AG481" s="731"/>
      <c r="AH481" s="481"/>
      <c r="AI481" s="731"/>
      <c r="AJ481" s="479">
        <f t="shared" si="243"/>
        <v>0</v>
      </c>
      <c r="AK481" s="470"/>
      <c r="AL481" s="1396"/>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94"/>
      <c r="AO481" s="13">
        <v>33</v>
      </c>
      <c r="AP481" s="81"/>
      <c r="AQ481" s="82"/>
    </row>
    <row r="482" spans="1:43" s="83" customFormat="1" ht="25.9" thickBot="1" x14ac:dyDescent="0.8">
      <c r="A482" s="1113"/>
      <c r="B482" s="738" t="s">
        <v>1062</v>
      </c>
      <c r="C482" s="742" t="s">
        <v>1107</v>
      </c>
      <c r="D482" s="726"/>
      <c r="E482" s="754"/>
      <c r="F482" s="757">
        <f>F478-SUM(F479:F481)</f>
        <v>0</v>
      </c>
      <c r="G482" s="727">
        <f t="shared" ref="G482" si="247">G478-SUM(G479:G481)</f>
        <v>0</v>
      </c>
      <c r="H482" s="727">
        <f t="shared" ref="H482" si="248">H478-SUM(H479:H481)</f>
        <v>0</v>
      </c>
      <c r="I482" s="727">
        <f t="shared" ref="I482" si="249">I478-SUM(I479:I481)</f>
        <v>0</v>
      </c>
      <c r="J482" s="727">
        <f t="shared" ref="J482" si="250">J478-SUM(J479:J481)</f>
        <v>0</v>
      </c>
      <c r="K482" s="727">
        <f t="shared" ref="K482" si="251">K478-SUM(K479:K481)</f>
        <v>0</v>
      </c>
      <c r="L482" s="549"/>
      <c r="M482" s="549"/>
      <c r="N482" s="549"/>
      <c r="O482" s="549"/>
      <c r="P482" s="549"/>
      <c r="Q482" s="549"/>
      <c r="R482" s="549"/>
      <c r="S482" s="549"/>
      <c r="T482" s="549"/>
      <c r="U482" s="549"/>
      <c r="V482" s="549"/>
      <c r="W482" s="549"/>
      <c r="X482" s="549"/>
      <c r="Y482" s="549"/>
      <c r="Z482" s="489">
        <f t="shared" si="245"/>
        <v>0</v>
      </c>
      <c r="AA482" s="489">
        <f t="shared" si="246"/>
        <v>0</v>
      </c>
      <c r="AB482" s="549"/>
      <c r="AC482" s="733"/>
      <c r="AD482" s="549"/>
      <c r="AE482" s="733"/>
      <c r="AF482" s="549"/>
      <c r="AG482" s="733"/>
      <c r="AH482" s="549"/>
      <c r="AI482" s="733"/>
      <c r="AJ482" s="480">
        <f t="shared" si="243"/>
        <v>0</v>
      </c>
      <c r="AK482" s="470"/>
      <c r="AL482" s="1396"/>
      <c r="AM482" s="31" t="str">
        <f>CONCATENATE(IF(D481&gt;0," * F01-12 for Age "&amp;D468&amp;" "&amp;D469&amp;" has a value greater than 0"&amp;CHAR(10),""),IF(E481&gt;0," * F01-12 for Age "&amp;D468&amp;" "&amp;E469&amp;" has a value greater than 0"&amp;CHAR(10),""),IF(D482&gt;0," * F01-13 for Age "&amp;D468&amp;" "&amp;D469&amp;" has a value greater than 0"&amp;CHAR(10),""),IF(E482&gt;0," * F01-13 for Age "&amp;D468&amp;" "&amp;E469&amp;" has a value greater than 0"&amp;CHAR(10),""),IF(D544&gt;0," * F01-14 for Age "&amp;D468&amp;" "&amp;D469&amp;" has a value greater than 0"&amp;CHAR(10),""),IF(E544&gt;0," * F01-14 for Age "&amp;D468&amp;" "&amp;E469&amp;" has a value greater than 0"&amp;CHAR(10),""),IF(D545&gt;0," * F01-15 for Age "&amp;D468&amp;" "&amp;D469&amp;" has a value greater than 0"&amp;CHAR(10),""),IF(E545&gt;0," * F01-15 for Age "&amp;D468&amp;" "&amp;E469&amp;" has a value greater than 0"&amp;CHAR(10),""),IF(D550&gt;0," * F01-20 for Age "&amp;D468&amp;" "&amp;D469&amp;" has a value greater than 0"&amp;CHAR(10),""),IF(E550&gt;0," * F01-20 for Age "&amp;D468&amp;" "&amp;E469&amp;" has a value greater than 0"&amp;CHAR(10),""),IF(D551&gt;0," * F01-21 for Age "&amp;D468&amp;" "&amp;D469&amp;" has a value greater than 0"&amp;CHAR(10),""),IF(E551&gt;0," * F01-21 for Age "&amp;D468&amp;" "&amp;E469&amp;" has a value greater than 0"&amp;CHAR(10),""),IF(D552&gt;0," * F01-22 for Age "&amp;D468&amp;" "&amp;D469&amp;" has a value greater than 0"&amp;CHAR(10),""),IF(E552&gt;0," * F01-22 for Age "&amp;D468&amp;" "&amp;E469&amp;" has a value greater than 0"&amp;CHAR(10),""),IF(D553&gt;0," * F01-23 for Age "&amp;D468&amp;" "&amp;D469&amp;" has a value greater than 0"&amp;CHAR(10),""),IF(E553&gt;0," * F01-23 for Age "&amp;D468&amp;" "&amp;E469&amp;" has a value greater than 0"&amp;CHAR(10),""),"")</f>
        <v/>
      </c>
      <c r="AN482" s="794"/>
      <c r="AO482" s="13">
        <v>33</v>
      </c>
      <c r="AP482" s="81"/>
      <c r="AQ482" s="82"/>
    </row>
    <row r="483" spans="1:43" s="83" customFormat="1" ht="25.9" thickBot="1" x14ac:dyDescent="0.8">
      <c r="A483" s="1111" t="s">
        <v>1000</v>
      </c>
      <c r="B483" s="736" t="s">
        <v>138</v>
      </c>
      <c r="C483" s="740" t="s">
        <v>1108</v>
      </c>
      <c r="D483" s="723"/>
      <c r="E483" s="751"/>
      <c r="F483" s="762">
        <f t="shared" ref="F483:AI483" si="252">F53</f>
        <v>0</v>
      </c>
      <c r="G483" s="487">
        <f t="shared" si="252"/>
        <v>0</v>
      </c>
      <c r="H483" s="487">
        <f t="shared" si="252"/>
        <v>0</v>
      </c>
      <c r="I483" s="487">
        <f t="shared" si="252"/>
        <v>0</v>
      </c>
      <c r="J483" s="487">
        <f t="shared" si="252"/>
        <v>0</v>
      </c>
      <c r="K483" s="487">
        <f t="shared" si="252"/>
        <v>0</v>
      </c>
      <c r="L483" s="487">
        <f t="shared" si="252"/>
        <v>0</v>
      </c>
      <c r="M483" s="487">
        <f t="shared" si="252"/>
        <v>0</v>
      </c>
      <c r="N483" s="487">
        <f t="shared" si="252"/>
        <v>0</v>
      </c>
      <c r="O483" s="487">
        <f t="shared" si="252"/>
        <v>0</v>
      </c>
      <c r="P483" s="487">
        <f t="shared" si="252"/>
        <v>0</v>
      </c>
      <c r="Q483" s="487">
        <f t="shared" si="252"/>
        <v>0</v>
      </c>
      <c r="R483" s="487">
        <f t="shared" si="252"/>
        <v>0</v>
      </c>
      <c r="S483" s="487">
        <f t="shared" si="252"/>
        <v>0</v>
      </c>
      <c r="T483" s="487">
        <f t="shared" si="252"/>
        <v>0</v>
      </c>
      <c r="U483" s="487">
        <f t="shared" si="252"/>
        <v>0</v>
      </c>
      <c r="V483" s="487">
        <f t="shared" si="252"/>
        <v>0</v>
      </c>
      <c r="W483" s="487">
        <f t="shared" si="252"/>
        <v>0</v>
      </c>
      <c r="X483" s="487">
        <f t="shared" si="252"/>
        <v>0</v>
      </c>
      <c r="Y483" s="487">
        <f t="shared" si="252"/>
        <v>0</v>
      </c>
      <c r="Z483" s="487">
        <f t="shared" si="252"/>
        <v>0</v>
      </c>
      <c r="AA483" s="748">
        <f t="shared" si="252"/>
        <v>0</v>
      </c>
      <c r="AB483" s="487">
        <f t="shared" si="252"/>
        <v>0</v>
      </c>
      <c r="AC483" s="748">
        <f t="shared" si="252"/>
        <v>0</v>
      </c>
      <c r="AD483" s="487">
        <f t="shared" si="252"/>
        <v>0</v>
      </c>
      <c r="AE483" s="748">
        <f t="shared" si="252"/>
        <v>0</v>
      </c>
      <c r="AF483" s="487">
        <f t="shared" si="252"/>
        <v>0</v>
      </c>
      <c r="AG483" s="748">
        <f t="shared" si="252"/>
        <v>0</v>
      </c>
      <c r="AH483" s="487">
        <f t="shared" si="252"/>
        <v>0</v>
      </c>
      <c r="AI483" s="748">
        <f t="shared" si="252"/>
        <v>0</v>
      </c>
      <c r="AJ483" s="477">
        <f t="shared" si="243"/>
        <v>0</v>
      </c>
      <c r="AK483" s="545" t="str">
        <f>CONCATENATE(IF((D484+D485+D486+D487)&lt;&gt;D483," * "&amp;$A483&amp;" , "&amp;$B484&amp;" plus "&amp;$B485&amp;" plus "&amp;$B486&amp;" plus "&amp;$B487&amp;" For age "&amp;$D$20&amp;" "&amp;$D$21&amp;" should be equal to "&amp;$B483&amp;""&amp;CHAR(10),""),IF((E484+E485+E486+E487)&lt;&gt;E483," * "&amp;$A483&amp;" , "&amp;$B484&amp;" plus "&amp;$B485&amp;" plus "&amp;$B486&amp;" plus "&amp;$B487&amp;" For age "&amp;$D$20&amp;" "&amp;$E$21&amp;" should be equal to "&amp;$B483&amp;""&amp;CHAR(10),""),IF((F484+F485+F486+F487)&lt;&gt;F483," * "&amp;$A483&amp;" , "&amp;$B484&amp;" plus "&amp;$B485&amp;" plus "&amp;$B486&amp;" plus "&amp;$B487&amp;" For age "&amp;$F$20&amp;" "&amp;$F$21&amp;" should be equal to "&amp;$B483&amp;""&amp;CHAR(10),""),IF((G484+G485+G486+G487)&lt;&gt;G483," * "&amp;$A483&amp;" , "&amp;$B484&amp;" plus "&amp;$B485&amp;" plus "&amp;$B486&amp;" plus "&amp;$B487&amp;" For age "&amp;$F$20&amp;" "&amp;$G$21&amp;" should be equal to "&amp;$B483&amp;""&amp;CHAR(10),""),IF((H484+H485+H486+H487)&lt;&gt;H483," * "&amp;$A483&amp;" , "&amp;$B484&amp;" plus "&amp;$B485&amp;" plus "&amp;$B486&amp;" plus "&amp;$B487&amp;" For age "&amp;$H$20&amp;" "&amp;$H$21&amp;" should be equal to "&amp;$B483&amp;""&amp;CHAR(10),""),IF((I484+I485+I486+I487)&lt;&gt;I483," * "&amp;$A483&amp;" , "&amp;$B484&amp;" plus "&amp;$B485&amp;" plus "&amp;$B486&amp;" plus "&amp;$B487&amp;" For age "&amp;$H$20&amp;" "&amp;$I$21&amp;" should be equal to "&amp;$B483&amp;""&amp;CHAR(10),""),IF((J484+J485+J486+J487)&lt;&gt;J483," * "&amp;$A483&amp;" , "&amp;$B484&amp;" plus "&amp;$B485&amp;" plus "&amp;$B486&amp;" plus "&amp;$B487&amp;" For age "&amp;$J$20&amp;" "&amp;$J$21&amp;" should be equal to "&amp;$B483&amp;""&amp;CHAR(10),""),IF((K484+K485+K486+K487)&lt;&gt;K483," * "&amp;$A483&amp;" , "&amp;$B484&amp;" plus "&amp;$B485&amp;" plus "&amp;$B486&amp;" plus "&amp;$B487&amp;" For age "&amp;$J$20&amp;" "&amp;$K$21&amp;" should be equal to "&amp;$B483&amp;""&amp;CHAR(10),""),IF((L484+L485+L486+L487)&lt;&gt;L483," * "&amp;$A483&amp;" , "&amp;$B484&amp;" plus "&amp;$B485&amp;" plus "&amp;$B486&amp;" plus "&amp;$B487&amp;" For age "&amp;$L$20&amp;" "&amp;$L$21&amp;" should be equal to "&amp;$B483&amp;""&amp;CHAR(10),""),IF((M484+M485+M486+M487)&lt;&gt;M483," * "&amp;$A483&amp;" , "&amp;$B484&amp;" plus "&amp;$B485&amp;" plus "&amp;$B486&amp;" plus "&amp;$B487&amp;" For age "&amp;$L$20&amp;" "&amp;$M$21&amp;" should be equal to "&amp;$B483&amp;""&amp;CHAR(10),""),IF((N484+N485+N486+N487)&lt;&gt;N483," * "&amp;$A483&amp;" , "&amp;$B484&amp;" plus "&amp;$B485&amp;" plus "&amp;$B486&amp;" plus "&amp;$B487&amp;" For age "&amp;$N$20&amp;" "&amp;$N$21&amp;" should be equal to "&amp;$B483&amp;""&amp;CHAR(10),""),IF((O484+O485+O486+O487)&lt;&gt;O483," * "&amp;$A483&amp;" , "&amp;$B484&amp;" plus "&amp;$B485&amp;" plus "&amp;$B486&amp;" plus "&amp;$B487&amp;" For age "&amp;$N$20&amp;" "&amp;$O$21&amp;" should be equal to "&amp;$B483&amp;""&amp;CHAR(10),""),IF((P484+P485+P486+P487)&lt;&gt;P483," * "&amp;$A483&amp;" , "&amp;$B484&amp;" plus "&amp;$B485&amp;" plus "&amp;$B486&amp;" plus "&amp;$B487&amp;" For age "&amp;$P$20&amp;" "&amp;$P$21&amp;" should be equal to "&amp;$B483&amp;""&amp;CHAR(10),""),IF((Q484+Q485+Q486+Q487)&lt;&gt;Q483," * "&amp;$A483&amp;" , "&amp;$B484&amp;" plus "&amp;$B485&amp;" plus "&amp;$B486&amp;" plus "&amp;$B487&amp;" For age "&amp;$P$20&amp;" "&amp;$Q$21&amp;" should be equal to "&amp;$B483&amp;""&amp;CHAR(10),""),IF((R484+R485+R486+R487)&lt;&gt;R483," * "&amp;$A483&amp;" , "&amp;$B484&amp;" plus "&amp;$B485&amp;" plus "&amp;$B486&amp;" plus "&amp;$B487&amp;" For age "&amp;$R$20&amp;" "&amp;$R$21&amp;" should be equal to "&amp;$B483&amp;""&amp;CHAR(10),""),IF((S484+S485+S486+S487)&lt;&gt;S483," * "&amp;$A483&amp;" , "&amp;$B484&amp;" plus "&amp;$B485&amp;" plus "&amp;$B486&amp;" plus "&amp;$B487&amp;" For age "&amp;$R$20&amp;" "&amp;$S$21&amp;" should be equal to "&amp;$B483&amp;""&amp;CHAR(10),""),IF((T484+T485+T486+T487)&lt;&gt;T483," * "&amp;$A483&amp;" , "&amp;$B484&amp;" plus "&amp;$B485&amp;" plus "&amp;$B486&amp;" plus "&amp;$B487&amp;" For age "&amp;$T$20&amp;" "&amp;$T$21&amp;" should be equal to "&amp;$B483&amp;""&amp;CHAR(10),""),IF((U484+U485+U486+U487)&lt;&gt;U483," * "&amp;$A483&amp;" , "&amp;$B484&amp;" plus "&amp;$B485&amp;" plus "&amp;$B486&amp;" plus "&amp;$B487&amp;" For age "&amp;$T$20&amp;" "&amp;$U$21&amp;" should be equal to "&amp;$B483&amp;""&amp;CHAR(10),""),IF((V484+V485+V486+V487)&lt;&gt;V483," * "&amp;$A483&amp;" , "&amp;$B484&amp;" plus "&amp;$B485&amp;" plus "&amp;$B486&amp;" plus "&amp;$B487&amp;" For age "&amp;$V$20&amp;" "&amp;$V$21&amp;" should be equal to "&amp;$B483&amp;""&amp;CHAR(10),""),IF((W484+W485+W486+W487)&lt;&gt;W483," * "&amp;$A483&amp;" , "&amp;$B484&amp;" plus "&amp;$B485&amp;" plus "&amp;$B486&amp;" plus "&amp;$B487&amp;" For age "&amp;$V$20&amp;" "&amp;$W$21&amp;" should be equal to "&amp;$B483&amp;""&amp;CHAR(10),""),IF((X484+X485+X486+X487)&lt;&gt;X483," * "&amp;$A483&amp;" , "&amp;$B484&amp;" plus "&amp;$B485&amp;" plus "&amp;$B486&amp;" plus "&amp;$B487&amp;" For age "&amp;$X$20&amp;" "&amp;$X$21&amp;" should be equal to "&amp;$B483&amp;""&amp;CHAR(10),""),IF((Y484+Y485+Y486+Y487)&lt;&gt;Y483," * "&amp;$A483&amp;" , "&amp;$B484&amp;" plus "&amp;$B485&amp;" plus "&amp;$B486&amp;" plus "&amp;$B487&amp;" For age "&amp;$X$20&amp;" "&amp;$Y$21&amp;" should be equal to "&amp;$B483&amp;""&amp;CHAR(10),""),IF((Z484+Z485+Z486+Z487)&lt;&gt;Z483," * "&amp;$A483&amp;" , "&amp;$B484&amp;" plus "&amp;$B485&amp;" plus "&amp;$B486&amp;" plus "&amp;$B487&amp;" For age "&amp;$Z$20&amp;" "&amp;$Z$21&amp;" should be equal to "&amp;$B483&amp;""&amp;CHAR(10),""),IF((AA484+AA485+AA486+AA487)&lt;&gt;AA483," * "&amp;$A483&amp;" , "&amp;$B484&amp;" plus "&amp;$B485&amp;" plus "&amp;$B486&amp;" plus "&amp;$B487&amp;" For age "&amp;$Z$20&amp;" "&amp;$AA$21&amp;" should be equal to "&amp;$B483&amp;""&amp;CHAR(10),""))</f>
        <v/>
      </c>
      <c r="AL483" s="1396"/>
      <c r="AM483" s="31"/>
      <c r="AN483" s="794"/>
      <c r="AO483" s="13">
        <v>31</v>
      </c>
      <c r="AP483" s="81"/>
      <c r="AQ483" s="82"/>
    </row>
    <row r="484" spans="1:43" s="83" customFormat="1" ht="25.5" x14ac:dyDescent="0.75">
      <c r="A484" s="1112"/>
      <c r="B484" s="737" t="s">
        <v>1077</v>
      </c>
      <c r="C484" s="741" t="s">
        <v>1109</v>
      </c>
      <c r="D484" s="625"/>
      <c r="E484" s="752"/>
      <c r="F484" s="550"/>
      <c r="G484" s="547"/>
      <c r="H484" s="547"/>
      <c r="I484" s="547"/>
      <c r="J484" s="547"/>
      <c r="K484" s="547"/>
      <c r="L484" s="547"/>
      <c r="M484" s="547"/>
      <c r="N484" s="547"/>
      <c r="O484" s="547"/>
      <c r="P484" s="547"/>
      <c r="Q484" s="547"/>
      <c r="R484" s="547"/>
      <c r="S484" s="547"/>
      <c r="T484" s="547"/>
      <c r="U484" s="547"/>
      <c r="V484" s="547"/>
      <c r="W484" s="547"/>
      <c r="X484" s="547"/>
      <c r="Y484" s="547"/>
      <c r="Z484" s="489">
        <f t="shared" ref="Z484:Z487" si="253">SUM(AB484,AD484,AF484,AH484)</f>
        <v>0</v>
      </c>
      <c r="AA484" s="489">
        <f t="shared" ref="AA484:AA497" si="254">SUM(AC484,AE484,AG484,AI484)</f>
        <v>0</v>
      </c>
      <c r="AB484" s="547"/>
      <c r="AC484" s="749"/>
      <c r="AD484" s="547"/>
      <c r="AE484" s="749"/>
      <c r="AF484" s="547"/>
      <c r="AG484" s="749"/>
      <c r="AH484" s="547"/>
      <c r="AI484" s="749"/>
      <c r="AJ484" s="478">
        <f t="shared" si="243"/>
        <v>0</v>
      </c>
      <c r="AK484" s="1114" t="str">
        <f>CONCATENATE(IF(D485&gt;D484," * Positive F01-13 for Age "&amp;D471&amp;" "&amp;D472&amp;" is more than Tested F01-12"&amp;CHAR(10),""),IF(E485&gt;E484," * Positive F01-13 for Age "&amp;D471&amp;" "&amp;E472&amp;" is more than Tested F01-12"&amp;CHAR(10),""),IF(F485&gt;F484," * Positive F01-13 for Age "&amp;F471&amp;" "&amp;F472&amp;" is more than Tested F01-12"&amp;CHAR(10),""),IF(G485&gt;G484," * Positive F01-13 for Age "&amp;F471&amp;" "&amp;G472&amp;" is more than Tested F01-12"&amp;CHAR(10),""),IF(H485&gt;H484," * Positive F01-13 for Age "&amp;H471&amp;" "&amp;H472&amp;" is more than Tested F01-12"&amp;CHAR(10),""),IF(I485&gt;I484," * Positive F01-13 for Age "&amp;H471&amp;" "&amp;I472&amp;" is more than Tested F01-12"&amp;CHAR(10),""),IF(J485&gt;J484," * Positive F01-13 for Age "&amp;J471&amp;" "&amp;J472&amp;" is more than Tested F01-12"&amp;CHAR(10),""),IF(K485&gt;K484," * Positive F01-13 for Age "&amp;J471&amp;" "&amp;K472&amp;" is more than Tested F01-12"&amp;CHAR(10),""),IF(L485&gt;L484," * Positive F01-13 for Age "&amp;L471&amp;" "&amp;L472&amp;" is more than Tested F01-12"&amp;CHAR(10),""),IF(M485&gt;M484," * Positive F01-13 for Age "&amp;L471&amp;" "&amp;M472&amp;" is more than Tested F01-12"&amp;CHAR(10),""),IF(N485&gt;N484," * Positive F01-13 for Age "&amp;N471&amp;" "&amp;N472&amp;" is more than Tested F01-12"&amp;CHAR(10),""),IF(O485&gt;O484," * Positive F01-13 for Age "&amp;N471&amp;" "&amp;O472&amp;" is more than Tested F01-12"&amp;CHAR(10),""),IF(P485&gt;P484," * Positive F01-13 for Age "&amp;P471&amp;" "&amp;P472&amp;" is more than Tested F01-12"&amp;CHAR(10),""),IF(Q485&gt;Q484," * Positive F01-13 for Age "&amp;P471&amp;" "&amp;Q472&amp;" is more than Tested F01-12"&amp;CHAR(10),""),IF(R485&gt;R484," * Positive F01-13 for Age "&amp;R471&amp;" "&amp;R472&amp;" is more than Tested F01-12"&amp;CHAR(10),""),IF(S485&gt;S484," * Positive F01-13 for Age "&amp;R471&amp;" "&amp;S472&amp;" is more than Tested F01-12"&amp;CHAR(10),""),IF(T485&gt;T484," * Positive F01-13 for Age "&amp;T471&amp;" "&amp;T472&amp;" is more than Tested F01-12"&amp;CHAR(10),""),IF(U485&gt;U484," * Positive F01-13 for Age "&amp;T471&amp;" "&amp;U472&amp;" is more than Tested F01-12"&amp;CHAR(10),""),IF(V485&gt;V484," * Positive F01-13 for Age "&amp;V471&amp;" "&amp;V472&amp;" is more than Tested F01-12"&amp;CHAR(10),""),IF(W485&gt;W484," * Positive F01-13 for Age "&amp;V471&amp;" "&amp;W472&amp;" is more than Tested F01-12"&amp;CHAR(10),""),IF(X485&gt;X484," * Positive F01-13 for Age "&amp;X471&amp;" "&amp;X472&amp;" is more than Tested F01-12"&amp;CHAR(10),""),IF(Y485&gt;Y484," * Positive F01-13 for Age "&amp;X471&amp;" "&amp;Y472&amp;" is more than Tested F01-12"&amp;CHAR(10),""),IF(Z485&gt;Z484," * Positive F01-13 for Age "&amp;Z471&amp;" "&amp;Z472&amp;" is more than Tested F01-12"&amp;CHAR(10),""),IF(AA485&gt;AA484," * Positive F01-13 for Age "&amp;Z471&amp;" "&amp;AA472&amp;" is more than Tested F01-12"&amp;CHAR(10),""))</f>
        <v/>
      </c>
      <c r="AL484" s="1396"/>
      <c r="AM484" s="31" t="str">
        <f>CONCATENATE(IF(AND(IFERROR((AJ485*100)/AJ484,0)&gt;10,AJ485&gt;5)," * This facility has a high positivity rate for Index Testing. Kindly confirm if this is the true reflection"&amp;CHAR(10),""),"")</f>
        <v/>
      </c>
      <c r="AN484" s="794"/>
      <c r="AO484" s="13">
        <v>32</v>
      </c>
      <c r="AP484" s="81"/>
      <c r="AQ484" s="82"/>
    </row>
    <row r="485" spans="1:43" s="83" customFormat="1" ht="25.5" x14ac:dyDescent="0.75">
      <c r="A485" s="1112"/>
      <c r="B485" s="737" t="s">
        <v>1058</v>
      </c>
      <c r="C485" s="741" t="s">
        <v>1110</v>
      </c>
      <c r="D485" s="725"/>
      <c r="E485" s="753"/>
      <c r="F485" s="551"/>
      <c r="G485" s="481"/>
      <c r="H485" s="481"/>
      <c r="I485" s="481"/>
      <c r="J485" s="481"/>
      <c r="K485" s="481"/>
      <c r="L485" s="481"/>
      <c r="M485" s="481"/>
      <c r="N485" s="481"/>
      <c r="O485" s="481"/>
      <c r="P485" s="481"/>
      <c r="Q485" s="481"/>
      <c r="R485" s="481"/>
      <c r="S485" s="481"/>
      <c r="T485" s="481"/>
      <c r="U485" s="481"/>
      <c r="V485" s="481"/>
      <c r="W485" s="481"/>
      <c r="X485" s="481"/>
      <c r="Y485" s="481"/>
      <c r="Z485" s="489">
        <f t="shared" si="253"/>
        <v>0</v>
      </c>
      <c r="AA485" s="489">
        <f t="shared" si="254"/>
        <v>0</v>
      </c>
      <c r="AB485" s="481"/>
      <c r="AC485" s="731"/>
      <c r="AD485" s="481"/>
      <c r="AE485" s="731"/>
      <c r="AF485" s="481"/>
      <c r="AG485" s="731"/>
      <c r="AH485" s="481"/>
      <c r="AI485" s="731"/>
      <c r="AJ485" s="479">
        <f t="shared" si="243"/>
        <v>0</v>
      </c>
      <c r="AK485" s="1114"/>
      <c r="AL485" s="1396"/>
      <c r="AM485" s="31" t="e">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0"&amp;CHAR(10),""),IF(#REF!&gt;0," * F01-14 for Age "&amp;D471&amp;" "&amp;D472&amp;" has a value greater than 0"&amp;CHAR(10),""),IF(#REF!&gt;0,"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#REF!</v>
      </c>
      <c r="AN485" s="794"/>
      <c r="AO485" s="13">
        <v>33</v>
      </c>
      <c r="AP485" s="81"/>
      <c r="AQ485" s="82"/>
    </row>
    <row r="486" spans="1:43" s="83" customFormat="1" ht="25.5" x14ac:dyDescent="0.75">
      <c r="A486" s="1112"/>
      <c r="B486" s="737" t="s">
        <v>1060</v>
      </c>
      <c r="C486" s="741" t="s">
        <v>1111</v>
      </c>
      <c r="D486" s="725"/>
      <c r="E486" s="753"/>
      <c r="F486" s="552"/>
      <c r="G486" s="488"/>
      <c r="H486" s="488"/>
      <c r="I486" s="488"/>
      <c r="J486" s="488"/>
      <c r="K486" s="488"/>
      <c r="L486" s="488"/>
      <c r="M486" s="488"/>
      <c r="N486" s="488"/>
      <c r="O486" s="488"/>
      <c r="P486" s="488"/>
      <c r="Q486" s="488"/>
      <c r="R486" s="488"/>
      <c r="S486" s="488"/>
      <c r="T486" s="488"/>
      <c r="U486" s="488"/>
      <c r="V486" s="488"/>
      <c r="W486" s="488"/>
      <c r="X486" s="488"/>
      <c r="Y486" s="488"/>
      <c r="Z486" s="489">
        <f t="shared" si="253"/>
        <v>0</v>
      </c>
      <c r="AA486" s="489">
        <f t="shared" si="254"/>
        <v>0</v>
      </c>
      <c r="AB486" s="488"/>
      <c r="AC486" s="750"/>
      <c r="AD486" s="488"/>
      <c r="AE486" s="750"/>
      <c r="AF486" s="488"/>
      <c r="AG486" s="750"/>
      <c r="AH486" s="488"/>
      <c r="AI486" s="750"/>
      <c r="AJ486" s="479">
        <f t="shared" si="243"/>
        <v>0</v>
      </c>
      <c r="AK486" s="470"/>
      <c r="AL486" s="1396"/>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94"/>
      <c r="AO486" s="13">
        <v>33</v>
      </c>
      <c r="AP486" s="81"/>
      <c r="AQ486" s="82"/>
    </row>
    <row r="487" spans="1:43" s="83" customFormat="1" ht="25.9" thickBot="1" x14ac:dyDescent="0.8">
      <c r="A487" s="1113"/>
      <c r="B487" s="738" t="s">
        <v>1062</v>
      </c>
      <c r="C487" s="742" t="s">
        <v>1112</v>
      </c>
      <c r="D487" s="726"/>
      <c r="E487" s="754"/>
      <c r="F487" s="553"/>
      <c r="G487" s="549"/>
      <c r="H487" s="549"/>
      <c r="I487" s="549"/>
      <c r="J487" s="549"/>
      <c r="K487" s="549"/>
      <c r="L487" s="549"/>
      <c r="M487" s="549"/>
      <c r="N487" s="549"/>
      <c r="O487" s="549"/>
      <c r="P487" s="549"/>
      <c r="Q487" s="549"/>
      <c r="R487" s="549"/>
      <c r="S487" s="549"/>
      <c r="T487" s="549"/>
      <c r="U487" s="549"/>
      <c r="V487" s="549"/>
      <c r="W487" s="549"/>
      <c r="X487" s="549"/>
      <c r="Y487" s="549"/>
      <c r="Z487" s="489">
        <f t="shared" si="253"/>
        <v>0</v>
      </c>
      <c r="AA487" s="489">
        <f t="shared" si="254"/>
        <v>0</v>
      </c>
      <c r="AB487" s="549"/>
      <c r="AC487" s="733"/>
      <c r="AD487" s="549"/>
      <c r="AE487" s="733"/>
      <c r="AF487" s="549"/>
      <c r="AG487" s="733"/>
      <c r="AH487" s="549"/>
      <c r="AI487" s="733"/>
      <c r="AJ487" s="480">
        <f t="shared" si="243"/>
        <v>0</v>
      </c>
      <c r="AK487" s="470"/>
      <c r="AL487" s="1396"/>
      <c r="AM487" s="31" t="str">
        <f>CONCATENATE(IF(D486&gt;0," * F01-12 for Age "&amp;D473&amp;" "&amp;D474&amp;" has a value greater than 0"&amp;CHAR(10),""),IF(E486&gt;0," * F01-12 for Age "&amp;D473&amp;" "&amp;E474&amp;" has a value greater than 0"&amp;CHAR(10),""),IF(D487&gt;0," * F01-13 for Age "&amp;D473&amp;" "&amp;D474&amp;" has a value greater than 0"&amp;CHAR(10),""),IF(E487&gt;0," * F01-13 for Age "&amp;D473&amp;" "&amp;E474&amp;" has a value greater than 0"&amp;CHAR(10),""),IF(D549&gt;0," * F01-14 for Age "&amp;D473&amp;" "&amp;D474&amp;" has a value greater than 0"&amp;CHAR(10),""),IF(E549&gt;0," * F01-14 for Age "&amp;D473&amp;" "&amp;E474&amp;" has a value greater than 0"&amp;CHAR(10),""),IF(D550&gt;0," * F01-15 for Age "&amp;D473&amp;" "&amp;D474&amp;" has a value greater than 0"&amp;CHAR(10),""),IF(E550&gt;0," * F01-15 for Age "&amp;D473&amp;" "&amp;E474&amp;" has a value greater than 0"&amp;CHAR(10),""),IF(D555&gt;0," * F01-20 for Age "&amp;D473&amp;" "&amp;D474&amp;" has a value greater than 0"&amp;CHAR(10),""),IF(E555&gt;0," * F01-20 for Age "&amp;D473&amp;" "&amp;E474&amp;" has a value greater than 0"&amp;CHAR(10),""),IF(D556&gt;0," * F01-21 for Age "&amp;D473&amp;" "&amp;D474&amp;" has a value greater than 0"&amp;CHAR(10),""),IF(E556&gt;0," * F01-21 for Age "&amp;D473&amp;" "&amp;E474&amp;" has a value greater than 0"&amp;CHAR(10),""),IF(D557&gt;0," * F01-22 for Age "&amp;D473&amp;" "&amp;D474&amp;" has a value greater than 0"&amp;CHAR(10),""),IF(E557&gt;0," * F01-22 for Age "&amp;D473&amp;" "&amp;E474&amp;" has a value greater than 0"&amp;CHAR(10),""),IF(D558&gt;0," * F01-23 for Age "&amp;D473&amp;" "&amp;D474&amp;" has a value greater than 0"&amp;CHAR(10),""),IF(E558&gt;0," * F01-23 for Age "&amp;D473&amp;" "&amp;E474&amp;" has a value greater than 0"&amp;CHAR(10),""),"")</f>
        <v/>
      </c>
      <c r="AN487" s="794"/>
      <c r="AO487" s="13">
        <v>33</v>
      </c>
      <c r="AP487" s="81"/>
      <c r="AQ487" s="82"/>
    </row>
    <row r="488" spans="1:43" s="83" customFormat="1" ht="29.65" customHeight="1" x14ac:dyDescent="0.75">
      <c r="A488" s="1111" t="s">
        <v>1080</v>
      </c>
      <c r="B488" s="736" t="s">
        <v>138</v>
      </c>
      <c r="C488" s="740" t="s">
        <v>1113</v>
      </c>
      <c r="D488" s="723"/>
      <c r="E488" s="751"/>
      <c r="F488" s="744">
        <f>F295</f>
        <v>0</v>
      </c>
      <c r="G488" s="745"/>
      <c r="H488" s="734">
        <f t="shared" ref="H488:AI488" si="255">H295</f>
        <v>0</v>
      </c>
      <c r="I488" s="746">
        <f t="shared" si="255"/>
        <v>0</v>
      </c>
      <c r="J488" s="734">
        <f t="shared" si="255"/>
        <v>0</v>
      </c>
      <c r="K488" s="746">
        <f t="shared" si="255"/>
        <v>0</v>
      </c>
      <c r="L488" s="734">
        <f t="shared" si="255"/>
        <v>0</v>
      </c>
      <c r="M488" s="746">
        <f t="shared" si="255"/>
        <v>0</v>
      </c>
      <c r="N488" s="734">
        <f t="shared" si="255"/>
        <v>0</v>
      </c>
      <c r="O488" s="746">
        <f t="shared" si="255"/>
        <v>0</v>
      </c>
      <c r="P488" s="734">
        <f t="shared" si="255"/>
        <v>0</v>
      </c>
      <c r="Q488" s="746">
        <f t="shared" si="255"/>
        <v>0</v>
      </c>
      <c r="R488" s="734">
        <f t="shared" si="255"/>
        <v>0</v>
      </c>
      <c r="S488" s="746">
        <f t="shared" si="255"/>
        <v>0</v>
      </c>
      <c r="T488" s="734">
        <f t="shared" si="255"/>
        <v>0</v>
      </c>
      <c r="U488" s="746">
        <f t="shared" si="255"/>
        <v>0</v>
      </c>
      <c r="V488" s="734">
        <f t="shared" si="255"/>
        <v>0</v>
      </c>
      <c r="W488" s="746">
        <f t="shared" si="255"/>
        <v>0</v>
      </c>
      <c r="X488" s="734">
        <f t="shared" si="255"/>
        <v>0</v>
      </c>
      <c r="Y488" s="746">
        <f t="shared" si="255"/>
        <v>0</v>
      </c>
      <c r="Z488" s="734">
        <f t="shared" si="255"/>
        <v>0</v>
      </c>
      <c r="AA488" s="747">
        <f t="shared" si="255"/>
        <v>0</v>
      </c>
      <c r="AB488" s="734">
        <f t="shared" si="255"/>
        <v>0</v>
      </c>
      <c r="AC488" s="747">
        <f t="shared" si="255"/>
        <v>0</v>
      </c>
      <c r="AD488" s="734">
        <f t="shared" si="255"/>
        <v>0</v>
      </c>
      <c r="AE488" s="747">
        <f t="shared" si="255"/>
        <v>0</v>
      </c>
      <c r="AF488" s="734">
        <f t="shared" si="255"/>
        <v>0</v>
      </c>
      <c r="AG488" s="747">
        <f t="shared" si="255"/>
        <v>0</v>
      </c>
      <c r="AH488" s="734">
        <f t="shared" si="255"/>
        <v>0</v>
      </c>
      <c r="AI488" s="747">
        <f t="shared" si="255"/>
        <v>0</v>
      </c>
      <c r="AJ488" s="477">
        <f t="shared" si="243"/>
        <v>0</v>
      </c>
      <c r="AK488" s="545" t="str">
        <f>CONCATENATE(IF((D489+D490+D491+D492)&lt;&gt;D488," * "&amp;$A488&amp;" , "&amp;$B489&amp;" plus "&amp;$B490&amp;" plus "&amp;$B491&amp;" plus "&amp;$B492&amp;" For age "&amp;$D$20&amp;" "&amp;$D$21&amp;" should be equal to "&amp;$B488&amp;""&amp;CHAR(10),""),IF((E489+E490+E491+E492)&lt;&gt;E488," * "&amp;$A488&amp;" , "&amp;$B489&amp;" plus "&amp;$B490&amp;" plus "&amp;$B491&amp;" plus "&amp;$B492&amp;" For age "&amp;$D$20&amp;" "&amp;$E$21&amp;" should be equal to "&amp;$B488&amp;""&amp;CHAR(10),""),IF((F489+F490+F491+F492)&lt;&gt;F488," * "&amp;$A488&amp;" , "&amp;$B489&amp;" plus "&amp;$B490&amp;" plus "&amp;$B491&amp;" plus "&amp;$B492&amp;" For age "&amp;$F$20&amp;" "&amp;$F$21&amp;" should be equal to "&amp;$B488&amp;""&amp;CHAR(10),""),IF((G489+G490+G491+G492)&lt;&gt;G488," * "&amp;$A488&amp;" , "&amp;$B489&amp;" plus "&amp;$B490&amp;" plus "&amp;$B491&amp;" plus "&amp;$B492&amp;" For age "&amp;$F$20&amp;" "&amp;$G$21&amp;" should be equal to "&amp;$B488&amp;""&amp;CHAR(10),""),IF((H489+H490+H491+H492)&lt;&gt;H488," * "&amp;$A488&amp;" , "&amp;$B489&amp;" plus "&amp;$B490&amp;" plus "&amp;$B491&amp;" plus "&amp;$B492&amp;" For age "&amp;$H$20&amp;" "&amp;$H$21&amp;" should be equal to "&amp;$B488&amp;""&amp;CHAR(10),""),IF((I489+I490+I491+I492)&lt;&gt;I488," * "&amp;$A488&amp;" , "&amp;$B489&amp;" plus "&amp;$B490&amp;" plus "&amp;$B491&amp;" plus "&amp;$B492&amp;" For age "&amp;$H$20&amp;" "&amp;$I$21&amp;" should be equal to "&amp;$B488&amp;""&amp;CHAR(10),""),IF((J489+J490+J491+J492)&lt;&gt;J488," * "&amp;$A488&amp;" , "&amp;$B489&amp;" plus "&amp;$B490&amp;" plus "&amp;$B491&amp;" plus "&amp;$B492&amp;" For age "&amp;$J$20&amp;" "&amp;$J$21&amp;" should be equal to "&amp;$B488&amp;""&amp;CHAR(10),""),IF((K489+K490+K491+K492)&lt;&gt;K488," * "&amp;$A488&amp;" , "&amp;$B489&amp;" plus "&amp;$B490&amp;" plus "&amp;$B491&amp;" plus "&amp;$B492&amp;" For age "&amp;$J$20&amp;" "&amp;$K$21&amp;" should be equal to "&amp;$B488&amp;""&amp;CHAR(10),""),IF((L489+L490+L491+L492)&lt;&gt;L488," * "&amp;$A488&amp;" , "&amp;$B489&amp;" plus "&amp;$B490&amp;" plus "&amp;$B491&amp;" plus "&amp;$B492&amp;" For age "&amp;$L$20&amp;" "&amp;$L$21&amp;" should be equal to "&amp;$B488&amp;""&amp;CHAR(10),""),IF((M489+M490+M491+M492)&lt;&gt;M488," * "&amp;$A488&amp;" , "&amp;$B489&amp;" plus "&amp;$B490&amp;" plus "&amp;$B491&amp;" plus "&amp;$B492&amp;" For age "&amp;$L$20&amp;" "&amp;$M$21&amp;" should be equal to "&amp;$B488&amp;""&amp;CHAR(10),""),IF((N489+N490+N491+N492)&lt;&gt;N488," * "&amp;$A488&amp;" , "&amp;$B489&amp;" plus "&amp;$B490&amp;" plus "&amp;$B491&amp;" plus "&amp;$B492&amp;" For age "&amp;$N$20&amp;" "&amp;$N$21&amp;" should be equal to "&amp;$B488&amp;""&amp;CHAR(10),""),IF((O489+O490+O491+O492)&lt;&gt;O488," * "&amp;$A488&amp;" , "&amp;$B489&amp;" plus "&amp;$B490&amp;" plus "&amp;$B491&amp;" plus "&amp;$B492&amp;" For age "&amp;$N$20&amp;" "&amp;$O$21&amp;" should be equal to "&amp;$B488&amp;""&amp;CHAR(10),""),IF((P489+P490+P491+P492)&lt;&gt;P488," * "&amp;$A488&amp;" , "&amp;$B489&amp;" plus "&amp;$B490&amp;" plus "&amp;$B491&amp;" plus "&amp;$B492&amp;" For age "&amp;$P$20&amp;" "&amp;$P$21&amp;" should be equal to "&amp;$B488&amp;""&amp;CHAR(10),""),IF((Q489+Q490+Q491+Q492)&lt;&gt;Q488," * "&amp;$A488&amp;" , "&amp;$B489&amp;" plus "&amp;$B490&amp;" plus "&amp;$B491&amp;" plus "&amp;$B492&amp;" For age "&amp;$P$20&amp;" "&amp;$Q$21&amp;" should be equal to "&amp;$B488&amp;""&amp;CHAR(10),""),IF((R489+R490+R491+R492)&lt;&gt;R488," * "&amp;$A488&amp;" , "&amp;$B489&amp;" plus "&amp;$B490&amp;" plus "&amp;$B491&amp;" plus "&amp;$B492&amp;" For age "&amp;$R$20&amp;" "&amp;$R$21&amp;" should be equal to "&amp;$B488&amp;""&amp;CHAR(10),""),IF((S489+S490+S491+S492)&lt;&gt;S488," * "&amp;$A488&amp;" , "&amp;$B489&amp;" plus "&amp;$B490&amp;" plus "&amp;$B491&amp;" plus "&amp;$B492&amp;" For age "&amp;$R$20&amp;" "&amp;$S$21&amp;" should be equal to "&amp;$B488&amp;""&amp;CHAR(10),""),IF((T489+T490+T491+T492)&lt;&gt;T488," * "&amp;$A488&amp;" , "&amp;$B489&amp;" plus "&amp;$B490&amp;" plus "&amp;$B491&amp;" plus "&amp;$B492&amp;" For age "&amp;$T$20&amp;" "&amp;$T$21&amp;" should be equal to "&amp;$B488&amp;""&amp;CHAR(10),""),IF((U489+U490+U491+U492)&lt;&gt;U488," * "&amp;$A488&amp;" , "&amp;$B489&amp;" plus "&amp;$B490&amp;" plus "&amp;$B491&amp;" plus "&amp;$B492&amp;" For age "&amp;$T$20&amp;" "&amp;$U$21&amp;" should be equal to "&amp;$B488&amp;""&amp;CHAR(10),""),IF((V489+V490+V491+V492)&lt;&gt;V488," * "&amp;$A488&amp;" , "&amp;$B489&amp;" plus "&amp;$B490&amp;" plus "&amp;$B491&amp;" plus "&amp;$B492&amp;" For age "&amp;$V$20&amp;" "&amp;$V$21&amp;" should be equal to "&amp;$B488&amp;""&amp;CHAR(10),""),IF((W489+W490+W491+W492)&lt;&gt;W488," * "&amp;$A488&amp;" , "&amp;$B489&amp;" plus "&amp;$B490&amp;" plus "&amp;$B491&amp;" plus "&amp;$B492&amp;" For age "&amp;$V$20&amp;" "&amp;$W$21&amp;" should be equal to "&amp;$B488&amp;""&amp;CHAR(10),""),IF((X489+X490+X491+X492)&lt;&gt;X488," * "&amp;$A488&amp;" , "&amp;$B489&amp;" plus "&amp;$B490&amp;" plus "&amp;$B491&amp;" plus "&amp;$B492&amp;" For age "&amp;$X$20&amp;" "&amp;$X$21&amp;" should be equal to "&amp;$B488&amp;""&amp;CHAR(10),""),IF((Y489+Y490+Y491+Y492)&lt;&gt;Y488," * "&amp;$A488&amp;" , "&amp;$B489&amp;" plus "&amp;$B490&amp;" plus "&amp;$B491&amp;" plus "&amp;$B492&amp;" For age "&amp;$X$20&amp;" "&amp;$Y$21&amp;" should be equal to "&amp;$B488&amp;""&amp;CHAR(10),""),IF((Z489+Z490+Z491+Z492)&lt;&gt;Z488," * "&amp;$A488&amp;" , "&amp;$B489&amp;" plus "&amp;$B490&amp;" plus "&amp;$B491&amp;" plus "&amp;$B492&amp;" For age "&amp;$Z$20&amp;" "&amp;$Z$21&amp;" should be equal to "&amp;$B488&amp;""&amp;CHAR(10),""),IF((AA489+AA490+AA491+AA492)&lt;&gt;AA488," * "&amp;$A488&amp;" , "&amp;$B489&amp;" plus "&amp;$B490&amp;" plus "&amp;$B491&amp;" plus "&amp;$B492&amp;" For age "&amp;$Z$20&amp;" "&amp;$AA$21&amp;" should be equal to "&amp;$B488&amp;""&amp;CHAR(10),""))</f>
        <v/>
      </c>
      <c r="AL488" s="1396"/>
      <c r="AM488" s="31"/>
      <c r="AN488" s="794"/>
      <c r="AO488" s="13">
        <v>31</v>
      </c>
      <c r="AP488" s="81"/>
      <c r="AQ488" s="82"/>
    </row>
    <row r="489" spans="1:43" s="83" customFormat="1" ht="25.5" x14ac:dyDescent="0.75">
      <c r="A489" s="1112"/>
      <c r="B489" s="737" t="s">
        <v>1077</v>
      </c>
      <c r="C489" s="741" t="s">
        <v>1114</v>
      </c>
      <c r="D489" s="625"/>
      <c r="E489" s="752"/>
      <c r="F489" s="739"/>
      <c r="G489" s="551"/>
      <c r="H489" s="717"/>
      <c r="I489" s="481"/>
      <c r="J489" s="717"/>
      <c r="K489" s="481"/>
      <c r="L489" s="717"/>
      <c r="M489" s="481"/>
      <c r="N489" s="717"/>
      <c r="O489" s="481"/>
      <c r="P489" s="717"/>
      <c r="Q489" s="481"/>
      <c r="R489" s="717"/>
      <c r="S489" s="481"/>
      <c r="T489" s="717"/>
      <c r="U489" s="481"/>
      <c r="V489" s="717"/>
      <c r="W489" s="481"/>
      <c r="X489" s="717"/>
      <c r="Y489" s="481"/>
      <c r="Z489" s="717"/>
      <c r="AA489" s="489">
        <f t="shared" si="254"/>
        <v>0</v>
      </c>
      <c r="AB489" s="717"/>
      <c r="AC489" s="731"/>
      <c r="AD489" s="717"/>
      <c r="AE489" s="731"/>
      <c r="AF489" s="717"/>
      <c r="AG489" s="731"/>
      <c r="AH489" s="717"/>
      <c r="AI489" s="731"/>
      <c r="AJ489" s="478">
        <f t="shared" si="243"/>
        <v>0</v>
      </c>
      <c r="AK489" s="1114" t="str">
        <f>CONCATENATE(IF(D490&gt;D489," * Positive F01-13 for Age "&amp;D476&amp;" "&amp;D477&amp;" is more than Tested F01-12"&amp;CHAR(10),""),IF(E490&gt;E489," * Positive F01-13 for Age "&amp;D476&amp;" "&amp;E477&amp;" is more than Tested F01-12"&amp;CHAR(10),""),IF(F490&gt;F489," * Positive F01-13 for Age "&amp;F476&amp;" "&amp;F477&amp;" is more than Tested F01-12"&amp;CHAR(10),""),IF(G490&gt;G489," * Positive F01-13 for Age "&amp;F476&amp;" "&amp;G477&amp;" is more than Tested F01-12"&amp;CHAR(10),""),IF(H490&gt;H489," * Positive F01-13 for Age "&amp;H476&amp;" "&amp;H477&amp;" is more than Tested F01-12"&amp;CHAR(10),""),IF(I490&gt;I489," * Positive F01-13 for Age "&amp;H476&amp;" "&amp;I477&amp;" is more than Tested F01-12"&amp;CHAR(10),""),IF(J490&gt;J489," * Positive F01-13 for Age "&amp;J476&amp;" "&amp;J477&amp;" is more than Tested F01-12"&amp;CHAR(10),""),IF(K490&gt;K489," * Positive F01-13 for Age "&amp;J476&amp;" "&amp;K477&amp;" is more than Tested F01-12"&amp;CHAR(10),""),IF(L490&gt;L489," * Positive F01-13 for Age "&amp;L476&amp;" "&amp;L477&amp;" is more than Tested F01-12"&amp;CHAR(10),""),IF(M490&gt;M489," * Positive F01-13 for Age "&amp;L476&amp;" "&amp;M477&amp;" is more than Tested F01-12"&amp;CHAR(10),""),IF(N490&gt;N489," * Positive F01-13 for Age "&amp;N476&amp;" "&amp;N477&amp;" is more than Tested F01-12"&amp;CHAR(10),""),IF(O490&gt;O489," * Positive F01-13 for Age "&amp;N476&amp;" "&amp;O477&amp;" is more than Tested F01-12"&amp;CHAR(10),""),IF(P490&gt;P489," * Positive F01-13 for Age "&amp;P476&amp;" "&amp;P477&amp;" is more than Tested F01-12"&amp;CHAR(10),""),IF(Q490&gt;Q489," * Positive F01-13 for Age "&amp;P476&amp;" "&amp;Q477&amp;" is more than Tested F01-12"&amp;CHAR(10),""),IF(R490&gt;R489," * Positive F01-13 for Age "&amp;R476&amp;" "&amp;R477&amp;" is more than Tested F01-12"&amp;CHAR(10),""),IF(S490&gt;S489," * Positive F01-13 for Age "&amp;R476&amp;" "&amp;S477&amp;" is more than Tested F01-12"&amp;CHAR(10),""),IF(T490&gt;T489," * Positive F01-13 for Age "&amp;T476&amp;" "&amp;T477&amp;" is more than Tested F01-12"&amp;CHAR(10),""),IF(U490&gt;U489," * Positive F01-13 for Age "&amp;T476&amp;" "&amp;U477&amp;" is more than Tested F01-12"&amp;CHAR(10),""),IF(V490&gt;V489," * Positive F01-13 for Age "&amp;V476&amp;" "&amp;V477&amp;" is more than Tested F01-12"&amp;CHAR(10),""),IF(W490&gt;W489," * Positive F01-13 for Age "&amp;V476&amp;" "&amp;W477&amp;" is more than Tested F01-12"&amp;CHAR(10),""),IF(X490&gt;X489," * Positive F01-13 for Age "&amp;X476&amp;" "&amp;X477&amp;" is more than Tested F01-12"&amp;CHAR(10),""),IF(Y490&gt;Y489," * Positive F01-13 for Age "&amp;X476&amp;" "&amp;Y477&amp;" is more than Tested F01-12"&amp;CHAR(10),""),IF(Z490&gt;Z489," * Positive F01-13 for Age "&amp;Z476&amp;" "&amp;Z477&amp;" is more than Tested F01-12"&amp;CHAR(10),""),IF(AA490&gt;AA489," * Positive F01-13 for Age "&amp;Z476&amp;" "&amp;AA477&amp;" is more than Tested F01-12"&amp;CHAR(10),""))</f>
        <v/>
      </c>
      <c r="AL489" s="1396"/>
      <c r="AM489" s="31" t="str">
        <f>CONCATENATE(IF(AND(IFERROR((AJ490*100)/AJ489,0)&gt;10,AJ490&gt;5)," * This facility has a high positivity rate for Index Testing. Kindly confirm if this is the true reflection"&amp;CHAR(10),""),"")</f>
        <v/>
      </c>
      <c r="AN489" s="794"/>
      <c r="AO489" s="13">
        <v>32</v>
      </c>
      <c r="AP489" s="81"/>
      <c r="AQ489" s="82"/>
    </row>
    <row r="490" spans="1:43" s="83" customFormat="1" ht="25.5" x14ac:dyDescent="0.75">
      <c r="A490" s="1112"/>
      <c r="B490" s="737" t="s">
        <v>1058</v>
      </c>
      <c r="C490" s="741" t="s">
        <v>1115</v>
      </c>
      <c r="D490" s="725"/>
      <c r="E490" s="753"/>
      <c r="F490" s="739"/>
      <c r="G490" s="551"/>
      <c r="H490" s="717"/>
      <c r="I490" s="481"/>
      <c r="J490" s="717"/>
      <c r="K490" s="481"/>
      <c r="L490" s="717"/>
      <c r="M490" s="481"/>
      <c r="N490" s="717"/>
      <c r="O490" s="481"/>
      <c r="P490" s="717"/>
      <c r="Q490" s="481"/>
      <c r="R490" s="717"/>
      <c r="S490" s="481"/>
      <c r="T490" s="717"/>
      <c r="U490" s="481"/>
      <c r="V490" s="717"/>
      <c r="W490" s="481"/>
      <c r="X490" s="717"/>
      <c r="Y490" s="481"/>
      <c r="Z490" s="717"/>
      <c r="AA490" s="489">
        <f t="shared" si="254"/>
        <v>0</v>
      </c>
      <c r="AB490" s="717"/>
      <c r="AC490" s="731"/>
      <c r="AD490" s="717"/>
      <c r="AE490" s="731"/>
      <c r="AF490" s="717"/>
      <c r="AG490" s="731"/>
      <c r="AH490" s="717"/>
      <c r="AI490" s="731"/>
      <c r="AJ490" s="479">
        <f t="shared" si="243"/>
        <v>0</v>
      </c>
      <c r="AK490" s="1114"/>
      <c r="AL490" s="1396"/>
      <c r="AM490" s="31" t="e">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0"&amp;CHAR(10),""),IF(#REF!&gt;0," * F01-14 for Age "&amp;D476&amp;" "&amp;D477&amp;" has a value greater than 0"&amp;CHAR(10),""),IF(#REF!&gt;0,"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#REF!</v>
      </c>
      <c r="AN490" s="794"/>
      <c r="AO490" s="13">
        <v>33</v>
      </c>
      <c r="AP490" s="81"/>
      <c r="AQ490" s="82"/>
    </row>
    <row r="491" spans="1:43" s="83" customFormat="1" ht="25.5" x14ac:dyDescent="0.75">
      <c r="A491" s="1112"/>
      <c r="B491" s="737" t="s">
        <v>1060</v>
      </c>
      <c r="C491" s="741" t="s">
        <v>1116</v>
      </c>
      <c r="D491" s="725"/>
      <c r="E491" s="753"/>
      <c r="F491" s="739"/>
      <c r="G491" s="551"/>
      <c r="H491" s="717"/>
      <c r="I491" s="481"/>
      <c r="J491" s="717"/>
      <c r="K491" s="481"/>
      <c r="L491" s="717"/>
      <c r="M491" s="481"/>
      <c r="N491" s="717"/>
      <c r="O491" s="481"/>
      <c r="P491" s="717"/>
      <c r="Q491" s="481"/>
      <c r="R491" s="717"/>
      <c r="S491" s="481"/>
      <c r="T491" s="717"/>
      <c r="U491" s="481"/>
      <c r="V491" s="717"/>
      <c r="W491" s="481"/>
      <c r="X491" s="717"/>
      <c r="Y491" s="481"/>
      <c r="Z491" s="717"/>
      <c r="AA491" s="489">
        <f t="shared" si="254"/>
        <v>0</v>
      </c>
      <c r="AB491" s="717"/>
      <c r="AC491" s="731"/>
      <c r="AD491" s="717"/>
      <c r="AE491" s="731"/>
      <c r="AF491" s="717"/>
      <c r="AG491" s="731"/>
      <c r="AH491" s="717"/>
      <c r="AI491" s="731"/>
      <c r="AJ491" s="479">
        <f t="shared" si="243"/>
        <v>0</v>
      </c>
      <c r="AK491" s="470"/>
      <c r="AL491" s="1396"/>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94"/>
      <c r="AO491" s="13">
        <v>33</v>
      </c>
      <c r="AP491" s="81"/>
      <c r="AQ491" s="82"/>
    </row>
    <row r="492" spans="1:43" s="83" customFormat="1" ht="25.9" thickBot="1" x14ac:dyDescent="0.8">
      <c r="A492" s="1113"/>
      <c r="B492" s="738" t="s">
        <v>1062</v>
      </c>
      <c r="C492" s="742" t="s">
        <v>1117</v>
      </c>
      <c r="D492" s="726"/>
      <c r="E492" s="754"/>
      <c r="F492" s="743"/>
      <c r="G492" s="758"/>
      <c r="H492" s="722"/>
      <c r="I492" s="716"/>
      <c r="J492" s="722"/>
      <c r="K492" s="716"/>
      <c r="L492" s="722"/>
      <c r="M492" s="716"/>
      <c r="N492" s="722"/>
      <c r="O492" s="716"/>
      <c r="P492" s="722"/>
      <c r="Q492" s="716"/>
      <c r="R492" s="722"/>
      <c r="S492" s="716"/>
      <c r="T492" s="722"/>
      <c r="U492" s="716"/>
      <c r="V492" s="722"/>
      <c r="W492" s="716"/>
      <c r="X492" s="722"/>
      <c r="Y492" s="716"/>
      <c r="Z492" s="722"/>
      <c r="AA492" s="489">
        <f t="shared" si="254"/>
        <v>0</v>
      </c>
      <c r="AB492" s="722"/>
      <c r="AC492" s="759"/>
      <c r="AD492" s="722"/>
      <c r="AE492" s="759"/>
      <c r="AF492" s="722"/>
      <c r="AG492" s="759"/>
      <c r="AH492" s="722"/>
      <c r="AI492" s="759"/>
      <c r="AJ492" s="480">
        <f t="shared" si="243"/>
        <v>0</v>
      </c>
      <c r="AK492" s="470"/>
      <c r="AL492" s="1396"/>
      <c r="AM492" s="31" t="str">
        <f>CONCATENATE(IF(D491&gt;0," * F01-12 for Age "&amp;D478&amp;" "&amp;D479&amp;" has a value greater than 0"&amp;CHAR(10),""),IF(E491&gt;0," * F01-12 for Age "&amp;D478&amp;" "&amp;E479&amp;" has a value greater than 0"&amp;CHAR(10),""),IF(D492&gt;0," * F01-13 for Age "&amp;D478&amp;" "&amp;D479&amp;" has a value greater than 0"&amp;CHAR(10),""),IF(E492&gt;0," * F01-13 for Age "&amp;D478&amp;" "&amp;E479&amp;" has a value greater than 0"&amp;CHAR(10),""),IF(D554&gt;0," * F01-14 for Age "&amp;D478&amp;" "&amp;D479&amp;" has a value greater than 0"&amp;CHAR(10),""),IF(E554&gt;0," * F01-14 for Age "&amp;D478&amp;" "&amp;E479&amp;" has a value greater than 0"&amp;CHAR(10),""),IF(D555&gt;0," * F01-15 for Age "&amp;D478&amp;" "&amp;D479&amp;" has a value greater than 0"&amp;CHAR(10),""),IF(E555&gt;0," * F01-15 for Age "&amp;D478&amp;" "&amp;E479&amp;" has a value greater than 0"&amp;CHAR(10),""),IF(D560&gt;0," * F01-20 for Age "&amp;D478&amp;" "&amp;D479&amp;" has a value greater than 0"&amp;CHAR(10),""),IF(E560&gt;0," * F01-20 for Age "&amp;D478&amp;" "&amp;E479&amp;" has a value greater than 0"&amp;CHAR(10),""),IF(D561&gt;0," * F01-21 for Age "&amp;D478&amp;" "&amp;D479&amp;" has a value greater than 0"&amp;CHAR(10),""),IF(E561&gt;0," * F01-21 for Age "&amp;D478&amp;" "&amp;E479&amp;" has a value greater than 0"&amp;CHAR(10),""),IF(D562&gt;0," * F01-22 for Age "&amp;D478&amp;" "&amp;D479&amp;" has a value greater than 0"&amp;CHAR(10),""),IF(E562&gt;0," * F01-22 for Age "&amp;D478&amp;" "&amp;E479&amp;" has a value greater than 0"&amp;CHAR(10),""),IF(D563&gt;0," * F01-23 for Age "&amp;D478&amp;" "&amp;D479&amp;" has a value greater than 0"&amp;CHAR(10),""),IF(E563&gt;0," * F01-23 for Age "&amp;D478&amp;" "&amp;E479&amp;" has a value greater than 0"&amp;CHAR(10),""),"")</f>
        <v/>
      </c>
      <c r="AN492" s="794"/>
      <c r="AO492" s="13">
        <v>33</v>
      </c>
      <c r="AP492" s="81"/>
      <c r="AQ492" s="82"/>
    </row>
    <row r="493" spans="1:43" s="83" customFormat="1" ht="25.5" x14ac:dyDescent="0.75">
      <c r="A493" s="1111" t="s">
        <v>1081</v>
      </c>
      <c r="B493" s="736" t="s">
        <v>138</v>
      </c>
      <c r="C493" s="740" t="s">
        <v>1118</v>
      </c>
      <c r="D493" s="723"/>
      <c r="E493" s="751"/>
      <c r="F493" s="723">
        <f>F299+F301+F303+F305+F307+F309+F311</f>
        <v>0</v>
      </c>
      <c r="G493" s="735">
        <f t="shared" ref="G493:AI493" si="256">G299+G301+G303+G305+G307+G309+G311+G313</f>
        <v>0</v>
      </c>
      <c r="H493" s="735">
        <f t="shared" si="256"/>
        <v>0</v>
      </c>
      <c r="I493" s="735">
        <f t="shared" si="256"/>
        <v>0</v>
      </c>
      <c r="J493" s="735">
        <f t="shared" si="256"/>
        <v>0</v>
      </c>
      <c r="K493" s="735">
        <f t="shared" si="256"/>
        <v>0</v>
      </c>
      <c r="L493" s="735">
        <f t="shared" si="256"/>
        <v>0</v>
      </c>
      <c r="M493" s="735">
        <f t="shared" si="256"/>
        <v>0</v>
      </c>
      <c r="N493" s="735">
        <f t="shared" si="256"/>
        <v>0</v>
      </c>
      <c r="O493" s="735">
        <f t="shared" si="256"/>
        <v>0</v>
      </c>
      <c r="P493" s="735">
        <f t="shared" si="256"/>
        <v>0</v>
      </c>
      <c r="Q493" s="735">
        <f t="shared" si="256"/>
        <v>0</v>
      </c>
      <c r="R493" s="735">
        <f t="shared" si="256"/>
        <v>0</v>
      </c>
      <c r="S493" s="735">
        <f t="shared" si="256"/>
        <v>0</v>
      </c>
      <c r="T493" s="735">
        <f t="shared" si="256"/>
        <v>0</v>
      </c>
      <c r="U493" s="735">
        <f t="shared" si="256"/>
        <v>0</v>
      </c>
      <c r="V493" s="735">
        <f t="shared" si="256"/>
        <v>0</v>
      </c>
      <c r="W493" s="735">
        <f t="shared" si="256"/>
        <v>0</v>
      </c>
      <c r="X493" s="735">
        <f t="shared" si="256"/>
        <v>0</v>
      </c>
      <c r="Y493" s="735">
        <f t="shared" si="256"/>
        <v>0</v>
      </c>
      <c r="Z493" s="735">
        <f t="shared" si="256"/>
        <v>0</v>
      </c>
      <c r="AA493" s="735">
        <f t="shared" si="256"/>
        <v>0</v>
      </c>
      <c r="AB493" s="735">
        <f t="shared" si="256"/>
        <v>0</v>
      </c>
      <c r="AC493" s="735">
        <f t="shared" si="256"/>
        <v>0</v>
      </c>
      <c r="AD493" s="735">
        <f t="shared" si="256"/>
        <v>0</v>
      </c>
      <c r="AE493" s="735">
        <f t="shared" si="256"/>
        <v>0</v>
      </c>
      <c r="AF493" s="735">
        <f t="shared" si="256"/>
        <v>0</v>
      </c>
      <c r="AG493" s="735">
        <f t="shared" si="256"/>
        <v>0</v>
      </c>
      <c r="AH493" s="735">
        <f t="shared" si="256"/>
        <v>0</v>
      </c>
      <c r="AI493" s="735">
        <f t="shared" si="256"/>
        <v>0</v>
      </c>
      <c r="AJ493" s="477">
        <f t="shared" si="243"/>
        <v>0</v>
      </c>
      <c r="AK493" s="545" t="str">
        <f>CONCATENATE(IF((D494+D495+D496+D497)&lt;&gt;D493," * "&amp;$A493&amp;" , "&amp;$B494&amp;" plus "&amp;$B495&amp;" plus "&amp;$B496&amp;" plus "&amp;$B497&amp;" For age "&amp;$D$20&amp;" "&amp;$D$21&amp;" should be equal to "&amp;$B493&amp;""&amp;CHAR(10),""),IF((E494+E495+E496+E497)&lt;&gt;E493," * "&amp;$A493&amp;" , "&amp;$B494&amp;" plus "&amp;$B495&amp;" plus "&amp;$B496&amp;" plus "&amp;$B497&amp;" For age "&amp;$D$20&amp;" "&amp;$E$21&amp;" should be equal to "&amp;$B493&amp;""&amp;CHAR(10),""),IF((F494+F495+F496+F497)&lt;&gt;F493," * "&amp;$A493&amp;" , "&amp;$B494&amp;" plus "&amp;$B495&amp;" plus "&amp;$B496&amp;" plus "&amp;$B497&amp;" For age "&amp;$F$20&amp;" "&amp;$F$21&amp;" should be equal to "&amp;$B493&amp;""&amp;CHAR(10),""),IF((G494+G495+G496+G497)&lt;&gt;G493," * "&amp;$A493&amp;" , "&amp;$B494&amp;" plus "&amp;$B495&amp;" plus "&amp;$B496&amp;" plus "&amp;$B497&amp;" For age "&amp;$F$20&amp;" "&amp;$G$21&amp;" should be equal to "&amp;$B493&amp;""&amp;CHAR(10),""),IF((H494+H495+H496+H497)&lt;&gt;H493," * "&amp;$A493&amp;" , "&amp;$B494&amp;" plus "&amp;$B495&amp;" plus "&amp;$B496&amp;" plus "&amp;$B497&amp;" For age "&amp;$H$20&amp;" "&amp;$H$21&amp;" should be equal to "&amp;$B493&amp;""&amp;CHAR(10),""),IF((I494+I495+I496+I497)&lt;&gt;I493," * "&amp;$A493&amp;" , "&amp;$B494&amp;" plus "&amp;$B495&amp;" plus "&amp;$B496&amp;" plus "&amp;$B497&amp;" For age "&amp;$H$20&amp;" "&amp;$I$21&amp;" should be equal to "&amp;$B493&amp;""&amp;CHAR(10),""),IF((J494+J495+J496+J497)&lt;&gt;J493," * "&amp;$A493&amp;" , "&amp;$B494&amp;" plus "&amp;$B495&amp;" plus "&amp;$B496&amp;" plus "&amp;$B497&amp;" For age "&amp;$J$20&amp;" "&amp;$J$21&amp;" should be equal to "&amp;$B493&amp;""&amp;CHAR(10),""),IF((K494+K495+K496+K497)&lt;&gt;K493," * "&amp;$A493&amp;" , "&amp;$B494&amp;" plus "&amp;$B495&amp;" plus "&amp;$B496&amp;" plus "&amp;$B497&amp;" For age "&amp;$J$20&amp;" "&amp;$K$21&amp;" should be equal to "&amp;$B493&amp;""&amp;CHAR(10),""),IF((L494+L495+L496+L497)&lt;&gt;L493," * "&amp;$A493&amp;" , "&amp;$B494&amp;" plus "&amp;$B495&amp;" plus "&amp;$B496&amp;" plus "&amp;$B497&amp;" For age "&amp;$L$20&amp;" "&amp;$L$21&amp;" should be equal to "&amp;$B493&amp;""&amp;CHAR(10),""),IF((M494+M495+M496+M497)&lt;&gt;M493," * "&amp;$A493&amp;" , "&amp;$B494&amp;" plus "&amp;$B495&amp;" plus "&amp;$B496&amp;" plus "&amp;$B497&amp;" For age "&amp;$L$20&amp;" "&amp;$M$21&amp;" should be equal to "&amp;$B493&amp;""&amp;CHAR(10),""),IF((N494+N495+N496+N497)&lt;&gt;N493," * "&amp;$A493&amp;" , "&amp;$B494&amp;" plus "&amp;$B495&amp;" plus "&amp;$B496&amp;" plus "&amp;$B497&amp;" For age "&amp;$N$20&amp;" "&amp;$N$21&amp;" should be equal to "&amp;$B493&amp;""&amp;CHAR(10),""),IF((O494+O495+O496+O497)&lt;&gt;O493," * "&amp;$A493&amp;" , "&amp;$B494&amp;" plus "&amp;$B495&amp;" plus "&amp;$B496&amp;" plus "&amp;$B497&amp;" For age "&amp;$N$20&amp;" "&amp;$O$21&amp;" should be equal to "&amp;$B493&amp;""&amp;CHAR(10),""),IF((P494+P495+P496+P497)&lt;&gt;P493," * "&amp;$A493&amp;" , "&amp;$B494&amp;" plus "&amp;$B495&amp;" plus "&amp;$B496&amp;" plus "&amp;$B497&amp;" For age "&amp;$P$20&amp;" "&amp;$P$21&amp;" should be equal to "&amp;$B493&amp;""&amp;CHAR(10),""),IF((Q494+Q495+Q496+Q497)&lt;&gt;Q493," * "&amp;$A493&amp;" , "&amp;$B494&amp;" plus "&amp;$B495&amp;" plus "&amp;$B496&amp;" plus "&amp;$B497&amp;" For age "&amp;$P$20&amp;" "&amp;$Q$21&amp;" should be equal to "&amp;$B493&amp;""&amp;CHAR(10),""),IF((R494+R495+R496+R497)&lt;&gt;R493," * "&amp;$A493&amp;" , "&amp;$B494&amp;" plus "&amp;$B495&amp;" plus "&amp;$B496&amp;" plus "&amp;$B497&amp;" For age "&amp;$R$20&amp;" "&amp;$R$21&amp;" should be equal to "&amp;$B493&amp;""&amp;CHAR(10),""),IF((S494+S495+S496+S497)&lt;&gt;S493," * "&amp;$A493&amp;" , "&amp;$B494&amp;" plus "&amp;$B495&amp;" plus "&amp;$B496&amp;" plus "&amp;$B497&amp;" For age "&amp;$R$20&amp;" "&amp;$S$21&amp;" should be equal to "&amp;$B493&amp;""&amp;CHAR(10),""),IF((T494+T495+T496+T497)&lt;&gt;T493," * "&amp;$A493&amp;" , "&amp;$B494&amp;" plus "&amp;$B495&amp;" plus "&amp;$B496&amp;" plus "&amp;$B497&amp;" For age "&amp;$T$20&amp;" "&amp;$T$21&amp;" should be equal to "&amp;$B493&amp;""&amp;CHAR(10),""),IF((U494+U495+U496+U497)&lt;&gt;U493," * "&amp;$A493&amp;" , "&amp;$B494&amp;" plus "&amp;$B495&amp;" plus "&amp;$B496&amp;" plus "&amp;$B497&amp;" For age "&amp;$T$20&amp;" "&amp;$U$21&amp;" should be equal to "&amp;$B493&amp;""&amp;CHAR(10),""),IF((V494+V495+V496+V497)&lt;&gt;V493," * "&amp;$A493&amp;" , "&amp;$B494&amp;" plus "&amp;$B495&amp;" plus "&amp;$B496&amp;" plus "&amp;$B497&amp;" For age "&amp;$V$20&amp;" "&amp;$V$21&amp;" should be equal to "&amp;$B493&amp;""&amp;CHAR(10),""),IF((W494+W495+W496+W497)&lt;&gt;W493," * "&amp;$A493&amp;" , "&amp;$B494&amp;" plus "&amp;$B495&amp;" plus "&amp;$B496&amp;" plus "&amp;$B497&amp;" For age "&amp;$V$20&amp;" "&amp;$W$21&amp;" should be equal to "&amp;$B493&amp;""&amp;CHAR(10),""),IF((X494+X495+X496+X497)&lt;&gt;X493," * "&amp;$A493&amp;" , "&amp;$B494&amp;" plus "&amp;$B495&amp;" plus "&amp;$B496&amp;" plus "&amp;$B497&amp;" For age "&amp;$X$20&amp;" "&amp;$X$21&amp;" should be equal to "&amp;$B493&amp;""&amp;CHAR(10),""),IF((Y494+Y495+Y496+Y497)&lt;&gt;Y493," * "&amp;$A493&amp;" , "&amp;$B494&amp;" plus "&amp;$B495&amp;" plus "&amp;$B496&amp;" plus "&amp;$B497&amp;" For age "&amp;$X$20&amp;" "&amp;$Y$21&amp;" should be equal to "&amp;$B493&amp;""&amp;CHAR(10),""),IF((Z494+Z495+Z496+Z497)&lt;&gt;Z493," * "&amp;$A493&amp;" , "&amp;$B494&amp;" plus "&amp;$B495&amp;" plus "&amp;$B496&amp;" plus "&amp;$B497&amp;" For age "&amp;$Z$20&amp;" "&amp;$Z$21&amp;" should be equal to "&amp;$B493&amp;""&amp;CHAR(10),""),IF((AA494+AA495+AA496+AA497)&lt;&gt;AA493," * "&amp;$A493&amp;" , "&amp;$B494&amp;" plus "&amp;$B495&amp;" plus "&amp;$B496&amp;" plus "&amp;$B497&amp;" For age "&amp;$Z$20&amp;" "&amp;$AA$21&amp;" should be equal to "&amp;$B493&amp;""&amp;CHAR(10),""))</f>
        <v/>
      </c>
      <c r="AL493" s="1396"/>
      <c r="AM493" s="31"/>
      <c r="AN493" s="794"/>
      <c r="AO493" s="13">
        <v>31</v>
      </c>
      <c r="AP493" s="81"/>
      <c r="AQ493" s="82"/>
    </row>
    <row r="494" spans="1:43" s="83" customFormat="1" ht="25.5" x14ac:dyDescent="0.75">
      <c r="A494" s="1112"/>
      <c r="B494" s="737" t="s">
        <v>1077</v>
      </c>
      <c r="C494" s="741" t="s">
        <v>1119</v>
      </c>
      <c r="D494" s="625"/>
      <c r="E494" s="752"/>
      <c r="F494" s="725"/>
      <c r="G494" s="551"/>
      <c r="H494" s="717"/>
      <c r="I494" s="481"/>
      <c r="J494" s="717"/>
      <c r="K494" s="481"/>
      <c r="L494" s="717"/>
      <c r="M494" s="481"/>
      <c r="N494" s="717"/>
      <c r="O494" s="481"/>
      <c r="P494" s="717"/>
      <c r="Q494" s="481"/>
      <c r="R494" s="717"/>
      <c r="S494" s="481"/>
      <c r="T494" s="717"/>
      <c r="U494" s="481"/>
      <c r="V494" s="717"/>
      <c r="W494" s="481"/>
      <c r="X494" s="717"/>
      <c r="Y494" s="481"/>
      <c r="Z494" s="717"/>
      <c r="AA494" s="489">
        <f t="shared" si="254"/>
        <v>0</v>
      </c>
      <c r="AB494" s="717"/>
      <c r="AC494" s="731"/>
      <c r="AD494" s="717"/>
      <c r="AE494" s="731"/>
      <c r="AF494" s="717"/>
      <c r="AG494" s="731"/>
      <c r="AH494" s="717"/>
      <c r="AI494" s="731"/>
      <c r="AJ494" s="478">
        <f t="shared" si="243"/>
        <v>0</v>
      </c>
      <c r="AK494" s="1114" t="str">
        <f>CONCATENATE(IF(D495&gt;D494," * Positive F01-13 for Age "&amp;D481&amp;" "&amp;D482&amp;" is more than Tested F01-12"&amp;CHAR(10),""),IF(E495&gt;E494," * Positive F01-13 for Age "&amp;D481&amp;" "&amp;E482&amp;" is more than Tested F01-12"&amp;CHAR(10),""),IF(F495&gt;F494," * Positive F01-13 for Age "&amp;F481&amp;" "&amp;F482&amp;" is more than Tested F01-12"&amp;CHAR(10),""),IF(G495&gt;G494," * Positive F01-13 for Age "&amp;F481&amp;" "&amp;G482&amp;" is more than Tested F01-12"&amp;CHAR(10),""),IF(H495&gt;H494," * Positive F01-13 for Age "&amp;H481&amp;" "&amp;H482&amp;" is more than Tested F01-12"&amp;CHAR(10),""),IF(I495&gt;I494," * Positive F01-13 for Age "&amp;H481&amp;" "&amp;I482&amp;" is more than Tested F01-12"&amp;CHAR(10),""),IF(J495&gt;J494," * Positive F01-13 for Age "&amp;J481&amp;" "&amp;J482&amp;" is more than Tested F01-12"&amp;CHAR(10),""),IF(K495&gt;K494," * Positive F01-13 for Age "&amp;J481&amp;" "&amp;K482&amp;" is more than Tested F01-12"&amp;CHAR(10),""),IF(L495&gt;L494," * Positive F01-13 for Age "&amp;L481&amp;" "&amp;L482&amp;" is more than Tested F01-12"&amp;CHAR(10),""),IF(M495&gt;M494," * Positive F01-13 for Age "&amp;L481&amp;" "&amp;M482&amp;" is more than Tested F01-12"&amp;CHAR(10),""),IF(N495&gt;N494," * Positive F01-13 for Age "&amp;N481&amp;" "&amp;N482&amp;" is more than Tested F01-12"&amp;CHAR(10),""),IF(O495&gt;O494," * Positive F01-13 for Age "&amp;N481&amp;" "&amp;O482&amp;" is more than Tested F01-12"&amp;CHAR(10),""),IF(P495&gt;P494," * Positive F01-13 for Age "&amp;P481&amp;" "&amp;P482&amp;" is more than Tested F01-12"&amp;CHAR(10),""),IF(Q495&gt;Q494," * Positive F01-13 for Age "&amp;P481&amp;" "&amp;Q482&amp;" is more than Tested F01-12"&amp;CHAR(10),""),IF(R495&gt;R494," * Positive F01-13 for Age "&amp;R481&amp;" "&amp;R482&amp;" is more than Tested F01-12"&amp;CHAR(10),""),IF(S495&gt;S494," * Positive F01-13 for Age "&amp;R481&amp;" "&amp;S482&amp;" is more than Tested F01-12"&amp;CHAR(10),""),IF(T495&gt;T494," * Positive F01-13 for Age "&amp;T481&amp;" "&amp;T482&amp;" is more than Tested F01-12"&amp;CHAR(10),""),IF(U495&gt;U494," * Positive F01-13 for Age "&amp;T481&amp;" "&amp;U482&amp;" is more than Tested F01-12"&amp;CHAR(10),""),IF(V495&gt;V494," * Positive F01-13 for Age "&amp;V481&amp;" "&amp;V482&amp;" is more than Tested F01-12"&amp;CHAR(10),""),IF(W495&gt;W494," * Positive F01-13 for Age "&amp;V481&amp;" "&amp;W482&amp;" is more than Tested F01-12"&amp;CHAR(10),""),IF(X495&gt;X494," * Positive F01-13 for Age "&amp;X481&amp;" "&amp;X482&amp;" is more than Tested F01-12"&amp;CHAR(10),""),IF(Y495&gt;Y494," * Positive F01-13 for Age "&amp;X481&amp;" "&amp;Y482&amp;" is more than Tested F01-12"&amp;CHAR(10),""),IF(Z495&gt;Z494," * Positive F01-13 for Age "&amp;Z481&amp;" "&amp;Z482&amp;" is more than Tested F01-12"&amp;CHAR(10),""),IF(AA495&gt;AA494," * Positive F01-13 for Age "&amp;Z481&amp;" "&amp;AA482&amp;" is more than Tested F01-12"&amp;CHAR(10),""))</f>
        <v/>
      </c>
      <c r="AL494" s="1396"/>
      <c r="AM494" s="31" t="str">
        <f>CONCATENATE(IF(AND(IFERROR((AJ495*100)/AJ494,0)&gt;10,AJ495&gt;5)," * This facility has a high positivity rate for Index Testing. Kindly confirm if this is the true reflection"&amp;CHAR(10),""),"")</f>
        <v/>
      </c>
      <c r="AN494" s="794"/>
      <c r="AO494" s="13">
        <v>32</v>
      </c>
      <c r="AP494" s="81"/>
      <c r="AQ494" s="82"/>
    </row>
    <row r="495" spans="1:43" s="83" customFormat="1" ht="25.5" x14ac:dyDescent="0.75">
      <c r="A495" s="1112"/>
      <c r="B495" s="737" t="s">
        <v>1058</v>
      </c>
      <c r="C495" s="741" t="s">
        <v>1120</v>
      </c>
      <c r="D495" s="725"/>
      <c r="E495" s="753"/>
      <c r="F495" s="725"/>
      <c r="G495" s="551"/>
      <c r="H495" s="717"/>
      <c r="I495" s="481"/>
      <c r="J495" s="717"/>
      <c r="K495" s="481"/>
      <c r="L495" s="717"/>
      <c r="M495" s="481"/>
      <c r="N495" s="717"/>
      <c r="O495" s="481"/>
      <c r="P495" s="717"/>
      <c r="Q495" s="481"/>
      <c r="R495" s="717"/>
      <c r="S495" s="481"/>
      <c r="T495" s="717"/>
      <c r="U495" s="481"/>
      <c r="V495" s="717"/>
      <c r="W495" s="481"/>
      <c r="X495" s="717"/>
      <c r="Y495" s="481"/>
      <c r="Z495" s="717"/>
      <c r="AA495" s="489">
        <f t="shared" si="254"/>
        <v>0</v>
      </c>
      <c r="AB495" s="717"/>
      <c r="AC495" s="731"/>
      <c r="AD495" s="717"/>
      <c r="AE495" s="731"/>
      <c r="AF495" s="717"/>
      <c r="AG495" s="731"/>
      <c r="AH495" s="717"/>
      <c r="AI495" s="731"/>
      <c r="AJ495" s="479">
        <f t="shared" si="243"/>
        <v>0</v>
      </c>
      <c r="AK495" s="1114"/>
      <c r="AL495" s="1396"/>
      <c r="AM495" s="31" t="e">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0"&amp;CHAR(10),""),IF(#REF!&gt;0," * F01-14 for Age "&amp;D481&amp;" "&amp;D482&amp;" has a value greater than 0"&amp;CHAR(10),""),IF(#REF!&gt;0,"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#REF!</v>
      </c>
      <c r="AN495" s="794"/>
      <c r="AO495" s="13">
        <v>33</v>
      </c>
      <c r="AP495" s="81"/>
      <c r="AQ495" s="82"/>
    </row>
    <row r="496" spans="1:43" s="83" customFormat="1" ht="25.5" x14ac:dyDescent="0.75">
      <c r="A496" s="1112"/>
      <c r="B496" s="737" t="s">
        <v>1060</v>
      </c>
      <c r="C496" s="741" t="s">
        <v>1121</v>
      </c>
      <c r="D496" s="725"/>
      <c r="E496" s="753"/>
      <c r="F496" s="725"/>
      <c r="G496" s="551"/>
      <c r="H496" s="717"/>
      <c r="I496" s="481"/>
      <c r="J496" s="717"/>
      <c r="K496" s="481"/>
      <c r="L496" s="717"/>
      <c r="M496" s="481"/>
      <c r="N496" s="717"/>
      <c r="O496" s="481"/>
      <c r="P496" s="717"/>
      <c r="Q496" s="481"/>
      <c r="R496" s="717"/>
      <c r="S496" s="481"/>
      <c r="T496" s="717"/>
      <c r="U496" s="481"/>
      <c r="V496" s="717"/>
      <c r="W496" s="481"/>
      <c r="X496" s="717"/>
      <c r="Y496" s="481"/>
      <c r="Z496" s="717"/>
      <c r="AA496" s="489">
        <f t="shared" si="254"/>
        <v>0</v>
      </c>
      <c r="AB496" s="717"/>
      <c r="AC496" s="731"/>
      <c r="AD496" s="717"/>
      <c r="AE496" s="731"/>
      <c r="AF496" s="717"/>
      <c r="AG496" s="731"/>
      <c r="AH496" s="717"/>
      <c r="AI496" s="731"/>
      <c r="AJ496" s="479">
        <f t="shared" si="243"/>
        <v>0</v>
      </c>
      <c r="AK496" s="470"/>
      <c r="AL496" s="1396"/>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94"/>
      <c r="AO496" s="13">
        <v>33</v>
      </c>
      <c r="AP496" s="81"/>
      <c r="AQ496" s="82"/>
    </row>
    <row r="497" spans="1:43" s="83" customFormat="1" ht="25.9" thickBot="1" x14ac:dyDescent="0.8">
      <c r="A497" s="1113"/>
      <c r="B497" s="738" t="s">
        <v>1062</v>
      </c>
      <c r="C497" s="742" t="s">
        <v>1122</v>
      </c>
      <c r="D497" s="726"/>
      <c r="E497" s="754"/>
      <c r="F497" s="761"/>
      <c r="G497" s="553"/>
      <c r="H497" s="732"/>
      <c r="I497" s="549"/>
      <c r="J497" s="732"/>
      <c r="K497" s="549"/>
      <c r="L497" s="732"/>
      <c r="M497" s="549"/>
      <c r="N497" s="732"/>
      <c r="O497" s="549"/>
      <c r="P497" s="732"/>
      <c r="Q497" s="549"/>
      <c r="R497" s="732"/>
      <c r="S497" s="549"/>
      <c r="T497" s="732"/>
      <c r="U497" s="549"/>
      <c r="V497" s="732"/>
      <c r="W497" s="549"/>
      <c r="X497" s="732"/>
      <c r="Y497" s="549"/>
      <c r="Z497" s="732"/>
      <c r="AA497" s="489">
        <f t="shared" si="254"/>
        <v>0</v>
      </c>
      <c r="AB497" s="732"/>
      <c r="AC497" s="733"/>
      <c r="AD497" s="732"/>
      <c r="AE497" s="733"/>
      <c r="AF497" s="732"/>
      <c r="AG497" s="733"/>
      <c r="AH497" s="732"/>
      <c r="AI497" s="733"/>
      <c r="AJ497" s="480">
        <f t="shared" ref="AJ497:AJ501" si="257">SUM(D497:AA497)</f>
        <v>0</v>
      </c>
      <c r="AK497" s="470"/>
      <c r="AL497" s="1396"/>
      <c r="AM497" s="31" t="str">
        <f>CONCATENATE(IF(D496&gt;0," * F01-12 for Age "&amp;D483&amp;" "&amp;D484&amp;" has a value greater than 0"&amp;CHAR(10),""),IF(E496&gt;0," * F01-12 for Age "&amp;D483&amp;" "&amp;E484&amp;" has a value greater than 0"&amp;CHAR(10),""),IF(D497&gt;0," * F01-13 for Age "&amp;D483&amp;" "&amp;D484&amp;" has a value greater than 0"&amp;CHAR(10),""),IF(E497&gt;0," * F01-13 for Age "&amp;D483&amp;" "&amp;E484&amp;" has a value greater than 0"&amp;CHAR(10),""),IF(D559&gt;0," * F01-14 for Age "&amp;D483&amp;" "&amp;D484&amp;" has a value greater than 0"&amp;CHAR(10),""),IF(E559&gt;0," * F01-14 for Age "&amp;D483&amp;" "&amp;E484&amp;" has a value greater than 0"&amp;CHAR(10),""),IF(D560&gt;0," * F01-15 for Age "&amp;D483&amp;" "&amp;D484&amp;" has a value greater than 0"&amp;CHAR(10),""),IF(E560&gt;0," * F01-15 for Age "&amp;D483&amp;" "&amp;E484&amp;" has a value greater than 0"&amp;CHAR(10),""),IF(D565&gt;0," * F01-20 for Age "&amp;D483&amp;" "&amp;D484&amp;" has a value greater than 0"&amp;CHAR(10),""),IF(E565&gt;0," * F01-20 for Age "&amp;D483&amp;" "&amp;E484&amp;" has a value greater than 0"&amp;CHAR(10),""),IF(D566&gt;0," * F01-21 for Age "&amp;D483&amp;" "&amp;D484&amp;" has a value greater than 0"&amp;CHAR(10),""),IF(E566&gt;0," * F01-21 for Age "&amp;D483&amp;" "&amp;E484&amp;" has a value greater than 0"&amp;CHAR(10),""),IF(D567&gt;0," * F01-22 for Age "&amp;D483&amp;" "&amp;D484&amp;" has a value greater than 0"&amp;CHAR(10),""),IF(E567&gt;0," * F01-22 for Age "&amp;D483&amp;" "&amp;E484&amp;" has a value greater than 0"&amp;CHAR(10),""),IF(D568&gt;0," * F01-23 for Age "&amp;D483&amp;" "&amp;D484&amp;" has a value greater than 0"&amp;CHAR(10),""),IF(E568&gt;0," * F01-23 for Age "&amp;D483&amp;" "&amp;E484&amp;" has a value greater than 0"&amp;CHAR(10),""),"")</f>
        <v/>
      </c>
      <c r="AN497" s="794"/>
      <c r="AO497" s="13">
        <v>33</v>
      </c>
      <c r="AP497" s="81"/>
      <c r="AQ497" s="82"/>
    </row>
    <row r="498" spans="1:43" s="83" customFormat="1" ht="25.5" x14ac:dyDescent="0.75">
      <c r="A498" s="1111" t="s">
        <v>1128</v>
      </c>
      <c r="B498" s="475" t="s">
        <v>138</v>
      </c>
      <c r="C498" s="719" t="s">
        <v>1123</v>
      </c>
      <c r="D498" s="723"/>
      <c r="E498" s="751"/>
      <c r="F498" s="755">
        <f>F438+F443+F448+F453+F458+F463+F468+F473+F478+F483+F488+F493</f>
        <v>0</v>
      </c>
      <c r="G498" s="734">
        <f t="shared" ref="G498:AA501" si="258">G438+G443+G448+G453+G458+G463+G468+G473+G478+G483+G488+G493</f>
        <v>0</v>
      </c>
      <c r="H498" s="734">
        <f t="shared" si="258"/>
        <v>0</v>
      </c>
      <c r="I498" s="734">
        <f t="shared" si="258"/>
        <v>0</v>
      </c>
      <c r="J498" s="734">
        <f t="shared" si="258"/>
        <v>0</v>
      </c>
      <c r="K498" s="734">
        <f t="shared" si="258"/>
        <v>0</v>
      </c>
      <c r="L498" s="734">
        <f t="shared" si="258"/>
        <v>0</v>
      </c>
      <c r="M498" s="734">
        <f t="shared" si="258"/>
        <v>0</v>
      </c>
      <c r="N498" s="734">
        <f t="shared" si="258"/>
        <v>0</v>
      </c>
      <c r="O498" s="734">
        <f t="shared" si="258"/>
        <v>0</v>
      </c>
      <c r="P498" s="734">
        <f t="shared" si="258"/>
        <v>0</v>
      </c>
      <c r="Q498" s="734">
        <f t="shared" si="258"/>
        <v>0</v>
      </c>
      <c r="R498" s="734">
        <f t="shared" si="258"/>
        <v>0</v>
      </c>
      <c r="S498" s="734">
        <f t="shared" si="258"/>
        <v>0</v>
      </c>
      <c r="T498" s="734">
        <f t="shared" si="258"/>
        <v>0</v>
      </c>
      <c r="U498" s="734">
        <f t="shared" si="258"/>
        <v>0</v>
      </c>
      <c r="V498" s="734">
        <f t="shared" si="258"/>
        <v>0</v>
      </c>
      <c r="W498" s="734">
        <f t="shared" si="258"/>
        <v>0</v>
      </c>
      <c r="X498" s="734">
        <f t="shared" si="258"/>
        <v>0</v>
      </c>
      <c r="Y498" s="734">
        <f t="shared" si="258"/>
        <v>0</v>
      </c>
      <c r="Z498" s="734">
        <f t="shared" si="258"/>
        <v>0</v>
      </c>
      <c r="AA498" s="760">
        <f t="shared" si="258"/>
        <v>0</v>
      </c>
      <c r="AB498" s="734">
        <f t="shared" ref="AB498:AI498" si="259">AB438+AB443+AB448+AB453+AB458+AB463+AB468+AB473+AB478+AB483+AB488+AB493</f>
        <v>0</v>
      </c>
      <c r="AC498" s="760">
        <f t="shared" si="259"/>
        <v>0</v>
      </c>
      <c r="AD498" s="734">
        <f t="shared" si="259"/>
        <v>0</v>
      </c>
      <c r="AE498" s="760">
        <f t="shared" si="259"/>
        <v>0</v>
      </c>
      <c r="AF498" s="734">
        <f t="shared" si="259"/>
        <v>0</v>
      </c>
      <c r="AG498" s="760">
        <f t="shared" si="259"/>
        <v>0</v>
      </c>
      <c r="AH498" s="734">
        <f t="shared" si="259"/>
        <v>0</v>
      </c>
      <c r="AI498" s="760">
        <f t="shared" si="259"/>
        <v>0</v>
      </c>
      <c r="AJ498" s="477">
        <f t="shared" si="257"/>
        <v>0</v>
      </c>
      <c r="AK498" s="468"/>
      <c r="AL498" s="1396"/>
      <c r="AM498" s="31"/>
      <c r="AN498" s="794"/>
      <c r="AO498" s="13">
        <v>31</v>
      </c>
      <c r="AP498" s="81"/>
      <c r="AQ498" s="82"/>
    </row>
    <row r="499" spans="1:43" s="83" customFormat="1" ht="25.5" x14ac:dyDescent="0.75">
      <c r="A499" s="1112"/>
      <c r="B499" s="472" t="s">
        <v>1077</v>
      </c>
      <c r="C499" s="720" t="s">
        <v>1124</v>
      </c>
      <c r="D499" s="625"/>
      <c r="E499" s="752"/>
      <c r="F499" s="756">
        <f t="shared" ref="F499:U501" si="260">F439+F444+F449+F454+F459+F464+F469+F474+F479+F484+F489+F494</f>
        <v>0</v>
      </c>
      <c r="G499" s="718">
        <f t="shared" si="260"/>
        <v>0</v>
      </c>
      <c r="H499" s="718">
        <f t="shared" si="260"/>
        <v>0</v>
      </c>
      <c r="I499" s="718">
        <f t="shared" si="260"/>
        <v>0</v>
      </c>
      <c r="J499" s="718">
        <f t="shared" si="260"/>
        <v>0</v>
      </c>
      <c r="K499" s="718">
        <f t="shared" si="260"/>
        <v>0</v>
      </c>
      <c r="L499" s="718">
        <f t="shared" si="260"/>
        <v>0</v>
      </c>
      <c r="M499" s="718">
        <f t="shared" si="260"/>
        <v>0</v>
      </c>
      <c r="N499" s="718">
        <f t="shared" si="260"/>
        <v>0</v>
      </c>
      <c r="O499" s="718">
        <f t="shared" si="260"/>
        <v>0</v>
      </c>
      <c r="P499" s="718">
        <f t="shared" si="260"/>
        <v>0</v>
      </c>
      <c r="Q499" s="718">
        <f t="shared" si="260"/>
        <v>0</v>
      </c>
      <c r="R499" s="718">
        <f t="shared" si="260"/>
        <v>0</v>
      </c>
      <c r="S499" s="718">
        <f t="shared" si="260"/>
        <v>0</v>
      </c>
      <c r="T499" s="718">
        <f t="shared" si="260"/>
        <v>0</v>
      </c>
      <c r="U499" s="718">
        <f t="shared" si="260"/>
        <v>0</v>
      </c>
      <c r="V499" s="718">
        <f t="shared" si="258"/>
        <v>0</v>
      </c>
      <c r="W499" s="718">
        <f t="shared" si="258"/>
        <v>0</v>
      </c>
      <c r="X499" s="718">
        <f t="shared" si="258"/>
        <v>0</v>
      </c>
      <c r="Y499" s="718">
        <f t="shared" si="258"/>
        <v>0</v>
      </c>
      <c r="Z499" s="718">
        <f t="shared" si="258"/>
        <v>0</v>
      </c>
      <c r="AA499" s="724">
        <f t="shared" si="258"/>
        <v>0</v>
      </c>
      <c r="AB499" s="718">
        <f t="shared" ref="AB499:AI499" si="261">AB439+AB444+AB449+AB454+AB459+AB464+AB469+AB474+AB479+AB484+AB489+AB494</f>
        <v>0</v>
      </c>
      <c r="AC499" s="724">
        <f t="shared" si="261"/>
        <v>0</v>
      </c>
      <c r="AD499" s="718">
        <f t="shared" si="261"/>
        <v>0</v>
      </c>
      <c r="AE499" s="724">
        <f t="shared" si="261"/>
        <v>0</v>
      </c>
      <c r="AF499" s="718">
        <f t="shared" si="261"/>
        <v>0</v>
      </c>
      <c r="AG499" s="724">
        <f t="shared" si="261"/>
        <v>0</v>
      </c>
      <c r="AH499" s="718">
        <f t="shared" si="261"/>
        <v>0</v>
      </c>
      <c r="AI499" s="724">
        <f t="shared" si="261"/>
        <v>0</v>
      </c>
      <c r="AJ499" s="478">
        <f t="shared" si="257"/>
        <v>0</v>
      </c>
      <c r="AK499" s="1114" t="str">
        <f>CONCATENATE(IF(D500&gt;D499," * Positive F01-13 for Age "&amp;D486&amp;" "&amp;D487&amp;" is more than Tested F01-12"&amp;CHAR(10),""),IF(E500&gt;E499," * Positive F01-13 for Age "&amp;D486&amp;" "&amp;E487&amp;" is more than Tested F01-12"&amp;CHAR(10),""),IF(F500&gt;F499," * Positive F01-13 for Age "&amp;F486&amp;" "&amp;F487&amp;" is more than Tested F01-12"&amp;CHAR(10),""),IF(G500&gt;G499," * Positive F01-13 for Age "&amp;F486&amp;" "&amp;G487&amp;" is more than Tested F01-12"&amp;CHAR(10),""),IF(H500&gt;H499," * Positive F01-13 for Age "&amp;H486&amp;" "&amp;H487&amp;" is more than Tested F01-12"&amp;CHAR(10),""),IF(I500&gt;I499," * Positive F01-13 for Age "&amp;H486&amp;" "&amp;I487&amp;" is more than Tested F01-12"&amp;CHAR(10),""),IF(J500&gt;J499," * Positive F01-13 for Age "&amp;J486&amp;" "&amp;J487&amp;" is more than Tested F01-12"&amp;CHAR(10),""),IF(K500&gt;K499," * Positive F01-13 for Age "&amp;J486&amp;" "&amp;K487&amp;" is more than Tested F01-12"&amp;CHAR(10),""),IF(L500&gt;L499," * Positive F01-13 for Age "&amp;L486&amp;" "&amp;L487&amp;" is more than Tested F01-12"&amp;CHAR(10),""),IF(M500&gt;M499," * Positive F01-13 for Age "&amp;L486&amp;" "&amp;M487&amp;" is more than Tested F01-12"&amp;CHAR(10),""),IF(N500&gt;N499," * Positive F01-13 for Age "&amp;N486&amp;" "&amp;N487&amp;" is more than Tested F01-12"&amp;CHAR(10),""),IF(O500&gt;O499," * Positive F01-13 for Age "&amp;N486&amp;" "&amp;O487&amp;" is more than Tested F01-12"&amp;CHAR(10),""),IF(P500&gt;P499," * Positive F01-13 for Age "&amp;P486&amp;" "&amp;P487&amp;" is more than Tested F01-12"&amp;CHAR(10),""),IF(Q500&gt;Q499," * Positive F01-13 for Age "&amp;P486&amp;" "&amp;Q487&amp;" is more than Tested F01-12"&amp;CHAR(10),""),IF(R500&gt;R499," * Positive F01-13 for Age "&amp;R486&amp;" "&amp;R487&amp;" is more than Tested F01-12"&amp;CHAR(10),""),IF(S500&gt;S499," * Positive F01-13 for Age "&amp;R486&amp;" "&amp;S487&amp;" is more than Tested F01-12"&amp;CHAR(10),""),IF(T500&gt;T499," * Positive F01-13 for Age "&amp;T486&amp;" "&amp;T487&amp;" is more than Tested F01-12"&amp;CHAR(10),""),IF(U500&gt;U499," * Positive F01-13 for Age "&amp;T486&amp;" "&amp;U487&amp;" is more than Tested F01-12"&amp;CHAR(10),""),IF(V500&gt;V499," * Positive F01-13 for Age "&amp;V486&amp;" "&amp;V487&amp;" is more than Tested F01-12"&amp;CHAR(10),""),IF(W500&gt;W499," * Positive F01-13 for Age "&amp;V486&amp;" "&amp;W487&amp;" is more than Tested F01-12"&amp;CHAR(10),""),IF(X500&gt;X499," * Positive F01-13 for Age "&amp;X486&amp;" "&amp;X487&amp;" is more than Tested F01-12"&amp;CHAR(10),""),IF(Y500&gt;Y499," * Positive F01-13 for Age "&amp;X486&amp;" "&amp;Y487&amp;" is more than Tested F01-12"&amp;CHAR(10),""),IF(Z500&gt;Z499," * Positive F01-13 for Age "&amp;Z486&amp;" "&amp;Z487&amp;" is more than Tested F01-12"&amp;CHAR(10),""),IF(AA500&gt;AA499," * Positive F01-13 for Age "&amp;Z486&amp;" "&amp;AA487&amp;" is more than Tested F01-12"&amp;CHAR(10),""))</f>
        <v/>
      </c>
      <c r="AL499" s="1396"/>
      <c r="AM499" s="31" t="str">
        <f>CONCATENATE(IF(AND(IFERROR((AJ500*100)/AJ499,0)&gt;10,AJ500&gt;5)," * This facility has a high positivity rate for Index Testing. Kindly confirm if this is the true reflection"&amp;CHAR(10),""),"")</f>
        <v/>
      </c>
      <c r="AN499" s="794"/>
      <c r="AO499" s="13">
        <v>32</v>
      </c>
      <c r="AP499" s="81"/>
      <c r="AQ499" s="82"/>
    </row>
    <row r="500" spans="1:43" s="83" customFormat="1" ht="25.5" x14ac:dyDescent="0.75">
      <c r="A500" s="1112"/>
      <c r="B500" s="472" t="s">
        <v>1058</v>
      </c>
      <c r="C500" s="720" t="s">
        <v>1125</v>
      </c>
      <c r="D500" s="725"/>
      <c r="E500" s="753"/>
      <c r="F500" s="756">
        <f t="shared" si="260"/>
        <v>0</v>
      </c>
      <c r="G500" s="718">
        <f t="shared" si="258"/>
        <v>0</v>
      </c>
      <c r="H500" s="718">
        <f t="shared" si="258"/>
        <v>0</v>
      </c>
      <c r="I500" s="718">
        <f t="shared" si="258"/>
        <v>0</v>
      </c>
      <c r="J500" s="718">
        <f t="shared" si="258"/>
        <v>0</v>
      </c>
      <c r="K500" s="718">
        <f t="shared" si="258"/>
        <v>0</v>
      </c>
      <c r="L500" s="718">
        <f t="shared" si="258"/>
        <v>0</v>
      </c>
      <c r="M500" s="718">
        <f t="shared" si="258"/>
        <v>0</v>
      </c>
      <c r="N500" s="718">
        <f t="shared" si="258"/>
        <v>0</v>
      </c>
      <c r="O500" s="718">
        <f t="shared" si="258"/>
        <v>0</v>
      </c>
      <c r="P500" s="718">
        <f t="shared" si="258"/>
        <v>0</v>
      </c>
      <c r="Q500" s="718">
        <f t="shared" si="258"/>
        <v>0</v>
      </c>
      <c r="R500" s="718">
        <f t="shared" si="258"/>
        <v>0</v>
      </c>
      <c r="S500" s="718">
        <f t="shared" si="258"/>
        <v>0</v>
      </c>
      <c r="T500" s="718">
        <f t="shared" si="258"/>
        <v>0</v>
      </c>
      <c r="U500" s="718">
        <f t="shared" si="258"/>
        <v>0</v>
      </c>
      <c r="V500" s="718">
        <f t="shared" si="258"/>
        <v>0</v>
      </c>
      <c r="W500" s="718">
        <f t="shared" si="258"/>
        <v>0</v>
      </c>
      <c r="X500" s="718">
        <f t="shared" si="258"/>
        <v>0</v>
      </c>
      <c r="Y500" s="718">
        <f t="shared" si="258"/>
        <v>0</v>
      </c>
      <c r="Z500" s="718">
        <f t="shared" si="258"/>
        <v>0</v>
      </c>
      <c r="AA500" s="724">
        <f t="shared" si="258"/>
        <v>0</v>
      </c>
      <c r="AB500" s="718">
        <f t="shared" ref="AB500:AI500" si="262">AB440+AB445+AB450+AB455+AB460+AB465+AB470+AB475+AB480+AB485+AB490+AB495</f>
        <v>0</v>
      </c>
      <c r="AC500" s="724">
        <f t="shared" si="262"/>
        <v>0</v>
      </c>
      <c r="AD500" s="718">
        <f t="shared" si="262"/>
        <v>0</v>
      </c>
      <c r="AE500" s="724">
        <f t="shared" si="262"/>
        <v>0</v>
      </c>
      <c r="AF500" s="718">
        <f t="shared" si="262"/>
        <v>0</v>
      </c>
      <c r="AG500" s="724">
        <f t="shared" si="262"/>
        <v>0</v>
      </c>
      <c r="AH500" s="718">
        <f t="shared" si="262"/>
        <v>0</v>
      </c>
      <c r="AI500" s="724">
        <f t="shared" si="262"/>
        <v>0</v>
      </c>
      <c r="AJ500" s="479">
        <f t="shared" si="257"/>
        <v>0</v>
      </c>
      <c r="AK500" s="1114"/>
      <c r="AL500" s="1396"/>
      <c r="AM500" s="31" t="e">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0"&amp;CHAR(10),""),IF(#REF!&gt;0," * F01-14 for Age "&amp;D486&amp;" "&amp;D487&amp;" has a value greater than 0"&amp;CHAR(10),""),IF(#REF!&gt;0,"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#REF!</v>
      </c>
      <c r="AN500" s="794"/>
      <c r="AO500" s="13">
        <v>33</v>
      </c>
      <c r="AP500" s="81"/>
      <c r="AQ500" s="82"/>
    </row>
    <row r="501" spans="1:43" s="83" customFormat="1" ht="25.5" x14ac:dyDescent="0.75">
      <c r="A501" s="1112"/>
      <c r="B501" s="472" t="s">
        <v>1060</v>
      </c>
      <c r="C501" s="720" t="s">
        <v>1126</v>
      </c>
      <c r="D501" s="725"/>
      <c r="E501" s="753"/>
      <c r="F501" s="756">
        <f t="shared" si="260"/>
        <v>0</v>
      </c>
      <c r="G501" s="718">
        <f t="shared" si="258"/>
        <v>0</v>
      </c>
      <c r="H501" s="718">
        <f t="shared" si="258"/>
        <v>0</v>
      </c>
      <c r="I501" s="718">
        <f t="shared" si="258"/>
        <v>0</v>
      </c>
      <c r="J501" s="718">
        <f t="shared" si="258"/>
        <v>0</v>
      </c>
      <c r="K501" s="718">
        <f t="shared" si="258"/>
        <v>0</v>
      </c>
      <c r="L501" s="718">
        <f t="shared" si="258"/>
        <v>0</v>
      </c>
      <c r="M501" s="718">
        <f t="shared" si="258"/>
        <v>0</v>
      </c>
      <c r="N501" s="718">
        <f t="shared" si="258"/>
        <v>0</v>
      </c>
      <c r="O501" s="718">
        <f t="shared" si="258"/>
        <v>0</v>
      </c>
      <c r="P501" s="718">
        <f t="shared" si="258"/>
        <v>0</v>
      </c>
      <c r="Q501" s="718">
        <f t="shared" si="258"/>
        <v>0</v>
      </c>
      <c r="R501" s="718">
        <f t="shared" si="258"/>
        <v>0</v>
      </c>
      <c r="S501" s="718">
        <f t="shared" si="258"/>
        <v>0</v>
      </c>
      <c r="T501" s="718">
        <f t="shared" si="258"/>
        <v>0</v>
      </c>
      <c r="U501" s="718">
        <f t="shared" si="258"/>
        <v>0</v>
      </c>
      <c r="V501" s="718">
        <f t="shared" si="258"/>
        <v>0</v>
      </c>
      <c r="W501" s="718">
        <f t="shared" si="258"/>
        <v>0</v>
      </c>
      <c r="X501" s="718">
        <f t="shared" si="258"/>
        <v>0</v>
      </c>
      <c r="Y501" s="718">
        <f t="shared" si="258"/>
        <v>0</v>
      </c>
      <c r="Z501" s="718">
        <f t="shared" si="258"/>
        <v>0</v>
      </c>
      <c r="AA501" s="724">
        <f t="shared" si="258"/>
        <v>0</v>
      </c>
      <c r="AB501" s="718">
        <f t="shared" ref="AB501:AI501" si="263">AB441+AB446+AB451+AB456+AB461+AB466+AB471+AB476+AB481+AB486+AB491+AB496</f>
        <v>0</v>
      </c>
      <c r="AC501" s="724">
        <f t="shared" si="263"/>
        <v>0</v>
      </c>
      <c r="AD501" s="718">
        <f t="shared" si="263"/>
        <v>0</v>
      </c>
      <c r="AE501" s="724">
        <f t="shared" si="263"/>
        <v>0</v>
      </c>
      <c r="AF501" s="718">
        <f t="shared" si="263"/>
        <v>0</v>
      </c>
      <c r="AG501" s="724">
        <f t="shared" si="263"/>
        <v>0</v>
      </c>
      <c r="AH501" s="718">
        <f t="shared" si="263"/>
        <v>0</v>
      </c>
      <c r="AI501" s="724">
        <f t="shared" si="263"/>
        <v>0</v>
      </c>
      <c r="AJ501" s="479">
        <f t="shared" si="257"/>
        <v>0</v>
      </c>
      <c r="AK501" s="470"/>
      <c r="AL501" s="1396"/>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94"/>
      <c r="AO501" s="13">
        <v>33</v>
      </c>
      <c r="AP501" s="81"/>
      <c r="AQ501" s="82"/>
    </row>
    <row r="502" spans="1:43" s="83" customFormat="1" ht="25.9" thickBot="1" x14ac:dyDescent="0.8">
      <c r="A502" s="1113"/>
      <c r="B502" s="546" t="s">
        <v>1062</v>
      </c>
      <c r="C502" s="721" t="s">
        <v>1127</v>
      </c>
      <c r="D502" s="726"/>
      <c r="E502" s="754"/>
      <c r="F502" s="757">
        <f>SUM(F497,F492,F487,F482,F477,F472,F467,F462,F457,F452,F447,F442)</f>
        <v>0</v>
      </c>
      <c r="G502" s="727">
        <f t="shared" ref="G502:AA502" si="264">SUM(G497,G492,G487,G482,G477,G472,G467,G462,G457,G452,G447,G442)</f>
        <v>0</v>
      </c>
      <c r="H502" s="727">
        <f t="shared" si="264"/>
        <v>0</v>
      </c>
      <c r="I502" s="727">
        <f t="shared" si="264"/>
        <v>0</v>
      </c>
      <c r="J502" s="727">
        <f t="shared" si="264"/>
        <v>0</v>
      </c>
      <c r="K502" s="727">
        <f t="shared" si="264"/>
        <v>0</v>
      </c>
      <c r="L502" s="727">
        <f t="shared" si="264"/>
        <v>0</v>
      </c>
      <c r="M502" s="727">
        <f t="shared" si="264"/>
        <v>0</v>
      </c>
      <c r="N502" s="727">
        <f t="shared" si="264"/>
        <v>0</v>
      </c>
      <c r="O502" s="727">
        <f t="shared" si="264"/>
        <v>0</v>
      </c>
      <c r="P502" s="727">
        <f t="shared" si="264"/>
        <v>0</v>
      </c>
      <c r="Q502" s="727">
        <f t="shared" si="264"/>
        <v>0</v>
      </c>
      <c r="R502" s="727">
        <f t="shared" si="264"/>
        <v>0</v>
      </c>
      <c r="S502" s="727">
        <f t="shared" si="264"/>
        <v>0</v>
      </c>
      <c r="T502" s="727">
        <f t="shared" si="264"/>
        <v>0</v>
      </c>
      <c r="U502" s="727">
        <f t="shared" si="264"/>
        <v>0</v>
      </c>
      <c r="V502" s="727">
        <f t="shared" si="264"/>
        <v>0</v>
      </c>
      <c r="W502" s="727">
        <f t="shared" si="264"/>
        <v>0</v>
      </c>
      <c r="X502" s="727">
        <f t="shared" si="264"/>
        <v>0</v>
      </c>
      <c r="Y502" s="727">
        <f t="shared" si="264"/>
        <v>0</v>
      </c>
      <c r="Z502" s="727">
        <f t="shared" si="264"/>
        <v>0</v>
      </c>
      <c r="AA502" s="728">
        <f t="shared" si="264"/>
        <v>0</v>
      </c>
      <c r="AB502" s="727">
        <f t="shared" ref="AB502:AI502" si="265">SUM(AB497,AB492,AB487,AB482,AB477,AB472,AB467,AB462,AB457,AB452,AB447,AB442)</f>
        <v>0</v>
      </c>
      <c r="AC502" s="728">
        <f t="shared" si="265"/>
        <v>0</v>
      </c>
      <c r="AD502" s="727">
        <f t="shared" si="265"/>
        <v>0</v>
      </c>
      <c r="AE502" s="728">
        <f t="shared" si="265"/>
        <v>0</v>
      </c>
      <c r="AF502" s="727">
        <f t="shared" si="265"/>
        <v>0</v>
      </c>
      <c r="AG502" s="728">
        <f t="shared" si="265"/>
        <v>0</v>
      </c>
      <c r="AH502" s="727">
        <f t="shared" si="265"/>
        <v>0</v>
      </c>
      <c r="AI502" s="728">
        <f t="shared" si="265"/>
        <v>0</v>
      </c>
      <c r="AJ502" s="480">
        <f t="shared" ref="AJ502" si="266">SUM(D502:AA502)</f>
        <v>0</v>
      </c>
      <c r="AK502" s="470"/>
      <c r="AL502" s="1397"/>
      <c r="AM502" s="31" t="str">
        <f>CONCATENATE(IF(D501&gt;0," * F01-12 for Age "&amp;D488&amp;" "&amp;D489&amp;" has a value greater than 0"&amp;CHAR(10),""),IF(E501&gt;0," * F01-12 for Age "&amp;D488&amp;" "&amp;E489&amp;" has a value greater than 0"&amp;CHAR(10),""),IF(D502&gt;0," * F01-13 for Age "&amp;D488&amp;" "&amp;D489&amp;" has a value greater than 0"&amp;CHAR(10),""),IF(E502&gt;0," * F01-13 for Age "&amp;D488&amp;" "&amp;E489&amp;" has a value greater than 0"&amp;CHAR(10),""),IF(D564&gt;0," * F01-14 for Age "&amp;D488&amp;" "&amp;D489&amp;" has a value greater than 0"&amp;CHAR(10),""),IF(E564&gt;0," * F01-14 for Age "&amp;D488&amp;" "&amp;E489&amp;" has a value greater than 0"&amp;CHAR(10),""),IF(D565&gt;0," * F01-15 for Age "&amp;D488&amp;" "&amp;D489&amp;" has a value greater than 0"&amp;CHAR(10),""),IF(E565&gt;0," * F01-15 for Age "&amp;D488&amp;" "&amp;E489&amp;" has a value greater than 0"&amp;CHAR(10),""),IF(D570&gt;0," * F01-20 for Age "&amp;D488&amp;" "&amp;D489&amp;" has a value greater than 0"&amp;CHAR(10),""),IF(E570&gt;0," * F01-20 for Age "&amp;D488&amp;" "&amp;E489&amp;" has a value greater than 0"&amp;CHAR(10),""),IF(D571&gt;0," * F01-21 for Age "&amp;D488&amp;" "&amp;D489&amp;" has a value greater than 0"&amp;CHAR(10),""),IF(E571&gt;0," * F01-21 for Age "&amp;D488&amp;" "&amp;E489&amp;" has a value greater than 0"&amp;CHAR(10),""),IF(D572&gt;0," * F01-22 for Age "&amp;D488&amp;" "&amp;D489&amp;" has a value greater than 0"&amp;CHAR(10),""),IF(E572&gt;0," * F01-22 for Age "&amp;D488&amp;" "&amp;E489&amp;" has a value greater than 0"&amp;CHAR(10),""),IF(D573&gt;0," * F01-23 for Age "&amp;D488&amp;" "&amp;D489&amp;" has a value greater than 0"&amp;CHAR(10),""),IF(E573&gt;0," * F01-23 for Age "&amp;D488&amp;" "&amp;E489&amp;" has a value greater than 0"&amp;CHAR(10),""),"")</f>
        <v/>
      </c>
      <c r="AN502" s="795"/>
      <c r="AO502" s="13">
        <v>33</v>
      </c>
      <c r="AP502" s="81"/>
      <c r="AQ502" s="82"/>
    </row>
    <row r="503" spans="1:43" ht="63" customHeight="1" thickBot="1" x14ac:dyDescent="0.8">
      <c r="A503" s="957" t="s">
        <v>443</v>
      </c>
      <c r="B503" s="474"/>
      <c r="C503" s="9"/>
      <c r="D503" s="269"/>
      <c r="E503" s="269"/>
      <c r="F503" s="7"/>
      <c r="G503" s="7"/>
      <c r="H503" s="269"/>
      <c r="I503" s="7"/>
      <c r="J503" s="7"/>
      <c r="K503" s="269"/>
      <c r="L503" s="269"/>
      <c r="M503" s="7"/>
      <c r="N503" s="7"/>
      <c r="O503" s="7"/>
      <c r="P503" s="269"/>
      <c r="Q503" s="7"/>
      <c r="R503" s="269"/>
      <c r="S503" s="269"/>
      <c r="T503" s="269"/>
      <c r="U503" s="269"/>
      <c r="V503" s="269"/>
      <c r="W503" s="269"/>
      <c r="X503" s="7"/>
      <c r="Y503" s="269"/>
      <c r="Z503" s="269"/>
      <c r="AA503" s="269"/>
      <c r="AB503" s="269"/>
      <c r="AC503" s="269"/>
      <c r="AD503" s="269"/>
      <c r="AE503" s="269"/>
      <c r="AF503" s="269"/>
      <c r="AG503" s="269"/>
      <c r="AH503" s="269"/>
      <c r="AI503" s="269"/>
      <c r="AJ503" s="269"/>
      <c r="AK503" s="9"/>
      <c r="AM503" s="269"/>
      <c r="AN503" s="269"/>
      <c r="AO503" s="270"/>
      <c r="AP503" s="74"/>
      <c r="AQ503" s="75"/>
    </row>
    <row r="505" spans="1:43" ht="28.9" thickBot="1" x14ac:dyDescent="0.75">
      <c r="A505" s="958"/>
      <c r="B505" s="271"/>
      <c r="E505" s="8"/>
      <c r="F505" s="8"/>
      <c r="G505" s="8"/>
      <c r="H505" s="8"/>
      <c r="I505" s="8"/>
      <c r="J505" s="8"/>
      <c r="K505" s="8"/>
      <c r="L505" s="8"/>
      <c r="M505" s="8"/>
    </row>
    <row r="506" spans="1:43" s="278" customFormat="1" ht="41.25" customHeight="1" thickBot="1" x14ac:dyDescent="0.5">
      <c r="A506" s="1270" t="s">
        <v>899</v>
      </c>
      <c r="B506" s="1271"/>
      <c r="C506" s="1271"/>
      <c r="D506" s="1271"/>
      <c r="E506" s="1271"/>
      <c r="F506" s="1271"/>
      <c r="G506" s="1271"/>
      <c r="H506" s="1271"/>
      <c r="I506" s="1271"/>
      <c r="J506" s="1271"/>
      <c r="K506" s="1271"/>
      <c r="L506" s="1271"/>
      <c r="M506" s="1272" t="s">
        <v>896</v>
      </c>
      <c r="N506" s="1271"/>
      <c r="O506" s="1271"/>
      <c r="P506" s="1271"/>
      <c r="Q506" s="1271"/>
      <c r="R506" s="1271"/>
      <c r="S506" s="1271"/>
      <c r="T506" s="1271"/>
      <c r="U506" s="1271"/>
      <c r="V506" s="1271"/>
      <c r="W506" s="1271"/>
      <c r="X506" s="1271"/>
      <c r="Y506" s="1271"/>
      <c r="Z506" s="1271"/>
      <c r="AA506" s="1271"/>
      <c r="AB506" s="1271"/>
      <c r="AC506" s="1271"/>
      <c r="AD506" s="1271"/>
      <c r="AE506" s="1271"/>
      <c r="AF506" s="1271"/>
      <c r="AG506" s="1271"/>
      <c r="AH506" s="1271"/>
      <c r="AI506" s="1271"/>
      <c r="AJ506" s="1271"/>
      <c r="AK506" s="1271"/>
      <c r="AL506" s="1271"/>
      <c r="AM506" s="1271"/>
      <c r="AN506" s="1273"/>
      <c r="AO506" s="275"/>
      <c r="AP506" s="276"/>
      <c r="AQ506" s="277"/>
    </row>
    <row r="507" spans="1:43" ht="30.75" customHeight="1" x14ac:dyDescent="0.7">
      <c r="A507" s="1261" t="str">
        <f>CONCATENATE(AL422,AL402,AL391,AL374,AL346,AL328,AL316,AL292,AL274,AL265,AL256,AL247,AL238,AL211,AL181,AL124,AL111,AL22,AL8,AL66,AL438,AL195)</f>
        <v/>
      </c>
      <c r="B507" s="1262"/>
      <c r="C507" s="1262"/>
      <c r="D507" s="1262"/>
      <c r="E507" s="1262"/>
      <c r="F507" s="1262"/>
      <c r="G507" s="1262"/>
      <c r="H507" s="1262"/>
      <c r="I507" s="1262"/>
      <c r="J507" s="1262"/>
      <c r="K507" s="1262"/>
      <c r="L507" s="1263"/>
      <c r="M507" s="1274" t="str">
        <f>IF(LEN(A507)&lt;=0,"","Please ensure you solve the errors appearing on the left . However, In the cases where the errors are valid and can be explained ( We expect this to be very rare cases), Please delete this message and type the  justification for the error here)")</f>
        <v/>
      </c>
      <c r="N507" s="1275"/>
      <c r="O507" s="1275"/>
      <c r="P507" s="1275"/>
      <c r="Q507" s="1275"/>
      <c r="R507" s="1275"/>
      <c r="S507" s="1275"/>
      <c r="T507" s="1275"/>
      <c r="U507" s="1275"/>
      <c r="V507" s="1275"/>
      <c r="W507" s="1275"/>
      <c r="X507" s="1275"/>
      <c r="Y507" s="1275"/>
      <c r="Z507" s="1275"/>
      <c r="AA507" s="1275"/>
      <c r="AB507" s="1275"/>
      <c r="AC507" s="1275"/>
      <c r="AD507" s="1275"/>
      <c r="AE507" s="1275"/>
      <c r="AF507" s="1275"/>
      <c r="AG507" s="1275"/>
      <c r="AH507" s="1275"/>
      <c r="AI507" s="1275"/>
      <c r="AJ507" s="1275"/>
      <c r="AK507" s="1275"/>
      <c r="AL507" s="1275"/>
      <c r="AM507" s="1275"/>
      <c r="AN507" s="1276"/>
    </row>
    <row r="508" spans="1:43" ht="25.5" customHeight="1" x14ac:dyDescent="0.7">
      <c r="A508" s="1264"/>
      <c r="B508" s="1265"/>
      <c r="C508" s="1265"/>
      <c r="D508" s="1265"/>
      <c r="E508" s="1265"/>
      <c r="F508" s="1265"/>
      <c r="G508" s="1265"/>
      <c r="H508" s="1265"/>
      <c r="I508" s="1265"/>
      <c r="J508" s="1265"/>
      <c r="K508" s="1265"/>
      <c r="L508" s="1266"/>
      <c r="M508" s="1277"/>
      <c r="N508" s="1278"/>
      <c r="O508" s="1278"/>
      <c r="P508" s="1278"/>
      <c r="Q508" s="1278"/>
      <c r="R508" s="1278"/>
      <c r="S508" s="1278"/>
      <c r="T508" s="1278"/>
      <c r="U508" s="1278"/>
      <c r="V508" s="1278"/>
      <c r="W508" s="1278"/>
      <c r="X508" s="1278"/>
      <c r="Y508" s="1278"/>
      <c r="Z508" s="1278"/>
      <c r="AA508" s="1278"/>
      <c r="AB508" s="1278"/>
      <c r="AC508" s="1278"/>
      <c r="AD508" s="1278"/>
      <c r="AE508" s="1278"/>
      <c r="AF508" s="1278"/>
      <c r="AG508" s="1278"/>
      <c r="AH508" s="1278"/>
      <c r="AI508" s="1278"/>
      <c r="AJ508" s="1278"/>
      <c r="AK508" s="1278"/>
      <c r="AL508" s="1278"/>
      <c r="AM508" s="1278"/>
      <c r="AN508" s="1279"/>
    </row>
    <row r="509" spans="1:43" ht="30.75" customHeight="1" x14ac:dyDescent="0.7">
      <c r="A509" s="1264"/>
      <c r="B509" s="1265"/>
      <c r="C509" s="1265"/>
      <c r="D509" s="1265"/>
      <c r="E509" s="1265"/>
      <c r="F509" s="1265"/>
      <c r="G509" s="1265"/>
      <c r="H509" s="1265"/>
      <c r="I509" s="1265"/>
      <c r="J509" s="1265"/>
      <c r="K509" s="1265"/>
      <c r="L509" s="1266"/>
      <c r="M509" s="1277"/>
      <c r="N509" s="1278"/>
      <c r="O509" s="1278"/>
      <c r="P509" s="1278"/>
      <c r="Q509" s="1278"/>
      <c r="R509" s="1278"/>
      <c r="S509" s="1278"/>
      <c r="T509" s="1278"/>
      <c r="U509" s="1278"/>
      <c r="V509" s="1278"/>
      <c r="W509" s="1278"/>
      <c r="X509" s="1278"/>
      <c r="Y509" s="1278"/>
      <c r="Z509" s="1278"/>
      <c r="AA509" s="1278"/>
      <c r="AB509" s="1278"/>
      <c r="AC509" s="1278"/>
      <c r="AD509" s="1278"/>
      <c r="AE509" s="1278"/>
      <c r="AF509" s="1278"/>
      <c r="AG509" s="1278"/>
      <c r="AH509" s="1278"/>
      <c r="AI509" s="1278"/>
      <c r="AJ509" s="1278"/>
      <c r="AK509" s="1278"/>
      <c r="AL509" s="1278"/>
      <c r="AM509" s="1278"/>
      <c r="AN509" s="1279"/>
    </row>
    <row r="510" spans="1:43" ht="25.5" customHeight="1" x14ac:dyDescent="0.7">
      <c r="A510" s="1264"/>
      <c r="B510" s="1265"/>
      <c r="C510" s="1265"/>
      <c r="D510" s="1265"/>
      <c r="E510" s="1265"/>
      <c r="F510" s="1265"/>
      <c r="G510" s="1265"/>
      <c r="H510" s="1265"/>
      <c r="I510" s="1265"/>
      <c r="J510" s="1265"/>
      <c r="K510" s="1265"/>
      <c r="L510" s="1266"/>
      <c r="M510" s="1277"/>
      <c r="N510" s="1278"/>
      <c r="O510" s="1278"/>
      <c r="P510" s="1278"/>
      <c r="Q510" s="1278"/>
      <c r="R510" s="1278"/>
      <c r="S510" s="1278"/>
      <c r="T510" s="1278"/>
      <c r="U510" s="1278"/>
      <c r="V510" s="1278"/>
      <c r="W510" s="1278"/>
      <c r="X510" s="1278"/>
      <c r="Y510" s="1278"/>
      <c r="Z510" s="1278"/>
      <c r="AA510" s="1278"/>
      <c r="AB510" s="1278"/>
      <c r="AC510" s="1278"/>
      <c r="AD510" s="1278"/>
      <c r="AE510" s="1278"/>
      <c r="AF510" s="1278"/>
      <c r="AG510" s="1278"/>
      <c r="AH510" s="1278"/>
      <c r="AI510" s="1278"/>
      <c r="AJ510" s="1278"/>
      <c r="AK510" s="1278"/>
      <c r="AL510" s="1278"/>
      <c r="AM510" s="1278"/>
      <c r="AN510" s="1279"/>
    </row>
    <row r="511" spans="1:43" ht="25.5" customHeight="1" x14ac:dyDescent="0.7">
      <c r="A511" s="1264"/>
      <c r="B511" s="1265"/>
      <c r="C511" s="1265"/>
      <c r="D511" s="1265"/>
      <c r="E511" s="1265"/>
      <c r="F511" s="1265"/>
      <c r="G511" s="1265"/>
      <c r="H511" s="1265"/>
      <c r="I511" s="1265"/>
      <c r="J511" s="1265"/>
      <c r="K511" s="1265"/>
      <c r="L511" s="1266"/>
      <c r="M511" s="1277"/>
      <c r="N511" s="1278"/>
      <c r="O511" s="1278"/>
      <c r="P511" s="1278"/>
      <c r="Q511" s="1278"/>
      <c r="R511" s="1278"/>
      <c r="S511" s="1278"/>
      <c r="T511" s="1278"/>
      <c r="U511" s="1278"/>
      <c r="V511" s="1278"/>
      <c r="W511" s="1278"/>
      <c r="X511" s="1278"/>
      <c r="Y511" s="1278"/>
      <c r="Z511" s="1278"/>
      <c r="AA511" s="1278"/>
      <c r="AB511" s="1278"/>
      <c r="AC511" s="1278"/>
      <c r="AD511" s="1278"/>
      <c r="AE511" s="1278"/>
      <c r="AF511" s="1278"/>
      <c r="AG511" s="1278"/>
      <c r="AH511" s="1278"/>
      <c r="AI511" s="1278"/>
      <c r="AJ511" s="1278"/>
      <c r="AK511" s="1278"/>
      <c r="AL511" s="1278"/>
      <c r="AM511" s="1278"/>
      <c r="AN511" s="1279"/>
    </row>
    <row r="512" spans="1:43" ht="25.5" customHeight="1" x14ac:dyDescent="0.7">
      <c r="A512" s="1264"/>
      <c r="B512" s="1265"/>
      <c r="C512" s="1265"/>
      <c r="D512" s="1265"/>
      <c r="E512" s="1265"/>
      <c r="F512" s="1265"/>
      <c r="G512" s="1265"/>
      <c r="H512" s="1265"/>
      <c r="I512" s="1265"/>
      <c r="J512" s="1265"/>
      <c r="K512" s="1265"/>
      <c r="L512" s="1266"/>
      <c r="M512" s="1277"/>
      <c r="N512" s="1278"/>
      <c r="O512" s="1278"/>
      <c r="P512" s="1278"/>
      <c r="Q512" s="1278"/>
      <c r="R512" s="1278"/>
      <c r="S512" s="1278"/>
      <c r="T512" s="1278"/>
      <c r="U512" s="1278"/>
      <c r="V512" s="1278"/>
      <c r="W512" s="1278"/>
      <c r="X512" s="1278"/>
      <c r="Y512" s="1278"/>
      <c r="Z512" s="1278"/>
      <c r="AA512" s="1278"/>
      <c r="AB512" s="1278"/>
      <c r="AC512" s="1278"/>
      <c r="AD512" s="1278"/>
      <c r="AE512" s="1278"/>
      <c r="AF512" s="1278"/>
      <c r="AG512" s="1278"/>
      <c r="AH512" s="1278"/>
      <c r="AI512" s="1278"/>
      <c r="AJ512" s="1278"/>
      <c r="AK512" s="1278"/>
      <c r="AL512" s="1278"/>
      <c r="AM512" s="1278"/>
      <c r="AN512" s="1279"/>
    </row>
    <row r="513" spans="1:43" ht="25.5" customHeight="1" x14ac:dyDescent="0.7">
      <c r="A513" s="1264"/>
      <c r="B513" s="1265"/>
      <c r="C513" s="1265"/>
      <c r="D513" s="1265"/>
      <c r="E513" s="1265"/>
      <c r="F513" s="1265"/>
      <c r="G513" s="1265"/>
      <c r="H513" s="1265"/>
      <c r="I513" s="1265"/>
      <c r="J513" s="1265"/>
      <c r="K513" s="1265"/>
      <c r="L513" s="1266"/>
      <c r="M513" s="1277"/>
      <c r="N513" s="1278"/>
      <c r="O513" s="1278"/>
      <c r="P513" s="1278"/>
      <c r="Q513" s="1278"/>
      <c r="R513" s="1278"/>
      <c r="S513" s="1278"/>
      <c r="T513" s="1278"/>
      <c r="U513" s="1278"/>
      <c r="V513" s="1278"/>
      <c r="W513" s="1278"/>
      <c r="X513" s="1278"/>
      <c r="Y513" s="1278"/>
      <c r="Z513" s="1278"/>
      <c r="AA513" s="1278"/>
      <c r="AB513" s="1278"/>
      <c r="AC513" s="1278"/>
      <c r="AD513" s="1278"/>
      <c r="AE513" s="1278"/>
      <c r="AF513" s="1278"/>
      <c r="AG513" s="1278"/>
      <c r="AH513" s="1278"/>
      <c r="AI513" s="1278"/>
      <c r="AJ513" s="1278"/>
      <c r="AK513" s="1278"/>
      <c r="AL513" s="1278"/>
      <c r="AM513" s="1278"/>
      <c r="AN513" s="1279"/>
    </row>
    <row r="514" spans="1:43" ht="25.5" customHeight="1" x14ac:dyDescent="0.7">
      <c r="A514" s="1264"/>
      <c r="B514" s="1265"/>
      <c r="C514" s="1265"/>
      <c r="D514" s="1265"/>
      <c r="E514" s="1265"/>
      <c r="F514" s="1265"/>
      <c r="G514" s="1265"/>
      <c r="H514" s="1265"/>
      <c r="I514" s="1265"/>
      <c r="J514" s="1265"/>
      <c r="K514" s="1265"/>
      <c r="L514" s="1266"/>
      <c r="M514" s="1277"/>
      <c r="N514" s="1278"/>
      <c r="O514" s="1278"/>
      <c r="P514" s="1278"/>
      <c r="Q514" s="1278"/>
      <c r="R514" s="1278"/>
      <c r="S514" s="1278"/>
      <c r="T514" s="1278"/>
      <c r="U514" s="1278"/>
      <c r="V514" s="1278"/>
      <c r="W514" s="1278"/>
      <c r="X514" s="1278"/>
      <c r="Y514" s="1278"/>
      <c r="Z514" s="1278"/>
      <c r="AA514" s="1278"/>
      <c r="AB514" s="1278"/>
      <c r="AC514" s="1278"/>
      <c r="AD514" s="1278"/>
      <c r="AE514" s="1278"/>
      <c r="AF514" s="1278"/>
      <c r="AG514" s="1278"/>
      <c r="AH514" s="1278"/>
      <c r="AI514" s="1278"/>
      <c r="AJ514" s="1278"/>
      <c r="AK514" s="1278"/>
      <c r="AL514" s="1278"/>
      <c r="AM514" s="1278"/>
      <c r="AN514" s="1279"/>
    </row>
    <row r="515" spans="1:43" ht="25.5" customHeight="1" x14ac:dyDescent="0.7">
      <c r="A515" s="1264"/>
      <c r="B515" s="1265"/>
      <c r="C515" s="1265"/>
      <c r="D515" s="1265"/>
      <c r="E515" s="1265"/>
      <c r="F515" s="1265"/>
      <c r="G515" s="1265"/>
      <c r="H515" s="1265"/>
      <c r="I515" s="1265"/>
      <c r="J515" s="1265"/>
      <c r="K515" s="1265"/>
      <c r="L515" s="1266"/>
      <c r="M515" s="1277"/>
      <c r="N515" s="1278"/>
      <c r="O515" s="1278"/>
      <c r="P515" s="1278"/>
      <c r="Q515" s="1278"/>
      <c r="R515" s="1278"/>
      <c r="S515" s="1278"/>
      <c r="T515" s="1278"/>
      <c r="U515" s="1278"/>
      <c r="V515" s="1278"/>
      <c r="W515" s="1278"/>
      <c r="X515" s="1278"/>
      <c r="Y515" s="1278"/>
      <c r="Z515" s="1278"/>
      <c r="AA515" s="1278"/>
      <c r="AB515" s="1278"/>
      <c r="AC515" s="1278"/>
      <c r="AD515" s="1278"/>
      <c r="AE515" s="1278"/>
      <c r="AF515" s="1278"/>
      <c r="AG515" s="1278"/>
      <c r="AH515" s="1278"/>
      <c r="AI515" s="1278"/>
      <c r="AJ515" s="1278"/>
      <c r="AK515" s="1278"/>
      <c r="AL515" s="1278"/>
      <c r="AM515" s="1278"/>
      <c r="AN515" s="1279"/>
    </row>
    <row r="516" spans="1:43" ht="25.5" customHeight="1" x14ac:dyDescent="0.7">
      <c r="A516" s="1264"/>
      <c r="B516" s="1265"/>
      <c r="C516" s="1265"/>
      <c r="D516" s="1265"/>
      <c r="E516" s="1265"/>
      <c r="F516" s="1265"/>
      <c r="G516" s="1265"/>
      <c r="H516" s="1265"/>
      <c r="I516" s="1265"/>
      <c r="J516" s="1265"/>
      <c r="K516" s="1265"/>
      <c r="L516" s="1266"/>
      <c r="M516" s="1277"/>
      <c r="N516" s="1278"/>
      <c r="O516" s="1278"/>
      <c r="P516" s="1278"/>
      <c r="Q516" s="1278"/>
      <c r="R516" s="1278"/>
      <c r="S516" s="1278"/>
      <c r="T516" s="1278"/>
      <c r="U516" s="1278"/>
      <c r="V516" s="1278"/>
      <c r="W516" s="1278"/>
      <c r="X516" s="1278"/>
      <c r="Y516" s="1278"/>
      <c r="Z516" s="1278"/>
      <c r="AA516" s="1278"/>
      <c r="AB516" s="1278"/>
      <c r="AC516" s="1278"/>
      <c r="AD516" s="1278"/>
      <c r="AE516" s="1278"/>
      <c r="AF516" s="1278"/>
      <c r="AG516" s="1278"/>
      <c r="AH516" s="1278"/>
      <c r="AI516" s="1278"/>
      <c r="AJ516" s="1278"/>
      <c r="AK516" s="1278"/>
      <c r="AL516" s="1278"/>
      <c r="AM516" s="1278"/>
      <c r="AN516" s="1279"/>
    </row>
    <row r="517" spans="1:43" ht="25.5" customHeight="1" x14ac:dyDescent="0.7">
      <c r="A517" s="1264"/>
      <c r="B517" s="1265"/>
      <c r="C517" s="1265"/>
      <c r="D517" s="1265"/>
      <c r="E517" s="1265"/>
      <c r="F517" s="1265"/>
      <c r="G517" s="1265"/>
      <c r="H517" s="1265"/>
      <c r="I517" s="1265"/>
      <c r="J517" s="1265"/>
      <c r="K517" s="1265"/>
      <c r="L517" s="1266"/>
      <c r="M517" s="1277"/>
      <c r="N517" s="1278"/>
      <c r="O517" s="1278"/>
      <c r="P517" s="1278"/>
      <c r="Q517" s="1278"/>
      <c r="R517" s="1278"/>
      <c r="S517" s="1278"/>
      <c r="T517" s="1278"/>
      <c r="U517" s="1278"/>
      <c r="V517" s="1278"/>
      <c r="W517" s="1278"/>
      <c r="X517" s="1278"/>
      <c r="Y517" s="1278"/>
      <c r="Z517" s="1278"/>
      <c r="AA517" s="1278"/>
      <c r="AB517" s="1278"/>
      <c r="AC517" s="1278"/>
      <c r="AD517" s="1278"/>
      <c r="AE517" s="1278"/>
      <c r="AF517" s="1278"/>
      <c r="AG517" s="1278"/>
      <c r="AH517" s="1278"/>
      <c r="AI517" s="1278"/>
      <c r="AJ517" s="1278"/>
      <c r="AK517" s="1278"/>
      <c r="AL517" s="1278"/>
      <c r="AM517" s="1278"/>
      <c r="AN517" s="1279"/>
    </row>
    <row r="518" spans="1:43" ht="25.5" customHeight="1" x14ac:dyDescent="0.7">
      <c r="A518" s="1264"/>
      <c r="B518" s="1265"/>
      <c r="C518" s="1265"/>
      <c r="D518" s="1265"/>
      <c r="E518" s="1265"/>
      <c r="F518" s="1265"/>
      <c r="G518" s="1265"/>
      <c r="H518" s="1265"/>
      <c r="I518" s="1265"/>
      <c r="J518" s="1265"/>
      <c r="K518" s="1265"/>
      <c r="L518" s="1266"/>
      <c r="M518" s="1277"/>
      <c r="N518" s="1278"/>
      <c r="O518" s="1278"/>
      <c r="P518" s="1278"/>
      <c r="Q518" s="1278"/>
      <c r="R518" s="1278"/>
      <c r="S518" s="1278"/>
      <c r="T518" s="1278"/>
      <c r="U518" s="1278"/>
      <c r="V518" s="1278"/>
      <c r="W518" s="1278"/>
      <c r="X518" s="1278"/>
      <c r="Y518" s="1278"/>
      <c r="Z518" s="1278"/>
      <c r="AA518" s="1278"/>
      <c r="AB518" s="1278"/>
      <c r="AC518" s="1278"/>
      <c r="AD518" s="1278"/>
      <c r="AE518" s="1278"/>
      <c r="AF518" s="1278"/>
      <c r="AG518" s="1278"/>
      <c r="AH518" s="1278"/>
      <c r="AI518" s="1278"/>
      <c r="AJ518" s="1278"/>
      <c r="AK518" s="1278"/>
      <c r="AL518" s="1278"/>
      <c r="AM518" s="1278"/>
      <c r="AN518" s="1279"/>
    </row>
    <row r="519" spans="1:43" ht="25.5" customHeight="1" x14ac:dyDescent="0.7">
      <c r="A519" s="1264"/>
      <c r="B519" s="1265"/>
      <c r="C519" s="1265"/>
      <c r="D519" s="1265"/>
      <c r="E519" s="1265"/>
      <c r="F519" s="1265"/>
      <c r="G519" s="1265"/>
      <c r="H519" s="1265"/>
      <c r="I519" s="1265"/>
      <c r="J519" s="1265"/>
      <c r="K519" s="1265"/>
      <c r="L519" s="1266"/>
      <c r="M519" s="1277"/>
      <c r="N519" s="1278"/>
      <c r="O519" s="1278"/>
      <c r="P519" s="1278"/>
      <c r="Q519" s="1278"/>
      <c r="R519" s="1278"/>
      <c r="S519" s="1278"/>
      <c r="T519" s="1278"/>
      <c r="U519" s="1278"/>
      <c r="V519" s="1278"/>
      <c r="W519" s="1278"/>
      <c r="X519" s="1278"/>
      <c r="Y519" s="1278"/>
      <c r="Z519" s="1278"/>
      <c r="AA519" s="1278"/>
      <c r="AB519" s="1278"/>
      <c r="AC519" s="1278"/>
      <c r="AD519" s="1278"/>
      <c r="AE519" s="1278"/>
      <c r="AF519" s="1278"/>
      <c r="AG519" s="1278"/>
      <c r="AH519" s="1278"/>
      <c r="AI519" s="1278"/>
      <c r="AJ519" s="1278"/>
      <c r="AK519" s="1278"/>
      <c r="AL519" s="1278"/>
      <c r="AM519" s="1278"/>
      <c r="AN519" s="1279"/>
    </row>
    <row r="520" spans="1:43" ht="25.5" customHeight="1" x14ac:dyDescent="0.7">
      <c r="A520" s="1264"/>
      <c r="B520" s="1265"/>
      <c r="C520" s="1265"/>
      <c r="D520" s="1265"/>
      <c r="E520" s="1265"/>
      <c r="F520" s="1265"/>
      <c r="G520" s="1265"/>
      <c r="H520" s="1265"/>
      <c r="I520" s="1265"/>
      <c r="J520" s="1265"/>
      <c r="K520" s="1265"/>
      <c r="L520" s="1266"/>
      <c r="M520" s="1277"/>
      <c r="N520" s="1278"/>
      <c r="O520" s="1278"/>
      <c r="P520" s="1278"/>
      <c r="Q520" s="1278"/>
      <c r="R520" s="1278"/>
      <c r="S520" s="1278"/>
      <c r="T520" s="1278"/>
      <c r="U520" s="1278"/>
      <c r="V520" s="1278"/>
      <c r="W520" s="1278"/>
      <c r="X520" s="1278"/>
      <c r="Y520" s="1278"/>
      <c r="Z520" s="1278"/>
      <c r="AA520" s="1278"/>
      <c r="AB520" s="1278"/>
      <c r="AC520" s="1278"/>
      <c r="AD520" s="1278"/>
      <c r="AE520" s="1278"/>
      <c r="AF520" s="1278"/>
      <c r="AG520" s="1278"/>
      <c r="AH520" s="1278"/>
      <c r="AI520" s="1278"/>
      <c r="AJ520" s="1278"/>
      <c r="AK520" s="1278"/>
      <c r="AL520" s="1278"/>
      <c r="AM520" s="1278"/>
      <c r="AN520" s="1279"/>
    </row>
    <row r="521" spans="1:43" ht="25.5" customHeight="1" x14ac:dyDescent="0.7">
      <c r="A521" s="1264"/>
      <c r="B521" s="1265"/>
      <c r="C521" s="1265"/>
      <c r="D521" s="1265"/>
      <c r="E521" s="1265"/>
      <c r="F521" s="1265"/>
      <c r="G521" s="1265"/>
      <c r="H521" s="1265"/>
      <c r="I521" s="1265"/>
      <c r="J521" s="1265"/>
      <c r="K521" s="1265"/>
      <c r="L521" s="1266"/>
      <c r="M521" s="1277"/>
      <c r="N521" s="1278"/>
      <c r="O521" s="1278"/>
      <c r="P521" s="1278"/>
      <c r="Q521" s="1278"/>
      <c r="R521" s="1278"/>
      <c r="S521" s="1278"/>
      <c r="T521" s="1278"/>
      <c r="U521" s="1278"/>
      <c r="V521" s="1278"/>
      <c r="W521" s="1278"/>
      <c r="X521" s="1278"/>
      <c r="Y521" s="1278"/>
      <c r="Z521" s="1278"/>
      <c r="AA521" s="1278"/>
      <c r="AB521" s="1278"/>
      <c r="AC521" s="1278"/>
      <c r="AD521" s="1278"/>
      <c r="AE521" s="1278"/>
      <c r="AF521" s="1278"/>
      <c r="AG521" s="1278"/>
      <c r="AH521" s="1278"/>
      <c r="AI521" s="1278"/>
      <c r="AJ521" s="1278"/>
      <c r="AK521" s="1278"/>
      <c r="AL521" s="1278"/>
      <c r="AM521" s="1278"/>
      <c r="AN521" s="1279"/>
    </row>
    <row r="522" spans="1:43" ht="25.5" customHeight="1" x14ac:dyDescent="0.7">
      <c r="A522" s="1264"/>
      <c r="B522" s="1265"/>
      <c r="C522" s="1265"/>
      <c r="D522" s="1265"/>
      <c r="E522" s="1265"/>
      <c r="F522" s="1265"/>
      <c r="G522" s="1265"/>
      <c r="H522" s="1265"/>
      <c r="I522" s="1265"/>
      <c r="J522" s="1265"/>
      <c r="K522" s="1265"/>
      <c r="L522" s="1266"/>
      <c r="M522" s="1277"/>
      <c r="N522" s="1278"/>
      <c r="O522" s="1278"/>
      <c r="P522" s="1278"/>
      <c r="Q522" s="1278"/>
      <c r="R522" s="1278"/>
      <c r="S522" s="1278"/>
      <c r="T522" s="1278"/>
      <c r="U522" s="1278"/>
      <c r="V522" s="1278"/>
      <c r="W522" s="1278"/>
      <c r="X522" s="1278"/>
      <c r="Y522" s="1278"/>
      <c r="Z522" s="1278"/>
      <c r="AA522" s="1278"/>
      <c r="AB522" s="1278"/>
      <c r="AC522" s="1278"/>
      <c r="AD522" s="1278"/>
      <c r="AE522" s="1278"/>
      <c r="AF522" s="1278"/>
      <c r="AG522" s="1278"/>
      <c r="AH522" s="1278"/>
      <c r="AI522" s="1278"/>
      <c r="AJ522" s="1278"/>
      <c r="AK522" s="1278"/>
      <c r="AL522" s="1278"/>
      <c r="AM522" s="1278"/>
      <c r="AN522" s="1279"/>
    </row>
    <row r="523" spans="1:43" ht="25.5" customHeight="1" x14ac:dyDescent="0.7">
      <c r="A523" s="1264"/>
      <c r="B523" s="1265"/>
      <c r="C523" s="1265"/>
      <c r="D523" s="1265"/>
      <c r="E523" s="1265"/>
      <c r="F523" s="1265"/>
      <c r="G523" s="1265"/>
      <c r="H523" s="1265"/>
      <c r="I523" s="1265"/>
      <c r="J523" s="1265"/>
      <c r="K523" s="1265"/>
      <c r="L523" s="1266"/>
      <c r="M523" s="1277"/>
      <c r="N523" s="1278"/>
      <c r="O523" s="1278"/>
      <c r="P523" s="1278"/>
      <c r="Q523" s="1278"/>
      <c r="R523" s="1278"/>
      <c r="S523" s="1278"/>
      <c r="T523" s="1278"/>
      <c r="U523" s="1278"/>
      <c r="V523" s="1278"/>
      <c r="W523" s="1278"/>
      <c r="X523" s="1278"/>
      <c r="Y523" s="1278"/>
      <c r="Z523" s="1278"/>
      <c r="AA523" s="1278"/>
      <c r="AB523" s="1278"/>
      <c r="AC523" s="1278"/>
      <c r="AD523" s="1278"/>
      <c r="AE523" s="1278"/>
      <c r="AF523" s="1278"/>
      <c r="AG523" s="1278"/>
      <c r="AH523" s="1278"/>
      <c r="AI523" s="1278"/>
      <c r="AJ523" s="1278"/>
      <c r="AK523" s="1278"/>
      <c r="AL523" s="1278"/>
      <c r="AM523" s="1278"/>
      <c r="AN523" s="1279"/>
    </row>
    <row r="524" spans="1:43" ht="25.5" customHeight="1" x14ac:dyDescent="0.7">
      <c r="A524" s="1264"/>
      <c r="B524" s="1265"/>
      <c r="C524" s="1265"/>
      <c r="D524" s="1265"/>
      <c r="E524" s="1265"/>
      <c r="F524" s="1265"/>
      <c r="G524" s="1265"/>
      <c r="H524" s="1265"/>
      <c r="I524" s="1265"/>
      <c r="J524" s="1265"/>
      <c r="K524" s="1265"/>
      <c r="L524" s="1266"/>
      <c r="M524" s="1277"/>
      <c r="N524" s="1278"/>
      <c r="O524" s="1278"/>
      <c r="P524" s="1278"/>
      <c r="Q524" s="1278"/>
      <c r="R524" s="1278"/>
      <c r="S524" s="1278"/>
      <c r="T524" s="1278"/>
      <c r="U524" s="1278"/>
      <c r="V524" s="1278"/>
      <c r="W524" s="1278"/>
      <c r="X524" s="1278"/>
      <c r="Y524" s="1278"/>
      <c r="Z524" s="1278"/>
      <c r="AA524" s="1278"/>
      <c r="AB524" s="1278"/>
      <c r="AC524" s="1278"/>
      <c r="AD524" s="1278"/>
      <c r="AE524" s="1278"/>
      <c r="AF524" s="1278"/>
      <c r="AG524" s="1278"/>
      <c r="AH524" s="1278"/>
      <c r="AI524" s="1278"/>
      <c r="AJ524" s="1278"/>
      <c r="AK524" s="1278"/>
      <c r="AL524" s="1278"/>
      <c r="AM524" s="1278"/>
      <c r="AN524" s="1279"/>
    </row>
    <row r="525" spans="1:43" ht="25.5" customHeight="1" x14ac:dyDescent="0.7">
      <c r="A525" s="1264"/>
      <c r="B525" s="1265"/>
      <c r="C525" s="1265"/>
      <c r="D525" s="1265"/>
      <c r="E525" s="1265"/>
      <c r="F525" s="1265"/>
      <c r="G525" s="1265"/>
      <c r="H525" s="1265"/>
      <c r="I525" s="1265"/>
      <c r="J525" s="1265"/>
      <c r="K525" s="1265"/>
      <c r="L525" s="1266"/>
      <c r="M525" s="1277"/>
      <c r="N525" s="1278"/>
      <c r="O525" s="1278"/>
      <c r="P525" s="1278"/>
      <c r="Q525" s="1278"/>
      <c r="R525" s="1278"/>
      <c r="S525" s="1278"/>
      <c r="T525" s="1278"/>
      <c r="U525" s="1278"/>
      <c r="V525" s="1278"/>
      <c r="W525" s="1278"/>
      <c r="X525" s="1278"/>
      <c r="Y525" s="1278"/>
      <c r="Z525" s="1278"/>
      <c r="AA525" s="1278"/>
      <c r="AB525" s="1278"/>
      <c r="AC525" s="1278"/>
      <c r="AD525" s="1278"/>
      <c r="AE525" s="1278"/>
      <c r="AF525" s="1278"/>
      <c r="AG525" s="1278"/>
      <c r="AH525" s="1278"/>
      <c r="AI525" s="1278"/>
      <c r="AJ525" s="1278"/>
      <c r="AK525" s="1278"/>
      <c r="AL525" s="1278"/>
      <c r="AM525" s="1278"/>
      <c r="AN525" s="1279"/>
    </row>
    <row r="526" spans="1:43" ht="25.5" customHeight="1" x14ac:dyDescent="0.7">
      <c r="A526" s="1264"/>
      <c r="B526" s="1265"/>
      <c r="C526" s="1265"/>
      <c r="D526" s="1265"/>
      <c r="E526" s="1265"/>
      <c r="F526" s="1265"/>
      <c r="G526" s="1265"/>
      <c r="H526" s="1265"/>
      <c r="I526" s="1265"/>
      <c r="J526" s="1265"/>
      <c r="K526" s="1265"/>
      <c r="L526" s="1266"/>
      <c r="M526" s="1277"/>
      <c r="N526" s="1278"/>
      <c r="O526" s="1278"/>
      <c r="P526" s="1278"/>
      <c r="Q526" s="1278"/>
      <c r="R526" s="1278"/>
      <c r="S526" s="1278"/>
      <c r="T526" s="1278"/>
      <c r="U526" s="1278"/>
      <c r="V526" s="1278"/>
      <c r="W526" s="1278"/>
      <c r="X526" s="1278"/>
      <c r="Y526" s="1278"/>
      <c r="Z526" s="1278"/>
      <c r="AA526" s="1278"/>
      <c r="AB526" s="1278"/>
      <c r="AC526" s="1278"/>
      <c r="AD526" s="1278"/>
      <c r="AE526" s="1278"/>
      <c r="AF526" s="1278"/>
      <c r="AG526" s="1278"/>
      <c r="AH526" s="1278"/>
      <c r="AI526" s="1278"/>
      <c r="AJ526" s="1278"/>
      <c r="AK526" s="1278"/>
      <c r="AL526" s="1278"/>
      <c r="AM526" s="1278"/>
      <c r="AN526" s="1279"/>
    </row>
    <row r="527" spans="1:43" ht="26.25" customHeight="1" thickBot="1" x14ac:dyDescent="0.75">
      <c r="A527" s="1267"/>
      <c r="B527" s="1268"/>
      <c r="C527" s="1268"/>
      <c r="D527" s="1268"/>
      <c r="E527" s="1268"/>
      <c r="F527" s="1268"/>
      <c r="G527" s="1268"/>
      <c r="H527" s="1268"/>
      <c r="I527" s="1268"/>
      <c r="J527" s="1268"/>
      <c r="K527" s="1268"/>
      <c r="L527" s="1269"/>
      <c r="M527" s="1280"/>
      <c r="N527" s="1281"/>
      <c r="O527" s="1281"/>
      <c r="P527" s="1281"/>
      <c r="Q527" s="1281"/>
      <c r="R527" s="1281"/>
      <c r="S527" s="1281"/>
      <c r="T527" s="1281"/>
      <c r="U527" s="1281"/>
      <c r="V527" s="1281"/>
      <c r="W527" s="1281"/>
      <c r="X527" s="1281"/>
      <c r="Y527" s="1281"/>
      <c r="Z527" s="1281"/>
      <c r="AA527" s="1281"/>
      <c r="AB527" s="1281"/>
      <c r="AC527" s="1281"/>
      <c r="AD527" s="1281"/>
      <c r="AE527" s="1281"/>
      <c r="AF527" s="1281"/>
      <c r="AG527" s="1281"/>
      <c r="AH527" s="1281"/>
      <c r="AI527" s="1281"/>
      <c r="AJ527" s="1281"/>
      <c r="AK527" s="1281"/>
      <c r="AL527" s="1281"/>
      <c r="AM527" s="1281"/>
      <c r="AN527" s="1282"/>
    </row>
    <row r="528" spans="1:43" s="282" customFormat="1" ht="41.25" customHeight="1" thickBot="1" x14ac:dyDescent="1.1000000000000001">
      <c r="A528" s="1256" t="s">
        <v>895</v>
      </c>
      <c r="B528" s="1257"/>
      <c r="C528" s="1257"/>
      <c r="D528" s="1257"/>
      <c r="E528" s="1257"/>
      <c r="F528" s="1257"/>
      <c r="G528" s="1257"/>
      <c r="H528" s="1257"/>
      <c r="I528" s="1257"/>
      <c r="J528" s="1257"/>
      <c r="K528" s="1257"/>
      <c r="L528" s="1258"/>
      <c r="M528" s="1259" t="s">
        <v>897</v>
      </c>
      <c r="N528" s="1259"/>
      <c r="O528" s="1259"/>
      <c r="P528" s="1259"/>
      <c r="Q528" s="1259"/>
      <c r="R528" s="1259"/>
      <c r="S528" s="1259"/>
      <c r="T528" s="1259"/>
      <c r="U528" s="1259"/>
      <c r="V528" s="1259"/>
      <c r="W528" s="1259"/>
      <c r="X528" s="1259"/>
      <c r="Y528" s="1259"/>
      <c r="Z528" s="1259"/>
      <c r="AA528" s="1259"/>
      <c r="AB528" s="1259"/>
      <c r="AC528" s="1259"/>
      <c r="AD528" s="1259"/>
      <c r="AE528" s="1259"/>
      <c r="AF528" s="1259"/>
      <c r="AG528" s="1259"/>
      <c r="AH528" s="1259"/>
      <c r="AI528" s="1259"/>
      <c r="AJ528" s="1259"/>
      <c r="AK528" s="1259"/>
      <c r="AL528" s="1259"/>
      <c r="AM528" s="1259"/>
      <c r="AN528" s="1260"/>
      <c r="AO528" s="279"/>
      <c r="AP528" s="280"/>
      <c r="AQ528" s="281"/>
    </row>
    <row r="529" spans="1:40" ht="30.75" customHeight="1" x14ac:dyDescent="0.7">
      <c r="A529" s="1238" t="str">
        <f>CONCATENATE(AN422,AN402,AN391,AN374,AN346,AN328,AN316,AN292,AN238,AN211,AN182,AN124,AN111,AN22,AN8)</f>
        <v/>
      </c>
      <c r="B529" s="1239"/>
      <c r="C529" s="1239"/>
      <c r="D529" s="1239"/>
      <c r="E529" s="1239"/>
      <c r="F529" s="1239"/>
      <c r="G529" s="1239"/>
      <c r="H529" s="1239"/>
      <c r="I529" s="1239"/>
      <c r="J529" s="1239"/>
      <c r="K529" s="1239"/>
      <c r="L529" s="1240"/>
      <c r="M529" s="1247"/>
      <c r="N529" s="1248"/>
      <c r="O529" s="1248"/>
      <c r="P529" s="1248"/>
      <c r="Q529" s="1248"/>
      <c r="R529" s="1248"/>
      <c r="S529" s="1248"/>
      <c r="T529" s="1248"/>
      <c r="U529" s="1248"/>
      <c r="V529" s="1248"/>
      <c r="W529" s="1248"/>
      <c r="X529" s="1248"/>
      <c r="Y529" s="1248"/>
      <c r="Z529" s="1248"/>
      <c r="AA529" s="1248"/>
      <c r="AB529" s="1248"/>
      <c r="AC529" s="1248"/>
      <c r="AD529" s="1248"/>
      <c r="AE529" s="1248"/>
      <c r="AF529" s="1248"/>
      <c r="AG529" s="1248"/>
      <c r="AH529" s="1248"/>
      <c r="AI529" s="1248"/>
      <c r="AJ529" s="1248"/>
      <c r="AK529" s="1248"/>
      <c r="AL529" s="1248"/>
      <c r="AM529" s="1248"/>
      <c r="AN529" s="1249"/>
    </row>
    <row r="530" spans="1:40" ht="30.75" customHeight="1" x14ac:dyDescent="0.7">
      <c r="A530" s="1241"/>
      <c r="B530" s="1242"/>
      <c r="C530" s="1242"/>
      <c r="D530" s="1242"/>
      <c r="E530" s="1242"/>
      <c r="F530" s="1242"/>
      <c r="G530" s="1242"/>
      <c r="H530" s="1242"/>
      <c r="I530" s="1242"/>
      <c r="J530" s="1242"/>
      <c r="K530" s="1242"/>
      <c r="L530" s="1243"/>
      <c r="M530" s="1250"/>
      <c r="N530" s="1251"/>
      <c r="O530" s="1251"/>
      <c r="P530" s="1251"/>
      <c r="Q530" s="1251"/>
      <c r="R530" s="1251"/>
      <c r="S530" s="1251"/>
      <c r="T530" s="1251"/>
      <c r="U530" s="1251"/>
      <c r="V530" s="1251"/>
      <c r="W530" s="1251"/>
      <c r="X530" s="1251"/>
      <c r="Y530" s="1251"/>
      <c r="Z530" s="1251"/>
      <c r="AA530" s="1251"/>
      <c r="AB530" s="1251"/>
      <c r="AC530" s="1251"/>
      <c r="AD530" s="1251"/>
      <c r="AE530" s="1251"/>
      <c r="AF530" s="1251"/>
      <c r="AG530" s="1251"/>
      <c r="AH530" s="1251"/>
      <c r="AI530" s="1251"/>
      <c r="AJ530" s="1251"/>
      <c r="AK530" s="1251"/>
      <c r="AL530" s="1251"/>
      <c r="AM530" s="1251"/>
      <c r="AN530" s="1252"/>
    </row>
    <row r="531" spans="1:40" ht="30.75" customHeight="1" x14ac:dyDescent="0.7">
      <c r="A531" s="1241"/>
      <c r="B531" s="1242"/>
      <c r="C531" s="1242"/>
      <c r="D531" s="1242"/>
      <c r="E531" s="1242"/>
      <c r="F531" s="1242"/>
      <c r="G531" s="1242"/>
      <c r="H531" s="1242"/>
      <c r="I531" s="1242"/>
      <c r="J531" s="1242"/>
      <c r="K531" s="1242"/>
      <c r="L531" s="1243"/>
      <c r="M531" s="1250"/>
      <c r="N531" s="1251"/>
      <c r="O531" s="1251"/>
      <c r="P531" s="1251"/>
      <c r="Q531" s="1251"/>
      <c r="R531" s="1251"/>
      <c r="S531" s="1251"/>
      <c r="T531" s="1251"/>
      <c r="U531" s="1251"/>
      <c r="V531" s="1251"/>
      <c r="W531" s="1251"/>
      <c r="X531" s="1251"/>
      <c r="Y531" s="1251"/>
      <c r="Z531" s="1251"/>
      <c r="AA531" s="1251"/>
      <c r="AB531" s="1251"/>
      <c r="AC531" s="1251"/>
      <c r="AD531" s="1251"/>
      <c r="AE531" s="1251"/>
      <c r="AF531" s="1251"/>
      <c r="AG531" s="1251"/>
      <c r="AH531" s="1251"/>
      <c r="AI531" s="1251"/>
      <c r="AJ531" s="1251"/>
      <c r="AK531" s="1251"/>
      <c r="AL531" s="1251"/>
      <c r="AM531" s="1251"/>
      <c r="AN531" s="1252"/>
    </row>
    <row r="532" spans="1:40" ht="30.75" customHeight="1" x14ac:dyDescent="0.7">
      <c r="A532" s="1241"/>
      <c r="B532" s="1242"/>
      <c r="C532" s="1242"/>
      <c r="D532" s="1242"/>
      <c r="E532" s="1242"/>
      <c r="F532" s="1242"/>
      <c r="G532" s="1242"/>
      <c r="H532" s="1242"/>
      <c r="I532" s="1242"/>
      <c r="J532" s="1242"/>
      <c r="K532" s="1242"/>
      <c r="L532" s="1243"/>
      <c r="M532" s="1250"/>
      <c r="N532" s="1251"/>
      <c r="O532" s="1251"/>
      <c r="P532" s="1251"/>
      <c r="Q532" s="1251"/>
      <c r="R532" s="1251"/>
      <c r="S532" s="1251"/>
      <c r="T532" s="1251"/>
      <c r="U532" s="1251"/>
      <c r="V532" s="1251"/>
      <c r="W532" s="1251"/>
      <c r="X532" s="1251"/>
      <c r="Y532" s="1251"/>
      <c r="Z532" s="1251"/>
      <c r="AA532" s="1251"/>
      <c r="AB532" s="1251"/>
      <c r="AC532" s="1251"/>
      <c r="AD532" s="1251"/>
      <c r="AE532" s="1251"/>
      <c r="AF532" s="1251"/>
      <c r="AG532" s="1251"/>
      <c r="AH532" s="1251"/>
      <c r="AI532" s="1251"/>
      <c r="AJ532" s="1251"/>
      <c r="AK532" s="1251"/>
      <c r="AL532" s="1251"/>
      <c r="AM532" s="1251"/>
      <c r="AN532" s="1252"/>
    </row>
    <row r="533" spans="1:40" ht="30.75" customHeight="1" x14ac:dyDescent="0.7">
      <c r="A533" s="1241"/>
      <c r="B533" s="1242"/>
      <c r="C533" s="1242"/>
      <c r="D533" s="1242"/>
      <c r="E533" s="1242"/>
      <c r="F533" s="1242"/>
      <c r="G533" s="1242"/>
      <c r="H533" s="1242"/>
      <c r="I533" s="1242"/>
      <c r="J533" s="1242"/>
      <c r="K533" s="1242"/>
      <c r="L533" s="1243"/>
      <c r="M533" s="1250"/>
      <c r="N533" s="1251"/>
      <c r="O533" s="1251"/>
      <c r="P533" s="1251"/>
      <c r="Q533" s="1251"/>
      <c r="R533" s="1251"/>
      <c r="S533" s="1251"/>
      <c r="T533" s="1251"/>
      <c r="U533" s="1251"/>
      <c r="V533" s="1251"/>
      <c r="W533" s="1251"/>
      <c r="X533" s="1251"/>
      <c r="Y533" s="1251"/>
      <c r="Z533" s="1251"/>
      <c r="AA533" s="1251"/>
      <c r="AB533" s="1251"/>
      <c r="AC533" s="1251"/>
      <c r="AD533" s="1251"/>
      <c r="AE533" s="1251"/>
      <c r="AF533" s="1251"/>
      <c r="AG533" s="1251"/>
      <c r="AH533" s="1251"/>
      <c r="AI533" s="1251"/>
      <c r="AJ533" s="1251"/>
      <c r="AK533" s="1251"/>
      <c r="AL533" s="1251"/>
      <c r="AM533" s="1251"/>
      <c r="AN533" s="1252"/>
    </row>
    <row r="534" spans="1:40" ht="30.75" customHeight="1" x14ac:dyDescent="0.7">
      <c r="A534" s="1241"/>
      <c r="B534" s="1242"/>
      <c r="C534" s="1242"/>
      <c r="D534" s="1242"/>
      <c r="E534" s="1242"/>
      <c r="F534" s="1242"/>
      <c r="G534" s="1242"/>
      <c r="H534" s="1242"/>
      <c r="I534" s="1242"/>
      <c r="J534" s="1242"/>
      <c r="K534" s="1242"/>
      <c r="L534" s="1243"/>
      <c r="M534" s="1250"/>
      <c r="N534" s="1251"/>
      <c r="O534" s="1251"/>
      <c r="P534" s="1251"/>
      <c r="Q534" s="1251"/>
      <c r="R534" s="1251"/>
      <c r="S534" s="1251"/>
      <c r="T534" s="1251"/>
      <c r="U534" s="1251"/>
      <c r="V534" s="1251"/>
      <c r="W534" s="1251"/>
      <c r="X534" s="1251"/>
      <c r="Y534" s="1251"/>
      <c r="Z534" s="1251"/>
      <c r="AA534" s="1251"/>
      <c r="AB534" s="1251"/>
      <c r="AC534" s="1251"/>
      <c r="AD534" s="1251"/>
      <c r="AE534" s="1251"/>
      <c r="AF534" s="1251"/>
      <c r="AG534" s="1251"/>
      <c r="AH534" s="1251"/>
      <c r="AI534" s="1251"/>
      <c r="AJ534" s="1251"/>
      <c r="AK534" s="1251"/>
      <c r="AL534" s="1251"/>
      <c r="AM534" s="1251"/>
      <c r="AN534" s="1252"/>
    </row>
    <row r="535" spans="1:40" ht="30.75" customHeight="1" x14ac:dyDescent="0.7">
      <c r="A535" s="1241"/>
      <c r="B535" s="1242"/>
      <c r="C535" s="1242"/>
      <c r="D535" s="1242"/>
      <c r="E535" s="1242"/>
      <c r="F535" s="1242"/>
      <c r="G535" s="1242"/>
      <c r="H535" s="1242"/>
      <c r="I535" s="1242"/>
      <c r="J535" s="1242"/>
      <c r="K535" s="1242"/>
      <c r="L535" s="1243"/>
      <c r="M535" s="1250"/>
      <c r="N535" s="1251"/>
      <c r="O535" s="1251"/>
      <c r="P535" s="1251"/>
      <c r="Q535" s="1251"/>
      <c r="R535" s="1251"/>
      <c r="S535" s="1251"/>
      <c r="T535" s="1251"/>
      <c r="U535" s="1251"/>
      <c r="V535" s="1251"/>
      <c r="W535" s="1251"/>
      <c r="X535" s="1251"/>
      <c r="Y535" s="1251"/>
      <c r="Z535" s="1251"/>
      <c r="AA535" s="1251"/>
      <c r="AB535" s="1251"/>
      <c r="AC535" s="1251"/>
      <c r="AD535" s="1251"/>
      <c r="AE535" s="1251"/>
      <c r="AF535" s="1251"/>
      <c r="AG535" s="1251"/>
      <c r="AH535" s="1251"/>
      <c r="AI535" s="1251"/>
      <c r="AJ535" s="1251"/>
      <c r="AK535" s="1251"/>
      <c r="AL535" s="1251"/>
      <c r="AM535" s="1251"/>
      <c r="AN535" s="1252"/>
    </row>
    <row r="536" spans="1:40" ht="30.75" customHeight="1" x14ac:dyDescent="0.7">
      <c r="A536" s="1241"/>
      <c r="B536" s="1242"/>
      <c r="C536" s="1242"/>
      <c r="D536" s="1242"/>
      <c r="E536" s="1242"/>
      <c r="F536" s="1242"/>
      <c r="G536" s="1242"/>
      <c r="H536" s="1242"/>
      <c r="I536" s="1242"/>
      <c r="J536" s="1242"/>
      <c r="K536" s="1242"/>
      <c r="L536" s="1243"/>
      <c r="M536" s="1250"/>
      <c r="N536" s="1251"/>
      <c r="O536" s="1251"/>
      <c r="P536" s="1251"/>
      <c r="Q536" s="1251"/>
      <c r="R536" s="1251"/>
      <c r="S536" s="1251"/>
      <c r="T536" s="1251"/>
      <c r="U536" s="1251"/>
      <c r="V536" s="1251"/>
      <c r="W536" s="1251"/>
      <c r="X536" s="1251"/>
      <c r="Y536" s="1251"/>
      <c r="Z536" s="1251"/>
      <c r="AA536" s="1251"/>
      <c r="AB536" s="1251"/>
      <c r="AC536" s="1251"/>
      <c r="AD536" s="1251"/>
      <c r="AE536" s="1251"/>
      <c r="AF536" s="1251"/>
      <c r="AG536" s="1251"/>
      <c r="AH536" s="1251"/>
      <c r="AI536" s="1251"/>
      <c r="AJ536" s="1251"/>
      <c r="AK536" s="1251"/>
      <c r="AL536" s="1251"/>
      <c r="AM536" s="1251"/>
      <c r="AN536" s="1252"/>
    </row>
    <row r="537" spans="1:40" ht="30.75" customHeight="1" x14ac:dyDescent="0.7">
      <c r="A537" s="1241"/>
      <c r="B537" s="1242"/>
      <c r="C537" s="1242"/>
      <c r="D537" s="1242"/>
      <c r="E537" s="1242"/>
      <c r="F537" s="1242"/>
      <c r="G537" s="1242"/>
      <c r="H537" s="1242"/>
      <c r="I537" s="1242"/>
      <c r="J537" s="1242"/>
      <c r="K537" s="1242"/>
      <c r="L537" s="1243"/>
      <c r="M537" s="1250"/>
      <c r="N537" s="1251"/>
      <c r="O537" s="1251"/>
      <c r="P537" s="1251"/>
      <c r="Q537" s="1251"/>
      <c r="R537" s="1251"/>
      <c r="S537" s="1251"/>
      <c r="T537" s="1251"/>
      <c r="U537" s="1251"/>
      <c r="V537" s="1251"/>
      <c r="W537" s="1251"/>
      <c r="X537" s="1251"/>
      <c r="Y537" s="1251"/>
      <c r="Z537" s="1251"/>
      <c r="AA537" s="1251"/>
      <c r="AB537" s="1251"/>
      <c r="AC537" s="1251"/>
      <c r="AD537" s="1251"/>
      <c r="AE537" s="1251"/>
      <c r="AF537" s="1251"/>
      <c r="AG537" s="1251"/>
      <c r="AH537" s="1251"/>
      <c r="AI537" s="1251"/>
      <c r="AJ537" s="1251"/>
      <c r="AK537" s="1251"/>
      <c r="AL537" s="1251"/>
      <c r="AM537" s="1251"/>
      <c r="AN537" s="1252"/>
    </row>
    <row r="538" spans="1:40" ht="30.75" customHeight="1" x14ac:dyDescent="0.7">
      <c r="A538" s="1241"/>
      <c r="B538" s="1242"/>
      <c r="C538" s="1242"/>
      <c r="D538" s="1242"/>
      <c r="E538" s="1242"/>
      <c r="F538" s="1242"/>
      <c r="G538" s="1242"/>
      <c r="H538" s="1242"/>
      <c r="I538" s="1242"/>
      <c r="J538" s="1242"/>
      <c r="K538" s="1242"/>
      <c r="L538" s="1243"/>
      <c r="M538" s="1250"/>
      <c r="N538" s="1251"/>
      <c r="O538" s="1251"/>
      <c r="P538" s="1251"/>
      <c r="Q538" s="1251"/>
      <c r="R538" s="1251"/>
      <c r="S538" s="1251"/>
      <c r="T538" s="1251"/>
      <c r="U538" s="1251"/>
      <c r="V538" s="1251"/>
      <c r="W538" s="1251"/>
      <c r="X538" s="1251"/>
      <c r="Y538" s="1251"/>
      <c r="Z538" s="1251"/>
      <c r="AA538" s="1251"/>
      <c r="AB538" s="1251"/>
      <c r="AC538" s="1251"/>
      <c r="AD538" s="1251"/>
      <c r="AE538" s="1251"/>
      <c r="AF538" s="1251"/>
      <c r="AG538" s="1251"/>
      <c r="AH538" s="1251"/>
      <c r="AI538" s="1251"/>
      <c r="AJ538" s="1251"/>
      <c r="AK538" s="1251"/>
      <c r="AL538" s="1251"/>
      <c r="AM538" s="1251"/>
      <c r="AN538" s="1252"/>
    </row>
    <row r="539" spans="1:40" ht="30.75" customHeight="1" x14ac:dyDescent="0.7">
      <c r="A539" s="1241"/>
      <c r="B539" s="1242"/>
      <c r="C539" s="1242"/>
      <c r="D539" s="1242"/>
      <c r="E539" s="1242"/>
      <c r="F539" s="1242"/>
      <c r="G539" s="1242"/>
      <c r="H539" s="1242"/>
      <c r="I539" s="1242"/>
      <c r="J539" s="1242"/>
      <c r="K539" s="1242"/>
      <c r="L539" s="1243"/>
      <c r="M539" s="1250"/>
      <c r="N539" s="1251"/>
      <c r="O539" s="1251"/>
      <c r="P539" s="1251"/>
      <c r="Q539" s="1251"/>
      <c r="R539" s="1251"/>
      <c r="S539" s="1251"/>
      <c r="T539" s="1251"/>
      <c r="U539" s="1251"/>
      <c r="V539" s="1251"/>
      <c r="W539" s="1251"/>
      <c r="X539" s="1251"/>
      <c r="Y539" s="1251"/>
      <c r="Z539" s="1251"/>
      <c r="AA539" s="1251"/>
      <c r="AB539" s="1251"/>
      <c r="AC539" s="1251"/>
      <c r="AD539" s="1251"/>
      <c r="AE539" s="1251"/>
      <c r="AF539" s="1251"/>
      <c r="AG539" s="1251"/>
      <c r="AH539" s="1251"/>
      <c r="AI539" s="1251"/>
      <c r="AJ539" s="1251"/>
      <c r="AK539" s="1251"/>
      <c r="AL539" s="1251"/>
      <c r="AM539" s="1251"/>
      <c r="AN539" s="1252"/>
    </row>
    <row r="540" spans="1:40" ht="30.75" customHeight="1" x14ac:dyDescent="0.7">
      <c r="A540" s="1241"/>
      <c r="B540" s="1242"/>
      <c r="C540" s="1242"/>
      <c r="D540" s="1242"/>
      <c r="E540" s="1242"/>
      <c r="F540" s="1242"/>
      <c r="G540" s="1242"/>
      <c r="H540" s="1242"/>
      <c r="I540" s="1242"/>
      <c r="J540" s="1242"/>
      <c r="K540" s="1242"/>
      <c r="L540" s="1243"/>
      <c r="M540" s="1250"/>
      <c r="N540" s="1251"/>
      <c r="O540" s="1251"/>
      <c r="P540" s="1251"/>
      <c r="Q540" s="1251"/>
      <c r="R540" s="1251"/>
      <c r="S540" s="1251"/>
      <c r="T540" s="1251"/>
      <c r="U540" s="1251"/>
      <c r="V540" s="1251"/>
      <c r="W540" s="1251"/>
      <c r="X540" s="1251"/>
      <c r="Y540" s="1251"/>
      <c r="Z540" s="1251"/>
      <c r="AA540" s="1251"/>
      <c r="AB540" s="1251"/>
      <c r="AC540" s="1251"/>
      <c r="AD540" s="1251"/>
      <c r="AE540" s="1251"/>
      <c r="AF540" s="1251"/>
      <c r="AG540" s="1251"/>
      <c r="AH540" s="1251"/>
      <c r="AI540" s="1251"/>
      <c r="AJ540" s="1251"/>
      <c r="AK540" s="1251"/>
      <c r="AL540" s="1251"/>
      <c r="AM540" s="1251"/>
      <c r="AN540" s="1252"/>
    </row>
    <row r="541" spans="1:40" ht="30.75" customHeight="1" x14ac:dyDescent="0.7">
      <c r="A541" s="1241"/>
      <c r="B541" s="1242"/>
      <c r="C541" s="1242"/>
      <c r="D541" s="1242"/>
      <c r="E541" s="1242"/>
      <c r="F541" s="1242"/>
      <c r="G541" s="1242"/>
      <c r="H541" s="1242"/>
      <c r="I541" s="1242"/>
      <c r="J541" s="1242"/>
      <c r="K541" s="1242"/>
      <c r="L541" s="1243"/>
      <c r="M541" s="1250"/>
      <c r="N541" s="1251"/>
      <c r="O541" s="1251"/>
      <c r="P541" s="1251"/>
      <c r="Q541" s="1251"/>
      <c r="R541" s="1251"/>
      <c r="S541" s="1251"/>
      <c r="T541" s="1251"/>
      <c r="U541" s="1251"/>
      <c r="V541" s="1251"/>
      <c r="W541" s="1251"/>
      <c r="X541" s="1251"/>
      <c r="Y541" s="1251"/>
      <c r="Z541" s="1251"/>
      <c r="AA541" s="1251"/>
      <c r="AB541" s="1251"/>
      <c r="AC541" s="1251"/>
      <c r="AD541" s="1251"/>
      <c r="AE541" s="1251"/>
      <c r="AF541" s="1251"/>
      <c r="AG541" s="1251"/>
      <c r="AH541" s="1251"/>
      <c r="AI541" s="1251"/>
      <c r="AJ541" s="1251"/>
      <c r="AK541" s="1251"/>
      <c r="AL541" s="1251"/>
      <c r="AM541" s="1251"/>
      <c r="AN541" s="1252"/>
    </row>
    <row r="542" spans="1:40" ht="30.75" customHeight="1" x14ac:dyDescent="0.7">
      <c r="A542" s="1241"/>
      <c r="B542" s="1242"/>
      <c r="C542" s="1242"/>
      <c r="D542" s="1242"/>
      <c r="E542" s="1242"/>
      <c r="F542" s="1242"/>
      <c r="G542" s="1242"/>
      <c r="H542" s="1242"/>
      <c r="I542" s="1242"/>
      <c r="J542" s="1242"/>
      <c r="K542" s="1242"/>
      <c r="L542" s="1243"/>
      <c r="M542" s="1250"/>
      <c r="N542" s="1251"/>
      <c r="O542" s="1251"/>
      <c r="P542" s="1251"/>
      <c r="Q542" s="1251"/>
      <c r="R542" s="1251"/>
      <c r="S542" s="1251"/>
      <c r="T542" s="1251"/>
      <c r="U542" s="1251"/>
      <c r="V542" s="1251"/>
      <c r="W542" s="1251"/>
      <c r="X542" s="1251"/>
      <c r="Y542" s="1251"/>
      <c r="Z542" s="1251"/>
      <c r="AA542" s="1251"/>
      <c r="AB542" s="1251"/>
      <c r="AC542" s="1251"/>
      <c r="AD542" s="1251"/>
      <c r="AE542" s="1251"/>
      <c r="AF542" s="1251"/>
      <c r="AG542" s="1251"/>
      <c r="AH542" s="1251"/>
      <c r="AI542" s="1251"/>
      <c r="AJ542" s="1251"/>
      <c r="AK542" s="1251"/>
      <c r="AL542" s="1251"/>
      <c r="AM542" s="1251"/>
      <c r="AN542" s="1252"/>
    </row>
    <row r="543" spans="1:40" ht="30.75" customHeight="1" x14ac:dyDescent="0.7">
      <c r="A543" s="1241"/>
      <c r="B543" s="1242"/>
      <c r="C543" s="1242"/>
      <c r="D543" s="1242"/>
      <c r="E543" s="1242"/>
      <c r="F543" s="1242"/>
      <c r="G543" s="1242"/>
      <c r="H543" s="1242"/>
      <c r="I543" s="1242"/>
      <c r="J543" s="1242"/>
      <c r="K543" s="1242"/>
      <c r="L543" s="1243"/>
      <c r="M543" s="1250"/>
      <c r="N543" s="1251"/>
      <c r="O543" s="1251"/>
      <c r="P543" s="1251"/>
      <c r="Q543" s="1251"/>
      <c r="R543" s="1251"/>
      <c r="S543" s="1251"/>
      <c r="T543" s="1251"/>
      <c r="U543" s="1251"/>
      <c r="V543" s="1251"/>
      <c r="W543" s="1251"/>
      <c r="X543" s="1251"/>
      <c r="Y543" s="1251"/>
      <c r="Z543" s="1251"/>
      <c r="AA543" s="1251"/>
      <c r="AB543" s="1251"/>
      <c r="AC543" s="1251"/>
      <c r="AD543" s="1251"/>
      <c r="AE543" s="1251"/>
      <c r="AF543" s="1251"/>
      <c r="AG543" s="1251"/>
      <c r="AH543" s="1251"/>
      <c r="AI543" s="1251"/>
      <c r="AJ543" s="1251"/>
      <c r="AK543" s="1251"/>
      <c r="AL543" s="1251"/>
      <c r="AM543" s="1251"/>
      <c r="AN543" s="1252"/>
    </row>
    <row r="544" spans="1:40" ht="30.75" customHeight="1" x14ac:dyDescent="0.7">
      <c r="A544" s="1241"/>
      <c r="B544" s="1242"/>
      <c r="C544" s="1242"/>
      <c r="D544" s="1242"/>
      <c r="E544" s="1242"/>
      <c r="F544" s="1242"/>
      <c r="G544" s="1242"/>
      <c r="H544" s="1242"/>
      <c r="I544" s="1242"/>
      <c r="J544" s="1242"/>
      <c r="K544" s="1242"/>
      <c r="L544" s="1243"/>
      <c r="M544" s="1250"/>
      <c r="N544" s="1251"/>
      <c r="O544" s="1251"/>
      <c r="P544" s="1251"/>
      <c r="Q544" s="1251"/>
      <c r="R544" s="1251"/>
      <c r="S544" s="1251"/>
      <c r="T544" s="1251"/>
      <c r="U544" s="1251"/>
      <c r="V544" s="1251"/>
      <c r="W544" s="1251"/>
      <c r="X544" s="1251"/>
      <c r="Y544" s="1251"/>
      <c r="Z544" s="1251"/>
      <c r="AA544" s="1251"/>
      <c r="AB544" s="1251"/>
      <c r="AC544" s="1251"/>
      <c r="AD544" s="1251"/>
      <c r="AE544" s="1251"/>
      <c r="AF544" s="1251"/>
      <c r="AG544" s="1251"/>
      <c r="AH544" s="1251"/>
      <c r="AI544" s="1251"/>
      <c r="AJ544" s="1251"/>
      <c r="AK544" s="1251"/>
      <c r="AL544" s="1251"/>
      <c r="AM544" s="1251"/>
      <c r="AN544" s="1252"/>
    </row>
    <row r="545" spans="1:40" ht="30.75" customHeight="1" x14ac:dyDescent="0.7">
      <c r="A545" s="1241"/>
      <c r="B545" s="1242"/>
      <c r="C545" s="1242"/>
      <c r="D545" s="1242"/>
      <c r="E545" s="1242"/>
      <c r="F545" s="1242"/>
      <c r="G545" s="1242"/>
      <c r="H545" s="1242"/>
      <c r="I545" s="1242"/>
      <c r="J545" s="1242"/>
      <c r="K545" s="1242"/>
      <c r="L545" s="1243"/>
      <c r="M545" s="1250"/>
      <c r="N545" s="1251"/>
      <c r="O545" s="1251"/>
      <c r="P545" s="1251"/>
      <c r="Q545" s="1251"/>
      <c r="R545" s="1251"/>
      <c r="S545" s="1251"/>
      <c r="T545" s="1251"/>
      <c r="U545" s="1251"/>
      <c r="V545" s="1251"/>
      <c r="W545" s="1251"/>
      <c r="X545" s="1251"/>
      <c r="Y545" s="1251"/>
      <c r="Z545" s="1251"/>
      <c r="AA545" s="1251"/>
      <c r="AB545" s="1251"/>
      <c r="AC545" s="1251"/>
      <c r="AD545" s="1251"/>
      <c r="AE545" s="1251"/>
      <c r="AF545" s="1251"/>
      <c r="AG545" s="1251"/>
      <c r="AH545" s="1251"/>
      <c r="AI545" s="1251"/>
      <c r="AJ545" s="1251"/>
      <c r="AK545" s="1251"/>
      <c r="AL545" s="1251"/>
      <c r="AM545" s="1251"/>
      <c r="AN545" s="1252"/>
    </row>
    <row r="546" spans="1:40" ht="30.75" customHeight="1" x14ac:dyDescent="0.7">
      <c r="A546" s="1241"/>
      <c r="B546" s="1242"/>
      <c r="C546" s="1242"/>
      <c r="D546" s="1242"/>
      <c r="E546" s="1242"/>
      <c r="F546" s="1242"/>
      <c r="G546" s="1242"/>
      <c r="H546" s="1242"/>
      <c r="I546" s="1242"/>
      <c r="J546" s="1242"/>
      <c r="K546" s="1242"/>
      <c r="L546" s="1243"/>
      <c r="M546" s="1250"/>
      <c r="N546" s="1251"/>
      <c r="O546" s="1251"/>
      <c r="P546" s="1251"/>
      <c r="Q546" s="1251"/>
      <c r="R546" s="1251"/>
      <c r="S546" s="1251"/>
      <c r="T546" s="1251"/>
      <c r="U546" s="1251"/>
      <c r="V546" s="1251"/>
      <c r="W546" s="1251"/>
      <c r="X546" s="1251"/>
      <c r="Y546" s="1251"/>
      <c r="Z546" s="1251"/>
      <c r="AA546" s="1251"/>
      <c r="AB546" s="1251"/>
      <c r="AC546" s="1251"/>
      <c r="AD546" s="1251"/>
      <c r="AE546" s="1251"/>
      <c r="AF546" s="1251"/>
      <c r="AG546" s="1251"/>
      <c r="AH546" s="1251"/>
      <c r="AI546" s="1251"/>
      <c r="AJ546" s="1251"/>
      <c r="AK546" s="1251"/>
      <c r="AL546" s="1251"/>
      <c r="AM546" s="1251"/>
      <c r="AN546" s="1252"/>
    </row>
    <row r="547" spans="1:40" ht="30.75" customHeight="1" x14ac:dyDescent="0.7">
      <c r="A547" s="1241"/>
      <c r="B547" s="1242"/>
      <c r="C547" s="1242"/>
      <c r="D547" s="1242"/>
      <c r="E547" s="1242"/>
      <c r="F547" s="1242"/>
      <c r="G547" s="1242"/>
      <c r="H547" s="1242"/>
      <c r="I547" s="1242"/>
      <c r="J547" s="1242"/>
      <c r="K547" s="1242"/>
      <c r="L547" s="1243"/>
      <c r="M547" s="1250"/>
      <c r="N547" s="1251"/>
      <c r="O547" s="1251"/>
      <c r="P547" s="1251"/>
      <c r="Q547" s="1251"/>
      <c r="R547" s="1251"/>
      <c r="S547" s="1251"/>
      <c r="T547" s="1251"/>
      <c r="U547" s="1251"/>
      <c r="V547" s="1251"/>
      <c r="W547" s="1251"/>
      <c r="X547" s="1251"/>
      <c r="Y547" s="1251"/>
      <c r="Z547" s="1251"/>
      <c r="AA547" s="1251"/>
      <c r="AB547" s="1251"/>
      <c r="AC547" s="1251"/>
      <c r="AD547" s="1251"/>
      <c r="AE547" s="1251"/>
      <c r="AF547" s="1251"/>
      <c r="AG547" s="1251"/>
      <c r="AH547" s="1251"/>
      <c r="AI547" s="1251"/>
      <c r="AJ547" s="1251"/>
      <c r="AK547" s="1251"/>
      <c r="AL547" s="1251"/>
      <c r="AM547" s="1251"/>
      <c r="AN547" s="1252"/>
    </row>
    <row r="548" spans="1:40" ht="30.75" customHeight="1" x14ac:dyDescent="0.7">
      <c r="A548" s="1241"/>
      <c r="B548" s="1242"/>
      <c r="C548" s="1242"/>
      <c r="D548" s="1242"/>
      <c r="E548" s="1242"/>
      <c r="F548" s="1242"/>
      <c r="G548" s="1242"/>
      <c r="H548" s="1242"/>
      <c r="I548" s="1242"/>
      <c r="J548" s="1242"/>
      <c r="K548" s="1242"/>
      <c r="L548" s="1243"/>
      <c r="M548" s="1250"/>
      <c r="N548" s="1251"/>
      <c r="O548" s="1251"/>
      <c r="P548" s="1251"/>
      <c r="Q548" s="1251"/>
      <c r="R548" s="1251"/>
      <c r="S548" s="1251"/>
      <c r="T548" s="1251"/>
      <c r="U548" s="1251"/>
      <c r="V548" s="1251"/>
      <c r="W548" s="1251"/>
      <c r="X548" s="1251"/>
      <c r="Y548" s="1251"/>
      <c r="Z548" s="1251"/>
      <c r="AA548" s="1251"/>
      <c r="AB548" s="1251"/>
      <c r="AC548" s="1251"/>
      <c r="AD548" s="1251"/>
      <c r="AE548" s="1251"/>
      <c r="AF548" s="1251"/>
      <c r="AG548" s="1251"/>
      <c r="AH548" s="1251"/>
      <c r="AI548" s="1251"/>
      <c r="AJ548" s="1251"/>
      <c r="AK548" s="1251"/>
      <c r="AL548" s="1251"/>
      <c r="AM548" s="1251"/>
      <c r="AN548" s="1252"/>
    </row>
    <row r="549" spans="1:40" ht="30.75" customHeight="1" x14ac:dyDescent="0.7">
      <c r="A549" s="1241"/>
      <c r="B549" s="1242"/>
      <c r="C549" s="1242"/>
      <c r="D549" s="1242"/>
      <c r="E549" s="1242"/>
      <c r="F549" s="1242"/>
      <c r="G549" s="1242"/>
      <c r="H549" s="1242"/>
      <c r="I549" s="1242"/>
      <c r="J549" s="1242"/>
      <c r="K549" s="1242"/>
      <c r="L549" s="1243"/>
      <c r="M549" s="1250"/>
      <c r="N549" s="1251"/>
      <c r="O549" s="1251"/>
      <c r="P549" s="1251"/>
      <c r="Q549" s="1251"/>
      <c r="R549" s="1251"/>
      <c r="S549" s="1251"/>
      <c r="T549" s="1251"/>
      <c r="U549" s="1251"/>
      <c r="V549" s="1251"/>
      <c r="W549" s="1251"/>
      <c r="X549" s="1251"/>
      <c r="Y549" s="1251"/>
      <c r="Z549" s="1251"/>
      <c r="AA549" s="1251"/>
      <c r="AB549" s="1251"/>
      <c r="AC549" s="1251"/>
      <c r="AD549" s="1251"/>
      <c r="AE549" s="1251"/>
      <c r="AF549" s="1251"/>
      <c r="AG549" s="1251"/>
      <c r="AH549" s="1251"/>
      <c r="AI549" s="1251"/>
      <c r="AJ549" s="1251"/>
      <c r="AK549" s="1251"/>
      <c r="AL549" s="1251"/>
      <c r="AM549" s="1251"/>
      <c r="AN549" s="1252"/>
    </row>
    <row r="550" spans="1:40" ht="30.75" customHeight="1" x14ac:dyDescent="0.7">
      <c r="A550" s="1241"/>
      <c r="B550" s="1242"/>
      <c r="C550" s="1242"/>
      <c r="D550" s="1242"/>
      <c r="E550" s="1242"/>
      <c r="F550" s="1242"/>
      <c r="G550" s="1242"/>
      <c r="H550" s="1242"/>
      <c r="I550" s="1242"/>
      <c r="J550" s="1242"/>
      <c r="K550" s="1242"/>
      <c r="L550" s="1243"/>
      <c r="M550" s="1250"/>
      <c r="N550" s="1251"/>
      <c r="O550" s="1251"/>
      <c r="P550" s="1251"/>
      <c r="Q550" s="1251"/>
      <c r="R550" s="1251"/>
      <c r="S550" s="1251"/>
      <c r="T550" s="1251"/>
      <c r="U550" s="1251"/>
      <c r="V550" s="1251"/>
      <c r="W550" s="1251"/>
      <c r="X550" s="1251"/>
      <c r="Y550" s="1251"/>
      <c r="Z550" s="1251"/>
      <c r="AA550" s="1251"/>
      <c r="AB550" s="1251"/>
      <c r="AC550" s="1251"/>
      <c r="AD550" s="1251"/>
      <c r="AE550" s="1251"/>
      <c r="AF550" s="1251"/>
      <c r="AG550" s="1251"/>
      <c r="AH550" s="1251"/>
      <c r="AI550" s="1251"/>
      <c r="AJ550" s="1251"/>
      <c r="AK550" s="1251"/>
      <c r="AL550" s="1251"/>
      <c r="AM550" s="1251"/>
      <c r="AN550" s="1252"/>
    </row>
    <row r="551" spans="1:40" ht="30.75" customHeight="1" x14ac:dyDescent="0.7">
      <c r="A551" s="1241"/>
      <c r="B551" s="1242"/>
      <c r="C551" s="1242"/>
      <c r="D551" s="1242"/>
      <c r="E551" s="1242"/>
      <c r="F551" s="1242"/>
      <c r="G551" s="1242"/>
      <c r="H551" s="1242"/>
      <c r="I551" s="1242"/>
      <c r="J551" s="1242"/>
      <c r="K551" s="1242"/>
      <c r="L551" s="1243"/>
      <c r="M551" s="1250"/>
      <c r="N551" s="1251"/>
      <c r="O551" s="1251"/>
      <c r="P551" s="1251"/>
      <c r="Q551" s="1251"/>
      <c r="R551" s="1251"/>
      <c r="S551" s="1251"/>
      <c r="T551" s="1251"/>
      <c r="U551" s="1251"/>
      <c r="V551" s="1251"/>
      <c r="W551" s="1251"/>
      <c r="X551" s="1251"/>
      <c r="Y551" s="1251"/>
      <c r="Z551" s="1251"/>
      <c r="AA551" s="1251"/>
      <c r="AB551" s="1251"/>
      <c r="AC551" s="1251"/>
      <c r="AD551" s="1251"/>
      <c r="AE551" s="1251"/>
      <c r="AF551" s="1251"/>
      <c r="AG551" s="1251"/>
      <c r="AH551" s="1251"/>
      <c r="AI551" s="1251"/>
      <c r="AJ551" s="1251"/>
      <c r="AK551" s="1251"/>
      <c r="AL551" s="1251"/>
      <c r="AM551" s="1251"/>
      <c r="AN551" s="1252"/>
    </row>
    <row r="552" spans="1:40" ht="30.75" customHeight="1" x14ac:dyDescent="0.7">
      <c r="A552" s="1241"/>
      <c r="B552" s="1242"/>
      <c r="C552" s="1242"/>
      <c r="D552" s="1242"/>
      <c r="E552" s="1242"/>
      <c r="F552" s="1242"/>
      <c r="G552" s="1242"/>
      <c r="H552" s="1242"/>
      <c r="I552" s="1242"/>
      <c r="J552" s="1242"/>
      <c r="K552" s="1242"/>
      <c r="L552" s="1243"/>
      <c r="M552" s="1250"/>
      <c r="N552" s="1251"/>
      <c r="O552" s="1251"/>
      <c r="P552" s="1251"/>
      <c r="Q552" s="1251"/>
      <c r="R552" s="1251"/>
      <c r="S552" s="1251"/>
      <c r="T552" s="1251"/>
      <c r="U552" s="1251"/>
      <c r="V552" s="1251"/>
      <c r="W552" s="1251"/>
      <c r="X552" s="1251"/>
      <c r="Y552" s="1251"/>
      <c r="Z552" s="1251"/>
      <c r="AA552" s="1251"/>
      <c r="AB552" s="1251"/>
      <c r="AC552" s="1251"/>
      <c r="AD552" s="1251"/>
      <c r="AE552" s="1251"/>
      <c r="AF552" s="1251"/>
      <c r="AG552" s="1251"/>
      <c r="AH552" s="1251"/>
      <c r="AI552" s="1251"/>
      <c r="AJ552" s="1251"/>
      <c r="AK552" s="1251"/>
      <c r="AL552" s="1251"/>
      <c r="AM552" s="1251"/>
      <c r="AN552" s="1252"/>
    </row>
    <row r="553" spans="1:40" ht="30.75" customHeight="1" x14ac:dyDescent="0.7">
      <c r="A553" s="1241"/>
      <c r="B553" s="1242"/>
      <c r="C553" s="1242"/>
      <c r="D553" s="1242"/>
      <c r="E553" s="1242"/>
      <c r="F553" s="1242"/>
      <c r="G553" s="1242"/>
      <c r="H553" s="1242"/>
      <c r="I553" s="1242"/>
      <c r="J553" s="1242"/>
      <c r="K553" s="1242"/>
      <c r="L553" s="1243"/>
      <c r="M553" s="1250"/>
      <c r="N553" s="1251"/>
      <c r="O553" s="1251"/>
      <c r="P553" s="1251"/>
      <c r="Q553" s="1251"/>
      <c r="R553" s="1251"/>
      <c r="S553" s="1251"/>
      <c r="T553" s="1251"/>
      <c r="U553" s="1251"/>
      <c r="V553" s="1251"/>
      <c r="W553" s="1251"/>
      <c r="X553" s="1251"/>
      <c r="Y553" s="1251"/>
      <c r="Z553" s="1251"/>
      <c r="AA553" s="1251"/>
      <c r="AB553" s="1251"/>
      <c r="AC553" s="1251"/>
      <c r="AD553" s="1251"/>
      <c r="AE553" s="1251"/>
      <c r="AF553" s="1251"/>
      <c r="AG553" s="1251"/>
      <c r="AH553" s="1251"/>
      <c r="AI553" s="1251"/>
      <c r="AJ553" s="1251"/>
      <c r="AK553" s="1251"/>
      <c r="AL553" s="1251"/>
      <c r="AM553" s="1251"/>
      <c r="AN553" s="1252"/>
    </row>
    <row r="554" spans="1:40" ht="30.75" customHeight="1" x14ac:dyDescent="0.7">
      <c r="A554" s="1241"/>
      <c r="B554" s="1242"/>
      <c r="C554" s="1242"/>
      <c r="D554" s="1242"/>
      <c r="E554" s="1242"/>
      <c r="F554" s="1242"/>
      <c r="G554" s="1242"/>
      <c r="H554" s="1242"/>
      <c r="I554" s="1242"/>
      <c r="J554" s="1242"/>
      <c r="K554" s="1242"/>
      <c r="L554" s="1243"/>
      <c r="M554" s="1250"/>
      <c r="N554" s="1251"/>
      <c r="O554" s="1251"/>
      <c r="P554" s="1251"/>
      <c r="Q554" s="1251"/>
      <c r="R554" s="1251"/>
      <c r="S554" s="1251"/>
      <c r="T554" s="1251"/>
      <c r="U554" s="1251"/>
      <c r="V554" s="1251"/>
      <c r="W554" s="1251"/>
      <c r="X554" s="1251"/>
      <c r="Y554" s="1251"/>
      <c r="Z554" s="1251"/>
      <c r="AA554" s="1251"/>
      <c r="AB554" s="1251"/>
      <c r="AC554" s="1251"/>
      <c r="AD554" s="1251"/>
      <c r="AE554" s="1251"/>
      <c r="AF554" s="1251"/>
      <c r="AG554" s="1251"/>
      <c r="AH554" s="1251"/>
      <c r="AI554" s="1251"/>
      <c r="AJ554" s="1251"/>
      <c r="AK554" s="1251"/>
      <c r="AL554" s="1251"/>
      <c r="AM554" s="1251"/>
      <c r="AN554" s="1252"/>
    </row>
    <row r="555" spans="1:40" ht="30.75" customHeight="1" x14ac:dyDescent="0.7">
      <c r="A555" s="1241"/>
      <c r="B555" s="1242"/>
      <c r="C555" s="1242"/>
      <c r="D555" s="1242"/>
      <c r="E555" s="1242"/>
      <c r="F555" s="1242"/>
      <c r="G555" s="1242"/>
      <c r="H555" s="1242"/>
      <c r="I555" s="1242"/>
      <c r="J555" s="1242"/>
      <c r="K555" s="1242"/>
      <c r="L555" s="1243"/>
      <c r="M555" s="1250"/>
      <c r="N555" s="1251"/>
      <c r="O555" s="1251"/>
      <c r="P555" s="1251"/>
      <c r="Q555" s="1251"/>
      <c r="R555" s="1251"/>
      <c r="S555" s="1251"/>
      <c r="T555" s="1251"/>
      <c r="U555" s="1251"/>
      <c r="V555" s="1251"/>
      <c r="W555" s="1251"/>
      <c r="X555" s="1251"/>
      <c r="Y555" s="1251"/>
      <c r="Z555" s="1251"/>
      <c r="AA555" s="1251"/>
      <c r="AB555" s="1251"/>
      <c r="AC555" s="1251"/>
      <c r="AD555" s="1251"/>
      <c r="AE555" s="1251"/>
      <c r="AF555" s="1251"/>
      <c r="AG555" s="1251"/>
      <c r="AH555" s="1251"/>
      <c r="AI555" s="1251"/>
      <c r="AJ555" s="1251"/>
      <c r="AK555" s="1251"/>
      <c r="AL555" s="1251"/>
      <c r="AM555" s="1251"/>
      <c r="AN555" s="1252"/>
    </row>
    <row r="556" spans="1:40" ht="30.75" customHeight="1" x14ac:dyDescent="0.7">
      <c r="A556" s="1241"/>
      <c r="B556" s="1242"/>
      <c r="C556" s="1242"/>
      <c r="D556" s="1242"/>
      <c r="E556" s="1242"/>
      <c r="F556" s="1242"/>
      <c r="G556" s="1242"/>
      <c r="H556" s="1242"/>
      <c r="I556" s="1242"/>
      <c r="J556" s="1242"/>
      <c r="K556" s="1242"/>
      <c r="L556" s="1243"/>
      <c r="M556" s="1250"/>
      <c r="N556" s="1251"/>
      <c r="O556" s="1251"/>
      <c r="P556" s="1251"/>
      <c r="Q556" s="1251"/>
      <c r="R556" s="1251"/>
      <c r="S556" s="1251"/>
      <c r="T556" s="1251"/>
      <c r="U556" s="1251"/>
      <c r="V556" s="1251"/>
      <c r="W556" s="1251"/>
      <c r="X556" s="1251"/>
      <c r="Y556" s="1251"/>
      <c r="Z556" s="1251"/>
      <c r="AA556" s="1251"/>
      <c r="AB556" s="1251"/>
      <c r="AC556" s="1251"/>
      <c r="AD556" s="1251"/>
      <c r="AE556" s="1251"/>
      <c r="AF556" s="1251"/>
      <c r="AG556" s="1251"/>
      <c r="AH556" s="1251"/>
      <c r="AI556" s="1251"/>
      <c r="AJ556" s="1251"/>
      <c r="AK556" s="1251"/>
      <c r="AL556" s="1251"/>
      <c r="AM556" s="1251"/>
      <c r="AN556" s="1252"/>
    </row>
    <row r="557" spans="1:40" ht="30.75" customHeight="1" x14ac:dyDescent="0.7">
      <c r="A557" s="1241"/>
      <c r="B557" s="1242"/>
      <c r="C557" s="1242"/>
      <c r="D557" s="1242"/>
      <c r="E557" s="1242"/>
      <c r="F557" s="1242"/>
      <c r="G557" s="1242"/>
      <c r="H557" s="1242"/>
      <c r="I557" s="1242"/>
      <c r="J557" s="1242"/>
      <c r="K557" s="1242"/>
      <c r="L557" s="1243"/>
      <c r="M557" s="1250"/>
      <c r="N557" s="1251"/>
      <c r="O557" s="1251"/>
      <c r="P557" s="1251"/>
      <c r="Q557" s="1251"/>
      <c r="R557" s="1251"/>
      <c r="S557" s="1251"/>
      <c r="T557" s="1251"/>
      <c r="U557" s="1251"/>
      <c r="V557" s="1251"/>
      <c r="W557" s="1251"/>
      <c r="X557" s="1251"/>
      <c r="Y557" s="1251"/>
      <c r="Z557" s="1251"/>
      <c r="AA557" s="1251"/>
      <c r="AB557" s="1251"/>
      <c r="AC557" s="1251"/>
      <c r="AD557" s="1251"/>
      <c r="AE557" s="1251"/>
      <c r="AF557" s="1251"/>
      <c r="AG557" s="1251"/>
      <c r="AH557" s="1251"/>
      <c r="AI557" s="1251"/>
      <c r="AJ557" s="1251"/>
      <c r="AK557" s="1251"/>
      <c r="AL557" s="1251"/>
      <c r="AM557" s="1251"/>
      <c r="AN557" s="1252"/>
    </row>
    <row r="558" spans="1:40" ht="30.75" customHeight="1" thickBot="1" x14ac:dyDescent="0.75">
      <c r="A558" s="1244"/>
      <c r="B558" s="1245"/>
      <c r="C558" s="1245"/>
      <c r="D558" s="1245"/>
      <c r="E558" s="1245"/>
      <c r="F558" s="1245"/>
      <c r="G558" s="1245"/>
      <c r="H558" s="1245"/>
      <c r="I558" s="1245"/>
      <c r="J558" s="1245"/>
      <c r="K558" s="1245"/>
      <c r="L558" s="1246"/>
      <c r="M558" s="1253"/>
      <c r="N558" s="1254"/>
      <c r="O558" s="1254"/>
      <c r="P558" s="1254"/>
      <c r="Q558" s="1254"/>
      <c r="R558" s="1254"/>
      <c r="S558" s="1254"/>
      <c r="T558" s="1254"/>
      <c r="U558" s="1254"/>
      <c r="V558" s="1254"/>
      <c r="W558" s="1254"/>
      <c r="X558" s="1254"/>
      <c r="Y558" s="1254"/>
      <c r="Z558" s="1254"/>
      <c r="AA558" s="1254"/>
      <c r="AB558" s="1254"/>
      <c r="AC558" s="1254"/>
      <c r="AD558" s="1254"/>
      <c r="AE558" s="1254"/>
      <c r="AF558" s="1254"/>
      <c r="AG558" s="1254"/>
      <c r="AH558" s="1254"/>
      <c r="AI558" s="1254"/>
      <c r="AJ558" s="1254"/>
      <c r="AK558" s="1254"/>
      <c r="AL558" s="1254"/>
      <c r="AM558" s="1254"/>
      <c r="AN558" s="1255"/>
    </row>
  </sheetData>
  <sheetProtection selectLockedCells="1"/>
  <mergeCells count="521">
    <mergeCell ref="A198:A199"/>
    <mergeCell ref="A200:A201"/>
    <mergeCell ref="A202:A203"/>
    <mergeCell ref="A204:A205"/>
    <mergeCell ref="A206:A207"/>
    <mergeCell ref="A194:AN194"/>
    <mergeCell ref="A180:AN180"/>
    <mergeCell ref="AL195:AL207"/>
    <mergeCell ref="A335:A338"/>
    <mergeCell ref="AN290:AN291"/>
    <mergeCell ref="AN238:AN288"/>
    <mergeCell ref="AM290:AM291"/>
    <mergeCell ref="AN211:AN234"/>
    <mergeCell ref="A192:A193"/>
    <mergeCell ref="A186:A187"/>
    <mergeCell ref="A182:A183"/>
    <mergeCell ref="A184:A185"/>
    <mergeCell ref="AL209:AL210"/>
    <mergeCell ref="Z236:AA236"/>
    <mergeCell ref="L236:M236"/>
    <mergeCell ref="AL238:AL246"/>
    <mergeCell ref="AB236:AC236"/>
    <mergeCell ref="AL265:AL273"/>
    <mergeCell ref="AL274:AL288"/>
    <mergeCell ref="AL438:AL502"/>
    <mergeCell ref="Z64:AA64"/>
    <mergeCell ref="AB64:AC64"/>
    <mergeCell ref="AD64:AE64"/>
    <mergeCell ref="AF64:AG64"/>
    <mergeCell ref="AJ64:AJ65"/>
    <mergeCell ref="AK64:AK65"/>
    <mergeCell ref="A98:A101"/>
    <mergeCell ref="H64:I64"/>
    <mergeCell ref="AL122:AL123"/>
    <mergeCell ref="A121:AN121"/>
    <mergeCell ref="AN109:AN110"/>
    <mergeCell ref="B64:B65"/>
    <mergeCell ref="C64:C65"/>
    <mergeCell ref="D64:E64"/>
    <mergeCell ref="A109:A110"/>
    <mergeCell ref="P344:Q344"/>
    <mergeCell ref="AB178:AC178"/>
    <mergeCell ref="AD178:AE178"/>
    <mergeCell ref="A196:A197"/>
    <mergeCell ref="AN209:AN210"/>
    <mergeCell ref="V209:W209"/>
    <mergeCell ref="AN182:AN193"/>
    <mergeCell ref="AN236:AN237"/>
    <mergeCell ref="AN111:AN116"/>
    <mergeCell ref="AN64:AN65"/>
    <mergeCell ref="D122:I123"/>
    <mergeCell ref="P20:Q20"/>
    <mergeCell ref="AM122:AM123"/>
    <mergeCell ref="AM64:AM65"/>
    <mergeCell ref="D109:I110"/>
    <mergeCell ref="AF122:AG122"/>
    <mergeCell ref="N20:O20"/>
    <mergeCell ref="AD122:AE122"/>
    <mergeCell ref="AL22:AL57"/>
    <mergeCell ref="AL111:AL120"/>
    <mergeCell ref="X64:Y64"/>
    <mergeCell ref="AL66:AL107"/>
    <mergeCell ref="AM109:AM110"/>
    <mergeCell ref="AL64:AL65"/>
    <mergeCell ref="J64:K64"/>
    <mergeCell ref="J109:K109"/>
    <mergeCell ref="L109:M109"/>
    <mergeCell ref="N109:O109"/>
    <mergeCell ref="P109:Q109"/>
    <mergeCell ref="AB109:AC109"/>
    <mergeCell ref="AD109:AE109"/>
    <mergeCell ref="AL181:AL193"/>
    <mergeCell ref="AM209:AM210"/>
    <mergeCell ref="AM400:AM401"/>
    <mergeCell ref="AL391:AL398"/>
    <mergeCell ref="AB290:AC290"/>
    <mergeCell ref="AD290:AE290"/>
    <mergeCell ref="AF290:AG290"/>
    <mergeCell ref="AB326:AC326"/>
    <mergeCell ref="AD326:AE326"/>
    <mergeCell ref="AF326:AG326"/>
    <mergeCell ref="AK344:AK345"/>
    <mergeCell ref="AK326:AK327"/>
    <mergeCell ref="AL326:AL327"/>
    <mergeCell ref="AL344:AL345"/>
    <mergeCell ref="A289:AN289"/>
    <mergeCell ref="AK285:AK286"/>
    <mergeCell ref="AK283:AK284"/>
    <mergeCell ref="J290:K290"/>
    <mergeCell ref="V290:W290"/>
    <mergeCell ref="A209:A210"/>
    <mergeCell ref="B209:B210"/>
    <mergeCell ref="A278:A284"/>
    <mergeCell ref="D209:K210"/>
    <mergeCell ref="T236:U236"/>
    <mergeCell ref="A188:A189"/>
    <mergeCell ref="F1:G1"/>
    <mergeCell ref="B1:C1"/>
    <mergeCell ref="A19:AN19"/>
    <mergeCell ref="D236:E236"/>
    <mergeCell ref="AM236:AM237"/>
    <mergeCell ref="V178:W178"/>
    <mergeCell ref="AN124:AN168"/>
    <mergeCell ref="AN178:AN179"/>
    <mergeCell ref="A2:AN2"/>
    <mergeCell ref="A3:AN3"/>
    <mergeCell ref="P64:Q64"/>
    <mergeCell ref="R64:S64"/>
    <mergeCell ref="H178:I178"/>
    <mergeCell ref="P178:Q178"/>
    <mergeCell ref="L178:M178"/>
    <mergeCell ref="D178:E178"/>
    <mergeCell ref="AN8:AN18"/>
    <mergeCell ref="AK20:AK21"/>
    <mergeCell ref="A190:A191"/>
    <mergeCell ref="F178:G178"/>
    <mergeCell ref="AK178:AK179"/>
    <mergeCell ref="AL236:AL237"/>
    <mergeCell ref="AF178:AG178"/>
    <mergeCell ref="AP2:AQ2"/>
    <mergeCell ref="R109:S109"/>
    <mergeCell ref="T109:U109"/>
    <mergeCell ref="AO1:AO21"/>
    <mergeCell ref="Z122:AA122"/>
    <mergeCell ref="X122:Y122"/>
    <mergeCell ref="AK41:AK42"/>
    <mergeCell ref="AK49:AK50"/>
    <mergeCell ref="AJ109:AJ110"/>
    <mergeCell ref="AK47:AK48"/>
    <mergeCell ref="X109:Y109"/>
    <mergeCell ref="AK109:AK110"/>
    <mergeCell ref="AK122:AK123"/>
    <mergeCell ref="A108:AN108"/>
    <mergeCell ref="AB20:AC20"/>
    <mergeCell ref="AD20:AE20"/>
    <mergeCell ref="AF20:AG20"/>
    <mergeCell ref="AK1:AN1"/>
    <mergeCell ref="V109:W109"/>
    <mergeCell ref="X20:Y20"/>
    <mergeCell ref="Z20:AA20"/>
    <mergeCell ref="AL8:AL18"/>
    <mergeCell ref="AL109:AL110"/>
    <mergeCell ref="AF109:AG109"/>
    <mergeCell ref="R178:S178"/>
    <mergeCell ref="T178:U178"/>
    <mergeCell ref="AJ178:AJ179"/>
    <mergeCell ref="X178:Y178"/>
    <mergeCell ref="A177:AN177"/>
    <mergeCell ref="B122:B123"/>
    <mergeCell ref="A155:A157"/>
    <mergeCell ref="A167:A168"/>
    <mergeCell ref="AM178:AM179"/>
    <mergeCell ref="N178:O178"/>
    <mergeCell ref="Z178:AA178"/>
    <mergeCell ref="AB122:AC122"/>
    <mergeCell ref="J122:K122"/>
    <mergeCell ref="J178:K178"/>
    <mergeCell ref="A178:A179"/>
    <mergeCell ref="B178:B179"/>
    <mergeCell ref="AN122:AN123"/>
    <mergeCell ref="A138:A139"/>
    <mergeCell ref="A140:A141"/>
    <mergeCell ref="A142:A144"/>
    <mergeCell ref="A171:A172"/>
    <mergeCell ref="A173:A175"/>
    <mergeCell ref="AL124:AL176"/>
    <mergeCell ref="AJ122:AJ123"/>
    <mergeCell ref="C109:C110"/>
    <mergeCell ref="A169:A170"/>
    <mergeCell ref="C122:C123"/>
    <mergeCell ref="A129:A137"/>
    <mergeCell ref="A111:A116"/>
    <mergeCell ref="A117:A118"/>
    <mergeCell ref="A119:A120"/>
    <mergeCell ref="R122:S122"/>
    <mergeCell ref="T122:U122"/>
    <mergeCell ref="A160:A166"/>
    <mergeCell ref="P122:Q122"/>
    <mergeCell ref="AK155:AK156"/>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A106:A107"/>
    <mergeCell ref="A64:A65"/>
    <mergeCell ref="A124:A127"/>
    <mergeCell ref="A149:A154"/>
    <mergeCell ref="A158:A159"/>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V5:W5"/>
    <mergeCell ref="T20:U20"/>
    <mergeCell ref="J20:K20"/>
    <mergeCell ref="L20:M20"/>
    <mergeCell ref="AJ20:AJ21"/>
    <mergeCell ref="V20:W20"/>
    <mergeCell ref="J5:K5"/>
    <mergeCell ref="L5:M5"/>
    <mergeCell ref="N5:O5"/>
    <mergeCell ref="P5:Q5"/>
    <mergeCell ref="R209:S209"/>
    <mergeCell ref="T209:U209"/>
    <mergeCell ref="L209:M209"/>
    <mergeCell ref="V236:W236"/>
    <mergeCell ref="P209:Q209"/>
    <mergeCell ref="Z209:AA209"/>
    <mergeCell ref="R236:S236"/>
    <mergeCell ref="P236:Q236"/>
    <mergeCell ref="N236:O236"/>
    <mergeCell ref="N209:O209"/>
    <mergeCell ref="AK236:AK237"/>
    <mergeCell ref="AL256:AL264"/>
    <mergeCell ref="AF209:AG209"/>
    <mergeCell ref="AB209:AC209"/>
    <mergeCell ref="AD209:AE209"/>
    <mergeCell ref="AJ209:AJ210"/>
    <mergeCell ref="X236:Y236"/>
    <mergeCell ref="AK209:AK210"/>
    <mergeCell ref="X209:Y209"/>
    <mergeCell ref="AL247:AL255"/>
    <mergeCell ref="AL211:AL234"/>
    <mergeCell ref="AJ236:AJ237"/>
    <mergeCell ref="AD236:AE236"/>
    <mergeCell ref="AF236:AG236"/>
    <mergeCell ref="A236:A237"/>
    <mergeCell ref="W4:AN4"/>
    <mergeCell ref="AK43:AK44"/>
    <mergeCell ref="A235:AN235"/>
    <mergeCell ref="A208:AN208"/>
    <mergeCell ref="A66:A69"/>
    <mergeCell ref="A70:A73"/>
    <mergeCell ref="A74:A77"/>
    <mergeCell ref="A78:A81"/>
    <mergeCell ref="A82:A85"/>
    <mergeCell ref="A86:A89"/>
    <mergeCell ref="A90:A93"/>
    <mergeCell ref="A122:A123"/>
    <mergeCell ref="A11:A13"/>
    <mergeCell ref="A15:A17"/>
    <mergeCell ref="C178:C179"/>
    <mergeCell ref="A54:A55"/>
    <mergeCell ref="A37:A38"/>
    <mergeCell ref="A39:A40"/>
    <mergeCell ref="A41:A42"/>
    <mergeCell ref="A22:A32"/>
    <mergeCell ref="A51:A53"/>
    <mergeCell ref="C209:C210"/>
    <mergeCell ref="F236:G236"/>
    <mergeCell ref="Z290:AA290"/>
    <mergeCell ref="A316:A318"/>
    <mergeCell ref="A322:A324"/>
    <mergeCell ref="B326:B327"/>
    <mergeCell ref="H290:I290"/>
    <mergeCell ref="AL290:AL291"/>
    <mergeCell ref="AK290:AK291"/>
    <mergeCell ref="AJ326:AJ327"/>
    <mergeCell ref="T290:U290"/>
    <mergeCell ref="T326:U326"/>
    <mergeCell ref="Z326:AA326"/>
    <mergeCell ref="L326:M326"/>
    <mergeCell ref="N326:O326"/>
    <mergeCell ref="P326:Q326"/>
    <mergeCell ref="AK306:AK307"/>
    <mergeCell ref="AK314:AK315"/>
    <mergeCell ref="AK302:AK303"/>
    <mergeCell ref="AK298:AK299"/>
    <mergeCell ref="AJ290:AJ291"/>
    <mergeCell ref="D290:E290"/>
    <mergeCell ref="B290:B291"/>
    <mergeCell ref="L290:M290"/>
    <mergeCell ref="N290:O290"/>
    <mergeCell ref="H1:J1"/>
    <mergeCell ref="A7:AN7"/>
    <mergeCell ref="A5:A6"/>
    <mergeCell ref="B5:B6"/>
    <mergeCell ref="C5:C6"/>
    <mergeCell ref="D5:E5"/>
    <mergeCell ref="AL178:AL179"/>
    <mergeCell ref="D4:V4"/>
    <mergeCell ref="V122:W122"/>
    <mergeCell ref="K1:Q1"/>
    <mergeCell ref="R1:S1"/>
    <mergeCell ref="T1:V1"/>
    <mergeCell ref="W1:X1"/>
    <mergeCell ref="AA1:AJ1"/>
    <mergeCell ref="L122:M122"/>
    <mergeCell ref="N122:O122"/>
    <mergeCell ref="X5:Y5"/>
    <mergeCell ref="Z5:AA5"/>
    <mergeCell ref="AK45:AK46"/>
    <mergeCell ref="AJ5:AJ6"/>
    <mergeCell ref="AK5:AK6"/>
    <mergeCell ref="A33:A34"/>
    <mergeCell ref="R5:S5"/>
    <mergeCell ref="T5:U5"/>
    <mergeCell ref="D1:E1"/>
    <mergeCell ref="A4:C4"/>
    <mergeCell ref="AL436:AL437"/>
    <mergeCell ref="AM436:AM437"/>
    <mergeCell ref="AL400:AL401"/>
    <mergeCell ref="A529:L558"/>
    <mergeCell ref="M529:AN558"/>
    <mergeCell ref="A528:L528"/>
    <mergeCell ref="M528:AN528"/>
    <mergeCell ref="A507:L527"/>
    <mergeCell ref="A506:L506"/>
    <mergeCell ref="M506:AN506"/>
    <mergeCell ref="M507:AN527"/>
    <mergeCell ref="A435:AN435"/>
    <mergeCell ref="A436:A437"/>
    <mergeCell ref="B436:B437"/>
    <mergeCell ref="C436:C437"/>
    <mergeCell ref="D436:E436"/>
    <mergeCell ref="F436:G436"/>
    <mergeCell ref="H436:I436"/>
    <mergeCell ref="J436:K436"/>
    <mergeCell ref="L436:M436"/>
    <mergeCell ref="N436:O436"/>
    <mergeCell ref="P436:Q436"/>
    <mergeCell ref="J236:K236"/>
    <mergeCell ref="R326:S326"/>
    <mergeCell ref="A292:A297"/>
    <mergeCell ref="A328:A330"/>
    <mergeCell ref="C236:C237"/>
    <mergeCell ref="B236:B237"/>
    <mergeCell ref="A274:A275"/>
    <mergeCell ref="A290:A291"/>
    <mergeCell ref="A326:A327"/>
    <mergeCell ref="J326:K326"/>
    <mergeCell ref="A247:A255"/>
    <mergeCell ref="A256:A264"/>
    <mergeCell ref="A265:A273"/>
    <mergeCell ref="A238:A246"/>
    <mergeCell ref="H236:I236"/>
    <mergeCell ref="A276:A277"/>
    <mergeCell ref="P290:Q290"/>
    <mergeCell ref="A325:AN325"/>
    <mergeCell ref="AN326:AN327"/>
    <mergeCell ref="C326:C327"/>
    <mergeCell ref="V326:W326"/>
    <mergeCell ref="X290:Y290"/>
    <mergeCell ref="AL316:AL324"/>
    <mergeCell ref="AN292:AN315"/>
    <mergeCell ref="AN316:AN324"/>
    <mergeCell ref="A285:A288"/>
    <mergeCell ref="F290:G290"/>
    <mergeCell ref="A298:A301"/>
    <mergeCell ref="A319:A321"/>
    <mergeCell ref="A433:AN433"/>
    <mergeCell ref="AL346:AL373"/>
    <mergeCell ref="AL374:AL390"/>
    <mergeCell ref="AN346:AN373"/>
    <mergeCell ref="AN374:AN390"/>
    <mergeCell ref="AL292:AL315"/>
    <mergeCell ref="H326:I326"/>
    <mergeCell ref="AL422:AL432"/>
    <mergeCell ref="AN422:AN432"/>
    <mergeCell ref="C290:C291"/>
    <mergeCell ref="H344:I344"/>
    <mergeCell ref="J344:K344"/>
    <mergeCell ref="A331:A332"/>
    <mergeCell ref="A306:A313"/>
    <mergeCell ref="A302:A305"/>
    <mergeCell ref="A314:A315"/>
    <mergeCell ref="R290:S290"/>
    <mergeCell ref="A414:A420"/>
    <mergeCell ref="V344:W344"/>
    <mergeCell ref="N344:O344"/>
    <mergeCell ref="X400:Y400"/>
    <mergeCell ref="D344:E344"/>
    <mergeCell ref="F344:G344"/>
    <mergeCell ref="Z344:AA344"/>
    <mergeCell ref="AN400:AN401"/>
    <mergeCell ref="AN436:AN437"/>
    <mergeCell ref="R436:S436"/>
    <mergeCell ref="T436:U436"/>
    <mergeCell ref="V436:W436"/>
    <mergeCell ref="X436:Y436"/>
    <mergeCell ref="A421:AN421"/>
    <mergeCell ref="A422:A432"/>
    <mergeCell ref="A402:A407"/>
    <mergeCell ref="Z436:AA436"/>
    <mergeCell ref="AB436:AC436"/>
    <mergeCell ref="AD436:AE436"/>
    <mergeCell ref="AF436:AG436"/>
    <mergeCell ref="AJ436:AJ437"/>
    <mergeCell ref="AK436:AK437"/>
    <mergeCell ref="AN402:AN420"/>
    <mergeCell ref="AL402:AL420"/>
    <mergeCell ref="AM326:AM327"/>
    <mergeCell ref="C400:C401"/>
    <mergeCell ref="Z400:AA400"/>
    <mergeCell ref="L400:M400"/>
    <mergeCell ref="H400:I400"/>
    <mergeCell ref="J400:K400"/>
    <mergeCell ref="N400:O400"/>
    <mergeCell ref="P400:Q400"/>
    <mergeCell ref="C344:C345"/>
    <mergeCell ref="X326:Y326"/>
    <mergeCell ref="T344:U344"/>
    <mergeCell ref="V400:W400"/>
    <mergeCell ref="AJ400:AJ401"/>
    <mergeCell ref="R400:S400"/>
    <mergeCell ref="T400:U400"/>
    <mergeCell ref="AK400:AK401"/>
    <mergeCell ref="AL328:AL342"/>
    <mergeCell ref="A399:AN399"/>
    <mergeCell ref="A360:A365"/>
    <mergeCell ref="AN391:AN398"/>
    <mergeCell ref="A347:A352"/>
    <mergeCell ref="A358:A359"/>
    <mergeCell ref="A340:A342"/>
    <mergeCell ref="A333:A334"/>
    <mergeCell ref="AK464:AK465"/>
    <mergeCell ref="AK449:AK450"/>
    <mergeCell ref="A448:A452"/>
    <mergeCell ref="B344:B345"/>
    <mergeCell ref="B400:B401"/>
    <mergeCell ref="A366:A373"/>
    <mergeCell ref="A400:A401"/>
    <mergeCell ref="D326:E326"/>
    <mergeCell ref="F326:G326"/>
    <mergeCell ref="A408:A413"/>
    <mergeCell ref="L344:M344"/>
    <mergeCell ref="R344:S344"/>
    <mergeCell ref="A388:A390"/>
    <mergeCell ref="A374:A384"/>
    <mergeCell ref="F400:G400"/>
    <mergeCell ref="D400:E400"/>
    <mergeCell ref="A343:AN343"/>
    <mergeCell ref="AN344:AN345"/>
    <mergeCell ref="AM344:AM345"/>
    <mergeCell ref="AB344:AC344"/>
    <mergeCell ref="AD344:AE344"/>
    <mergeCell ref="X344:Y344"/>
    <mergeCell ref="AN328:AN342"/>
    <mergeCell ref="A391:A398"/>
    <mergeCell ref="A498:A502"/>
    <mergeCell ref="AK499:AK500"/>
    <mergeCell ref="AH20:AI20"/>
    <mergeCell ref="AH64:AI64"/>
    <mergeCell ref="AH109:AI109"/>
    <mergeCell ref="AH122:AI122"/>
    <mergeCell ref="AH178:AI178"/>
    <mergeCell ref="AH209:AI209"/>
    <mergeCell ref="AH236:AI236"/>
    <mergeCell ref="AH290:AI290"/>
    <mergeCell ref="AH326:AI326"/>
    <mergeCell ref="AH344:AI344"/>
    <mergeCell ref="AH436:AI436"/>
    <mergeCell ref="AB106:AC106"/>
    <mergeCell ref="AD106:AE106"/>
    <mergeCell ref="AF106:AG106"/>
    <mergeCell ref="AH106:AI106"/>
    <mergeCell ref="A458:A462"/>
    <mergeCell ref="A468:A472"/>
    <mergeCell ref="AK469:AK470"/>
    <mergeCell ref="A473:A477"/>
    <mergeCell ref="AK474:AK475"/>
    <mergeCell ref="A344:A345"/>
    <mergeCell ref="AJ344:AJ345"/>
    <mergeCell ref="A354:A357"/>
    <mergeCell ref="A385:A387"/>
    <mergeCell ref="A219:A222"/>
    <mergeCell ref="A223:A226"/>
    <mergeCell ref="A211:A214"/>
    <mergeCell ref="A215:A218"/>
    <mergeCell ref="A227:A230"/>
    <mergeCell ref="A493:A497"/>
    <mergeCell ref="AK494:AK495"/>
    <mergeCell ref="AF344:AG344"/>
    <mergeCell ref="A478:A482"/>
    <mergeCell ref="AK479:AK480"/>
    <mergeCell ref="A483:A487"/>
    <mergeCell ref="AK484:AK485"/>
    <mergeCell ref="A488:A492"/>
    <mergeCell ref="AK489:AK490"/>
    <mergeCell ref="A453:A457"/>
    <mergeCell ref="AK454:AK455"/>
    <mergeCell ref="AK439:AK440"/>
    <mergeCell ref="A438:A442"/>
    <mergeCell ref="A443:A447"/>
    <mergeCell ref="AK444:AK445"/>
    <mergeCell ref="AK459:AK460"/>
    <mergeCell ref="A463:A467"/>
  </mergeCells>
  <phoneticPr fontId="3" type="noConversion"/>
  <conditionalFormatting sqref="AK22">
    <cfRule type="notContainsBlanks" dxfId="1858" priority="3173">
      <formula>LEN(TRIM(AK22))&gt;0</formula>
    </cfRule>
  </conditionalFormatting>
  <conditionalFormatting sqref="AK27:AK28">
    <cfRule type="notContainsBlanks" dxfId="1857" priority="3174">
      <formula>LEN(TRIM(AK27))&gt;0</formula>
    </cfRule>
  </conditionalFormatting>
  <conditionalFormatting sqref="AK33:AK34">
    <cfRule type="notContainsBlanks" dxfId="1856" priority="3177">
      <formula>LEN(TRIM(AK33))&gt;0</formula>
    </cfRule>
  </conditionalFormatting>
  <conditionalFormatting sqref="AK35:AK36">
    <cfRule type="notContainsBlanks" dxfId="1855" priority="3175">
      <formula>LEN(TRIM(AK35))&gt;0</formula>
    </cfRule>
  </conditionalFormatting>
  <conditionalFormatting sqref="AK37:AK38">
    <cfRule type="notContainsBlanks" dxfId="1854" priority="3168">
      <formula>LEN(TRIM(AK37))&gt;0</formula>
    </cfRule>
  </conditionalFormatting>
  <conditionalFormatting sqref="AK39:AK40">
    <cfRule type="notContainsBlanks" dxfId="1853" priority="3167">
      <formula>LEN(TRIM(AK39))&gt;0</formula>
    </cfRule>
  </conditionalFormatting>
  <conditionalFormatting sqref="AK41:AK42">
    <cfRule type="notContainsBlanks" dxfId="1852" priority="3166">
      <formula>LEN(TRIM(AK41))&gt;0</formula>
    </cfRule>
  </conditionalFormatting>
  <conditionalFormatting sqref="AK43:AK44">
    <cfRule type="notContainsBlanks" dxfId="1851" priority="3165">
      <formula>LEN(TRIM(AK43))&gt;0</formula>
    </cfRule>
  </conditionalFormatting>
  <conditionalFormatting sqref="AK45:AK46">
    <cfRule type="notContainsBlanks" dxfId="1850" priority="3164">
      <formula>LEN(TRIM(AK45))&gt;0</formula>
    </cfRule>
  </conditionalFormatting>
  <conditionalFormatting sqref="AK47:AK48">
    <cfRule type="notContainsBlanks" dxfId="1849" priority="3163">
      <formula>LEN(TRIM(AK47))&gt;0</formula>
    </cfRule>
  </conditionalFormatting>
  <conditionalFormatting sqref="AK49:AK53">
    <cfRule type="notContainsBlanks" dxfId="1848" priority="3162">
      <formula>LEN(TRIM(AK49))&gt;0</formula>
    </cfRule>
  </conditionalFormatting>
  <conditionalFormatting sqref="AK54:AK55">
    <cfRule type="notContainsBlanks" dxfId="1847" priority="3161">
      <formula>LEN(TRIM(AK54))&gt;0</formula>
    </cfRule>
  </conditionalFormatting>
  <conditionalFormatting sqref="AK124 AK126:AK127">
    <cfRule type="notContainsBlanks" dxfId="1846" priority="3178">
      <formula>LEN(TRIM(AK124))&gt;0</formula>
    </cfRule>
  </conditionalFormatting>
  <conditionalFormatting sqref="AK128:AK134">
    <cfRule type="notContainsBlanks" dxfId="1845" priority="3179">
      <formula>LEN(TRIM(AK128))&gt;0</formula>
    </cfRule>
  </conditionalFormatting>
  <conditionalFormatting sqref="AK155:AK156">
    <cfRule type="notContainsBlanks" dxfId="1844" priority="3158">
      <formula>LEN(TRIM(AK155))&gt;0</formula>
    </cfRule>
  </conditionalFormatting>
  <conditionalFormatting sqref="AK182">
    <cfRule type="notContainsBlanks" dxfId="1843" priority="3157">
      <formula>LEN(TRIM(AK182))&gt;0</formula>
    </cfRule>
  </conditionalFormatting>
  <conditionalFormatting sqref="AK24">
    <cfRule type="notContainsBlanks" dxfId="1842" priority="3156">
      <formula>LEN(TRIM(AK24))&gt;0</formula>
    </cfRule>
  </conditionalFormatting>
  <conditionalFormatting sqref="AK183">
    <cfRule type="notContainsBlanks" dxfId="1841" priority="3155">
      <formula>LEN(TRIM(AK183))&gt;0</formula>
    </cfRule>
  </conditionalFormatting>
  <conditionalFormatting sqref="AK184">
    <cfRule type="notContainsBlanks" dxfId="1840" priority="3154">
      <formula>LEN(TRIM(AK184))&gt;0</formula>
    </cfRule>
  </conditionalFormatting>
  <conditionalFormatting sqref="AK185">
    <cfRule type="notContainsBlanks" dxfId="1839" priority="3153">
      <formula>LEN(TRIM(AK185))&gt;0</formula>
    </cfRule>
  </conditionalFormatting>
  <conditionalFormatting sqref="AK212">
    <cfRule type="notContainsBlanks" dxfId="1838" priority="3152">
      <formula>LEN(TRIM(AK212))&gt;0</formula>
    </cfRule>
  </conditionalFormatting>
  <conditionalFormatting sqref="AK275">
    <cfRule type="notContainsBlanks" dxfId="1837" priority="3149">
      <formula>LEN(TRIM(AK275))&gt;0</formula>
    </cfRule>
  </conditionalFormatting>
  <conditionalFormatting sqref="AK278">
    <cfRule type="notContainsBlanks" dxfId="1836" priority="3148">
      <formula>LEN(TRIM(AK278))&gt;0</formula>
    </cfRule>
  </conditionalFormatting>
  <conditionalFormatting sqref="AK279:AK280">
    <cfRule type="notContainsBlanks" dxfId="1835" priority="3147">
      <formula>LEN(TRIM(AK279))&gt;0</formula>
    </cfRule>
  </conditionalFormatting>
  <conditionalFormatting sqref="AK281:AK282 AK294 AK296 AK394:AK396 AK360:AK373 AK379">
    <cfRule type="notContainsBlanks" dxfId="1834" priority="3146">
      <formula>LEN(TRIM(AK281))&gt;0</formula>
    </cfRule>
  </conditionalFormatting>
  <conditionalFormatting sqref="AK283:AK284">
    <cfRule type="notContainsBlanks" dxfId="1833" priority="3145">
      <formula>LEN(TRIM(AK283))&gt;0</formula>
    </cfRule>
  </conditionalFormatting>
  <conditionalFormatting sqref="AK285:AK286">
    <cfRule type="notContainsBlanks" dxfId="1832" priority="3144">
      <formula>LEN(TRIM(AK285))&gt;0</formula>
    </cfRule>
  </conditionalFormatting>
  <conditionalFormatting sqref="AK287">
    <cfRule type="notContainsBlanks" dxfId="1831" priority="3143">
      <formula>LEN(TRIM(AK287))&gt;0</formula>
    </cfRule>
  </conditionalFormatting>
  <conditionalFormatting sqref="AK288">
    <cfRule type="notContainsBlanks" dxfId="1830" priority="3142">
      <formula>LEN(TRIM(AK288))&gt;0</formula>
    </cfRule>
  </conditionalFormatting>
  <conditionalFormatting sqref="AK292">
    <cfRule type="notContainsBlanks" dxfId="1829" priority="3141">
      <formula>LEN(TRIM(AK292))&gt;0</formula>
    </cfRule>
  </conditionalFormatting>
  <conditionalFormatting sqref="AK293">
    <cfRule type="notContainsBlanks" dxfId="1828" priority="3140">
      <formula>LEN(TRIM(AK293))&gt;0</formula>
    </cfRule>
  </conditionalFormatting>
  <conditionalFormatting sqref="AK295:AK297">
    <cfRule type="notContainsBlanks" dxfId="1827" priority="3138">
      <formula>LEN(TRIM(AK295))&gt;0</formula>
    </cfRule>
  </conditionalFormatting>
  <conditionalFormatting sqref="AK298:AK299 AK301">
    <cfRule type="notContainsBlanks" dxfId="1826" priority="3137">
      <formula>LEN(TRIM(AK298))&gt;0</formula>
    </cfRule>
  </conditionalFormatting>
  <conditionalFormatting sqref="AK302:AK303 AK305">
    <cfRule type="notContainsBlanks" dxfId="1825" priority="3136">
      <formula>LEN(TRIM(AK302))&gt;0</formula>
    </cfRule>
  </conditionalFormatting>
  <conditionalFormatting sqref="AK306:AK307 AK309 AK311">
    <cfRule type="notContainsBlanks" dxfId="1824" priority="3135">
      <formula>LEN(TRIM(AK306))&gt;0</formula>
    </cfRule>
  </conditionalFormatting>
  <conditionalFormatting sqref="AK314:AK323">
    <cfRule type="notContainsBlanks" dxfId="1823" priority="3134">
      <formula>LEN(TRIM(AK314))&gt;0</formula>
    </cfRule>
  </conditionalFormatting>
  <conditionalFormatting sqref="AK329:AK332">
    <cfRule type="notContainsBlanks" dxfId="1822" priority="3133">
      <formula>LEN(TRIM(AK329))&gt;0</formula>
    </cfRule>
  </conditionalFormatting>
  <conditionalFormatting sqref="AK333:AK334">
    <cfRule type="notContainsBlanks" dxfId="1821" priority="3132">
      <formula>LEN(TRIM(AK333))&gt;0</formula>
    </cfRule>
  </conditionalFormatting>
  <conditionalFormatting sqref="AK335:AK337">
    <cfRule type="notContainsBlanks" dxfId="1820" priority="3131">
      <formula>LEN(TRIM(AK335))&gt;0</formula>
    </cfRule>
  </conditionalFormatting>
  <conditionalFormatting sqref="AK340">
    <cfRule type="notContainsBlanks" dxfId="1819" priority="3130">
      <formula>LEN(TRIM(AK340))&gt;0</formula>
    </cfRule>
  </conditionalFormatting>
  <conditionalFormatting sqref="AK341">
    <cfRule type="notContainsBlanks" dxfId="1818" priority="3129">
      <formula>LEN(TRIM(AK341))&gt;0</formula>
    </cfRule>
  </conditionalFormatting>
  <conditionalFormatting sqref="AK342">
    <cfRule type="notContainsBlanks" dxfId="1817" priority="3128">
      <formula>LEN(TRIM(AK342))&gt;0</formula>
    </cfRule>
  </conditionalFormatting>
  <conditionalFormatting sqref="AK346:AK352">
    <cfRule type="notContainsBlanks" dxfId="1816" priority="3127">
      <formula>LEN(TRIM(AK346))&gt;0</formula>
    </cfRule>
  </conditionalFormatting>
  <conditionalFormatting sqref="AK353 AK355:AK358">
    <cfRule type="notContainsBlanks" priority="3126">
      <formula>LEN(TRIM(AK353))&gt;0</formula>
    </cfRule>
  </conditionalFormatting>
  <conditionalFormatting sqref="AK408:AK410">
    <cfRule type="notContainsBlanks" dxfId="1815" priority="3124">
      <formula>LEN(TRIM(AK408))&gt;0</formula>
    </cfRule>
  </conditionalFormatting>
  <conditionalFormatting sqref="AM35">
    <cfRule type="notContainsBlanks" dxfId="1814" priority="3117">
      <formula>LEN(TRIM(AM35))&gt;0</formula>
    </cfRule>
  </conditionalFormatting>
  <conditionalFormatting sqref="AM292:AN292">
    <cfRule type="notContainsBlanks" dxfId="1813" priority="3116">
      <formula>LEN(TRIM(AM292))&gt;0</formula>
    </cfRule>
  </conditionalFormatting>
  <conditionalFormatting sqref="AM293">
    <cfRule type="notContainsBlanks" dxfId="1812" priority="3115">
      <formula>LEN(TRIM(AM293))&gt;0</formula>
    </cfRule>
  </conditionalFormatting>
  <conditionalFormatting sqref="AM111:AN111 AM182:AN182 AM211:AN211 AM238:AN238 AM328:AN328 AM346:AN346 AM124:AN126 AM22:AN22 AM112:AM118 AM127:AM139 AM212:AM234 AM275:AM288 AM23:AM31 AN402 AM408:AM420 AM294:AM311 AM322:AM323 AM394:AM396 AM329:AM337 AM347:AM373 AM379 AM438:AM440 AM33:AM55 AM314:AM318 AM339:AM342 AM183:AM193 AM146:AM170">
    <cfRule type="notContainsBlanks" dxfId="1811" priority="3114">
      <formula>LEN(TRIM(AM22))&gt;0</formula>
    </cfRule>
  </conditionalFormatting>
  <conditionalFormatting sqref="AM37">
    <cfRule type="notContainsBlanks" dxfId="1810" priority="3113">
      <formula>LEN(TRIM(AM37))&gt;0</formula>
    </cfRule>
  </conditionalFormatting>
  <conditionalFormatting sqref="AM49">
    <cfRule type="notContainsBlanks" dxfId="1809" priority="3107">
      <formula>LEN(TRIM(AM49))&gt;0</formula>
    </cfRule>
  </conditionalFormatting>
  <conditionalFormatting sqref="AM39">
    <cfRule type="notContainsBlanks" dxfId="1808" priority="3112">
      <formula>LEN(TRIM(AM39))&gt;0</formula>
    </cfRule>
  </conditionalFormatting>
  <conditionalFormatting sqref="AM41">
    <cfRule type="notContainsBlanks" dxfId="1807" priority="3111">
      <formula>LEN(TRIM(AM41))&gt;0</formula>
    </cfRule>
  </conditionalFormatting>
  <conditionalFormatting sqref="AM43">
    <cfRule type="notContainsBlanks" dxfId="1806" priority="3110">
      <formula>LEN(TRIM(AM43))&gt;0</formula>
    </cfRule>
  </conditionalFormatting>
  <conditionalFormatting sqref="AM45">
    <cfRule type="notContainsBlanks" dxfId="1805" priority="3109">
      <formula>LEN(TRIM(AM45))&gt;0</formula>
    </cfRule>
  </conditionalFormatting>
  <conditionalFormatting sqref="AM47">
    <cfRule type="notContainsBlanks" dxfId="1804" priority="3108">
      <formula>LEN(TRIM(AM47))&gt;0</formula>
    </cfRule>
  </conditionalFormatting>
  <conditionalFormatting sqref="AL22 AL111 AL124 AL211:AL234 AL238 AL328:AL337 AL346 AL402 AL292 AL438 AL339:AL342 AL181">
    <cfRule type="notContainsBlanks" dxfId="1803" priority="3343">
      <formula>LEN(TRIM(AL22))&gt;0</formula>
    </cfRule>
  </conditionalFormatting>
  <conditionalFormatting sqref="D359:Y359 AB359:AG359 AJ359">
    <cfRule type="cellIs" dxfId="1802" priority="3104" operator="equal">
      <formula>0</formula>
    </cfRule>
  </conditionalFormatting>
  <conditionalFormatting sqref="D372:Y372 AB372:AG372">
    <cfRule type="cellIs" dxfId="1801" priority="3103" operator="equal">
      <formula>0</formula>
    </cfRule>
  </conditionalFormatting>
  <conditionalFormatting sqref="D372:Y372 AB372:AG372">
    <cfRule type="cellIs" dxfId="1800" priority="3102" operator="equal">
      <formula>0</formula>
    </cfRule>
  </conditionalFormatting>
  <conditionalFormatting sqref="D54:AI55">
    <cfRule type="cellIs" dxfId="1799" priority="3101" operator="equal">
      <formula>0</formula>
    </cfRule>
  </conditionalFormatting>
  <conditionalFormatting sqref="AJ414:AJ420 AJ402:AJ412 AJ45 AJ47 AJ35 AJ29:AJ31 AJ49:AJ50 AJ37:AJ43 AJ275 AJ277:AJ288 AJ292:AJ311 AJ328:AJ337 AJ346:AJ353 AJ124:AJ127 AJ22:AJ27 AJ54 AJ33 AJ314:AJ323 AJ129:AJ131 AJ339:AJ342 AJ182:AJ193 AJ211:AJ234 AJ358 AJ360:AJ387 AJ133:AJ176 AJ111:AJ118">
    <cfRule type="cellIs" dxfId="1798" priority="3098" operator="equal">
      <formula>0</formula>
    </cfRule>
  </conditionalFormatting>
  <conditionalFormatting sqref="D372:Y372 D359:Y359 AB359:AG359 AB372:AG372 AJ359 D54:AI55">
    <cfRule type="cellIs" dxfId="1797" priority="3097" operator="equal">
      <formula>0</formula>
    </cfRule>
  </conditionalFormatting>
  <conditionalFormatting sqref="A1">
    <cfRule type="cellIs" dxfId="1796" priority="3096" operator="equal">
      <formula>0</formula>
    </cfRule>
  </conditionalFormatting>
  <conditionalFormatting sqref="D413:AG413 AJ413">
    <cfRule type="cellIs" dxfId="1795" priority="3093" operator="equal">
      <formula>0</formula>
    </cfRule>
  </conditionalFormatting>
  <conditionalFormatting sqref="AJ44">
    <cfRule type="cellIs" dxfId="1794" priority="3092" operator="equal">
      <formula>0</formula>
    </cfRule>
  </conditionalFormatting>
  <conditionalFormatting sqref="AJ46">
    <cfRule type="cellIs" dxfId="1793" priority="3091" operator="equal">
      <formula>0</formula>
    </cfRule>
  </conditionalFormatting>
  <conditionalFormatting sqref="AJ36">
    <cfRule type="cellIs" dxfId="1792" priority="3090" operator="equal">
      <formula>0</formula>
    </cfRule>
  </conditionalFormatting>
  <conditionalFormatting sqref="AJ34">
    <cfRule type="cellIs" dxfId="1791" priority="3089" operator="equal">
      <formula>0</formula>
    </cfRule>
  </conditionalFormatting>
  <conditionalFormatting sqref="AJ28">
    <cfRule type="cellIs" dxfId="1790" priority="3088" operator="equal">
      <formula>0</formula>
    </cfRule>
  </conditionalFormatting>
  <conditionalFormatting sqref="AJ48">
    <cfRule type="cellIs" dxfId="1789" priority="3087" operator="equal">
      <formula>0</formula>
    </cfRule>
  </conditionalFormatting>
  <conditionalFormatting sqref="AJ55">
    <cfRule type="cellIs" dxfId="1788" priority="3069" operator="equal">
      <formula>0</formula>
    </cfRule>
  </conditionalFormatting>
  <conditionalFormatting sqref="AJ55">
    <cfRule type="cellIs" dxfId="1787" priority="3068" operator="equal">
      <formula>0</formula>
    </cfRule>
  </conditionalFormatting>
  <conditionalFormatting sqref="D182:AA182">
    <cfRule type="expression" dxfId="1786" priority="3057">
      <formula>D184&gt;D182</formula>
    </cfRule>
  </conditionalFormatting>
  <conditionalFormatting sqref="D183:AA183">
    <cfRule type="expression" dxfId="1785" priority="3056">
      <formula>D185&gt;D183</formula>
    </cfRule>
  </conditionalFormatting>
  <conditionalFormatting sqref="D278:AA278">
    <cfRule type="expression" dxfId="1784" priority="3053">
      <formula>D279&gt;D278</formula>
    </cfRule>
  </conditionalFormatting>
  <conditionalFormatting sqref="D279:AA279">
    <cfRule type="expression" dxfId="1783" priority="3052">
      <formula>D280&gt;D279</formula>
    </cfRule>
  </conditionalFormatting>
  <conditionalFormatting sqref="K281 M281 O281 Q281 S281 U281 W281 Y281 AA281">
    <cfRule type="expression" dxfId="1782" priority="3051">
      <formula>K282&gt;K281</formula>
    </cfRule>
  </conditionalFormatting>
  <conditionalFormatting sqref="D283:AA283">
    <cfRule type="expression" dxfId="1781" priority="3050">
      <formula>D284&gt;D283</formula>
    </cfRule>
  </conditionalFormatting>
  <conditionalFormatting sqref="D285:AA285">
    <cfRule type="expression" dxfId="1780" priority="3047">
      <formula>D288&gt;D285</formula>
    </cfRule>
    <cfRule type="expression" dxfId="1779" priority="3049">
      <formula>D286&gt;D285</formula>
    </cfRule>
  </conditionalFormatting>
  <conditionalFormatting sqref="D286:AA286">
    <cfRule type="expression" dxfId="1778" priority="3048">
      <formula>D287&gt;D286</formula>
    </cfRule>
  </conditionalFormatting>
  <conditionalFormatting sqref="K292">
    <cfRule type="expression" dxfId="1777" priority="3046">
      <formula>(K293+K294)&gt;K292</formula>
    </cfRule>
  </conditionalFormatting>
  <conditionalFormatting sqref="K294">
    <cfRule type="expression" dxfId="1776" priority="2560">
      <formula>K294&gt;K292</formula>
    </cfRule>
    <cfRule type="expression" dxfId="1775" priority="3045">
      <formula>K295&gt;K294</formula>
    </cfRule>
  </conditionalFormatting>
  <conditionalFormatting sqref="K298">
    <cfRule type="expression" dxfId="1774" priority="3044">
      <formula>K299&gt;K298</formula>
    </cfRule>
  </conditionalFormatting>
  <conditionalFormatting sqref="K302">
    <cfRule type="expression" dxfId="1773" priority="3043">
      <formula>K303&gt;K302</formula>
    </cfRule>
  </conditionalFormatting>
  <conditionalFormatting sqref="K306">
    <cfRule type="expression" dxfId="1772" priority="3042">
      <formula>K307&gt;K306</formula>
    </cfRule>
  </conditionalFormatting>
  <conditionalFormatting sqref="M292">
    <cfRule type="expression" dxfId="1771" priority="3041">
      <formula>(M293+M294)&gt;M292</formula>
    </cfRule>
  </conditionalFormatting>
  <conditionalFormatting sqref="M294">
    <cfRule type="expression" dxfId="1770" priority="3040">
      <formula>M295&gt;M294</formula>
    </cfRule>
  </conditionalFormatting>
  <conditionalFormatting sqref="M298">
    <cfRule type="expression" dxfId="1769" priority="3039">
      <formula>M299&gt;M298</formula>
    </cfRule>
  </conditionalFormatting>
  <conditionalFormatting sqref="M302">
    <cfRule type="expression" dxfId="1768" priority="3038">
      <formula>M303&gt;M302</formula>
    </cfRule>
  </conditionalFormatting>
  <conditionalFormatting sqref="M306">
    <cfRule type="expression" dxfId="1767" priority="3037">
      <formula>M307&gt;M306</formula>
    </cfRule>
  </conditionalFormatting>
  <conditionalFormatting sqref="O292">
    <cfRule type="expression" dxfId="1766" priority="3036">
      <formula>(O293+O294)&gt;O292</formula>
    </cfRule>
  </conditionalFormatting>
  <conditionalFormatting sqref="O294">
    <cfRule type="expression" dxfId="1765" priority="3035">
      <formula>O295&gt;O294</formula>
    </cfRule>
  </conditionalFormatting>
  <conditionalFormatting sqref="O298">
    <cfRule type="expression" dxfId="1764" priority="3034">
      <formula>O299&gt;O298</formula>
    </cfRule>
  </conditionalFormatting>
  <conditionalFormatting sqref="O302">
    <cfRule type="expression" dxfId="1763" priority="3033">
      <formula>O303&gt;O302</formula>
    </cfRule>
  </conditionalFormatting>
  <conditionalFormatting sqref="O306">
    <cfRule type="expression" dxfId="1762" priority="3032">
      <formula>O307&gt;O306</formula>
    </cfRule>
  </conditionalFormatting>
  <conditionalFormatting sqref="Q292">
    <cfRule type="expression" dxfId="1761" priority="3031">
      <formula>(Q293+Q294)&gt;Q292</formula>
    </cfRule>
  </conditionalFormatting>
  <conditionalFormatting sqref="Q294">
    <cfRule type="expression" dxfId="1760" priority="3030">
      <formula>Q295&gt;Q294</formula>
    </cfRule>
  </conditionalFormatting>
  <conditionalFormatting sqref="Q298">
    <cfRule type="expression" dxfId="1759" priority="3029">
      <formula>Q299&gt;Q298</formula>
    </cfRule>
  </conditionalFormatting>
  <conditionalFormatting sqref="Q302">
    <cfRule type="expression" dxfId="1758" priority="3028">
      <formula>Q303&gt;Q302</formula>
    </cfRule>
  </conditionalFormatting>
  <conditionalFormatting sqref="Q306">
    <cfRule type="expression" dxfId="1757" priority="3027">
      <formula>Q307&gt;Q306</formula>
    </cfRule>
  </conditionalFormatting>
  <conditionalFormatting sqref="S292">
    <cfRule type="expression" dxfId="1756" priority="3026">
      <formula>(S293+S294)&gt;S292</formula>
    </cfRule>
  </conditionalFormatting>
  <conditionalFormatting sqref="S294">
    <cfRule type="expression" dxfId="1755" priority="3025">
      <formula>S295&gt;S294</formula>
    </cfRule>
  </conditionalFormatting>
  <conditionalFormatting sqref="S298">
    <cfRule type="expression" dxfId="1754" priority="3024">
      <formula>S299&gt;S298</formula>
    </cfRule>
  </conditionalFormatting>
  <conditionalFormatting sqref="S302">
    <cfRule type="expression" dxfId="1753" priority="3023">
      <formula>S303&gt;S302</formula>
    </cfRule>
  </conditionalFormatting>
  <conditionalFormatting sqref="S306">
    <cfRule type="expression" dxfId="1752" priority="3022">
      <formula>S307&gt;S306</formula>
    </cfRule>
  </conditionalFormatting>
  <conditionalFormatting sqref="U292">
    <cfRule type="expression" dxfId="1751" priority="3021">
      <formula>(U293+U294)&gt;U292</formula>
    </cfRule>
  </conditionalFormatting>
  <conditionalFormatting sqref="U294">
    <cfRule type="expression" dxfId="1750" priority="3020">
      <formula>U295&gt;U294</formula>
    </cfRule>
  </conditionalFormatting>
  <conditionalFormatting sqref="U298">
    <cfRule type="expression" dxfId="1749" priority="3019">
      <formula>U299&gt;U298</formula>
    </cfRule>
  </conditionalFormatting>
  <conditionalFormatting sqref="U302">
    <cfRule type="expression" dxfId="1748" priority="3018">
      <formula>U303&gt;U302</formula>
    </cfRule>
  </conditionalFormatting>
  <conditionalFormatting sqref="U306">
    <cfRule type="expression" dxfId="1747" priority="3017">
      <formula>U307&gt;U306</formula>
    </cfRule>
  </conditionalFormatting>
  <conditionalFormatting sqref="W292">
    <cfRule type="expression" dxfId="1746" priority="3016">
      <formula>(W293+W294)&gt;W292</formula>
    </cfRule>
  </conditionalFormatting>
  <conditionalFormatting sqref="W294">
    <cfRule type="expression" dxfId="1745" priority="3015">
      <formula>W295&gt;W294</formula>
    </cfRule>
  </conditionalFormatting>
  <conditionalFormatting sqref="W298">
    <cfRule type="expression" dxfId="1744" priority="3014">
      <formula>W299&gt;W298</formula>
    </cfRule>
  </conditionalFormatting>
  <conditionalFormatting sqref="W302">
    <cfRule type="expression" dxfId="1743" priority="3013">
      <formula>W303&gt;W302</formula>
    </cfRule>
  </conditionalFormatting>
  <conditionalFormatting sqref="W306">
    <cfRule type="expression" dxfId="1742" priority="3012">
      <formula>W307&gt;W306</formula>
    </cfRule>
  </conditionalFormatting>
  <conditionalFormatting sqref="Y292">
    <cfRule type="expression" dxfId="1741" priority="3011">
      <formula>(Y293+Y294)&gt;Y292</formula>
    </cfRule>
  </conditionalFormatting>
  <conditionalFormatting sqref="Y294">
    <cfRule type="expression" dxfId="1740" priority="3010">
      <formula>Y295&gt;Y294</formula>
    </cfRule>
  </conditionalFormatting>
  <conditionalFormatting sqref="Y298">
    <cfRule type="expression" dxfId="1739" priority="3009">
      <formula>Y299&gt;Y298</formula>
    </cfRule>
  </conditionalFormatting>
  <conditionalFormatting sqref="Y302">
    <cfRule type="expression" dxfId="1738" priority="3008">
      <formula>Y303&gt;Y302</formula>
    </cfRule>
  </conditionalFormatting>
  <conditionalFormatting sqref="Y306">
    <cfRule type="expression" dxfId="1737" priority="3007">
      <formula>Y307&gt;Y306</formula>
    </cfRule>
  </conditionalFormatting>
  <conditionalFormatting sqref="J314">
    <cfRule type="expression" dxfId="1736" priority="3006">
      <formula>J315&gt;J314</formula>
    </cfRule>
  </conditionalFormatting>
  <conditionalFormatting sqref="L314">
    <cfRule type="expression" dxfId="1735" priority="3005">
      <formula>L315&gt;L314</formula>
    </cfRule>
  </conditionalFormatting>
  <conditionalFormatting sqref="N314">
    <cfRule type="expression" dxfId="1734" priority="3004">
      <formula>N315&gt;N314</formula>
    </cfRule>
  </conditionalFormatting>
  <conditionalFormatting sqref="P314">
    <cfRule type="expression" dxfId="1733" priority="3003">
      <formula>P315&gt;P314</formula>
    </cfRule>
  </conditionalFormatting>
  <conditionalFormatting sqref="R314">
    <cfRule type="expression" dxfId="1732" priority="3002">
      <formula>R315&gt;R314</formula>
    </cfRule>
  </conditionalFormatting>
  <conditionalFormatting sqref="T314">
    <cfRule type="expression" dxfId="1731" priority="3001">
      <formula>T315&gt;T314</formula>
    </cfRule>
  </conditionalFormatting>
  <conditionalFormatting sqref="V314">
    <cfRule type="expression" dxfId="1730" priority="3000">
      <formula>V315&gt;V314</formula>
    </cfRule>
  </conditionalFormatting>
  <conditionalFormatting sqref="X314">
    <cfRule type="expression" dxfId="1729" priority="2999">
      <formula>X315&gt;X314</formula>
    </cfRule>
  </conditionalFormatting>
  <conditionalFormatting sqref="Z314">
    <cfRule type="expression" dxfId="1728" priority="2998">
      <formula>Z315&gt;Z314</formula>
    </cfRule>
  </conditionalFormatting>
  <conditionalFormatting sqref="K293">
    <cfRule type="expression" dxfId="1727" priority="2553">
      <formula>K293&gt;K292</formula>
    </cfRule>
    <cfRule type="expression" dxfId="1726" priority="2997">
      <formula>K328&gt;K293</formula>
    </cfRule>
  </conditionalFormatting>
  <conditionalFormatting sqref="M293">
    <cfRule type="expression" dxfId="1725" priority="2996">
      <formula>M328&gt;M293</formula>
    </cfRule>
  </conditionalFormatting>
  <conditionalFormatting sqref="O293">
    <cfRule type="expression" dxfId="1724" priority="2995">
      <formula>O328&gt;O293</formula>
    </cfRule>
  </conditionalFormatting>
  <conditionalFormatting sqref="Q293">
    <cfRule type="expression" dxfId="1723" priority="2994">
      <formula>Q328&gt;Q293</formula>
    </cfRule>
  </conditionalFormatting>
  <conditionalFormatting sqref="S293">
    <cfRule type="expression" dxfId="1722" priority="2993">
      <formula>S328&gt;S293</formula>
    </cfRule>
  </conditionalFormatting>
  <conditionalFormatting sqref="U293">
    <cfRule type="expression" dxfId="1721" priority="2992">
      <formula>U328&gt;U293</formula>
    </cfRule>
  </conditionalFormatting>
  <conditionalFormatting sqref="W293">
    <cfRule type="expression" dxfId="1720" priority="2991">
      <formula>W328&gt;W293</formula>
    </cfRule>
  </conditionalFormatting>
  <conditionalFormatting sqref="Y293">
    <cfRule type="expression" dxfId="1719" priority="2990">
      <formula>Y328&gt;Y293</formula>
    </cfRule>
  </conditionalFormatting>
  <conditionalFormatting sqref="K295 M295 O295 Q295 S295 U295 W295 Y295">
    <cfRule type="expression" dxfId="1718" priority="2989">
      <formula>K329&gt;K295</formula>
    </cfRule>
  </conditionalFormatting>
  <conditionalFormatting sqref="M292">
    <cfRule type="expression" dxfId="1717" priority="2985">
      <formula>(M293+M294)&gt;M292</formula>
    </cfRule>
  </conditionalFormatting>
  <conditionalFormatting sqref="M294">
    <cfRule type="expression" dxfId="1716" priority="2984">
      <formula>M295&gt;M294</formula>
    </cfRule>
  </conditionalFormatting>
  <conditionalFormatting sqref="M298">
    <cfRule type="expression" dxfId="1715" priority="2983">
      <formula>M299&gt;M298</formula>
    </cfRule>
  </conditionalFormatting>
  <conditionalFormatting sqref="M302">
    <cfRule type="expression" dxfId="1714" priority="2982">
      <formula>M303&gt;M302</formula>
    </cfRule>
  </conditionalFormatting>
  <conditionalFormatting sqref="M306">
    <cfRule type="expression" dxfId="1713" priority="2981">
      <formula>M307&gt;M306</formula>
    </cfRule>
  </conditionalFormatting>
  <conditionalFormatting sqref="M293">
    <cfRule type="expression" dxfId="1712" priority="2980">
      <formula>M328&gt;M293</formula>
    </cfRule>
  </conditionalFormatting>
  <conditionalFormatting sqref="K305 M305 O305 Q305 S305 U305 W305 Y305">
    <cfRule type="expression" dxfId="1711" priority="2978">
      <formula>K334&gt;K305</formula>
    </cfRule>
  </conditionalFormatting>
  <conditionalFormatting sqref="O292">
    <cfRule type="expression" dxfId="1710" priority="2976">
      <formula>(O293+O294)&gt;O292</formula>
    </cfRule>
  </conditionalFormatting>
  <conditionalFormatting sqref="O294">
    <cfRule type="expression" dxfId="1709" priority="2975">
      <formula>O295&gt;O294</formula>
    </cfRule>
  </conditionalFormatting>
  <conditionalFormatting sqref="O298">
    <cfRule type="expression" dxfId="1708" priority="2974">
      <formula>O299&gt;O298</formula>
    </cfRule>
  </conditionalFormatting>
  <conditionalFormatting sqref="O302">
    <cfRule type="expression" dxfId="1707" priority="2973">
      <formula>O303&gt;O302</formula>
    </cfRule>
  </conditionalFormatting>
  <conditionalFormatting sqref="O306">
    <cfRule type="expression" dxfId="1706" priority="2972">
      <formula>O307&gt;O306</formula>
    </cfRule>
  </conditionalFormatting>
  <conditionalFormatting sqref="O293">
    <cfRule type="expression" dxfId="1705" priority="2971">
      <formula>O328&gt;O293</formula>
    </cfRule>
  </conditionalFormatting>
  <conditionalFormatting sqref="Q292">
    <cfRule type="expression" dxfId="1704" priority="2967">
      <formula>(Q293+Q294)&gt;Q292</formula>
    </cfRule>
  </conditionalFormatting>
  <conditionalFormatting sqref="Q294">
    <cfRule type="expression" dxfId="1703" priority="2966">
      <formula>Q295&gt;Q294</formula>
    </cfRule>
  </conditionalFormatting>
  <conditionalFormatting sqref="Q298">
    <cfRule type="expression" dxfId="1702" priority="2965">
      <formula>Q299&gt;Q298</formula>
    </cfRule>
  </conditionalFormatting>
  <conditionalFormatting sqref="Q302">
    <cfRule type="expression" dxfId="1701" priority="2964">
      <formula>Q303&gt;Q302</formula>
    </cfRule>
  </conditionalFormatting>
  <conditionalFormatting sqref="Q306">
    <cfRule type="expression" dxfId="1700" priority="2963">
      <formula>Q307&gt;Q306</formula>
    </cfRule>
  </conditionalFormatting>
  <conditionalFormatting sqref="Q293">
    <cfRule type="expression" dxfId="1699" priority="2962">
      <formula>Q328&gt;Q293</formula>
    </cfRule>
  </conditionalFormatting>
  <conditionalFormatting sqref="S292">
    <cfRule type="expression" dxfId="1698" priority="2958">
      <formula>(S293+S294)&gt;S292</formula>
    </cfRule>
  </conditionalFormatting>
  <conditionalFormatting sqref="S294">
    <cfRule type="expression" dxfId="1697" priority="2957">
      <formula>S295&gt;S294</formula>
    </cfRule>
  </conditionalFormatting>
  <conditionalFormatting sqref="S298">
    <cfRule type="expression" dxfId="1696" priority="2956">
      <formula>S299&gt;S298</formula>
    </cfRule>
  </conditionalFormatting>
  <conditionalFormatting sqref="S302">
    <cfRule type="expression" dxfId="1695" priority="2955">
      <formula>S303&gt;S302</formula>
    </cfRule>
  </conditionalFormatting>
  <conditionalFormatting sqref="S306">
    <cfRule type="expression" dxfId="1694" priority="2954">
      <formula>S307&gt;S306</formula>
    </cfRule>
  </conditionalFormatting>
  <conditionalFormatting sqref="S293">
    <cfRule type="expression" dxfId="1693" priority="2953">
      <formula>S328&gt;S293</formula>
    </cfRule>
  </conditionalFormatting>
  <conditionalFormatting sqref="U292">
    <cfRule type="expression" dxfId="1692" priority="2949">
      <formula>(U293+U294)&gt;U292</formula>
    </cfRule>
  </conditionalFormatting>
  <conditionalFormatting sqref="U294">
    <cfRule type="expression" dxfId="1691" priority="2948">
      <formula>U295&gt;U294</formula>
    </cfRule>
  </conditionalFormatting>
  <conditionalFormatting sqref="U298">
    <cfRule type="expression" dxfId="1690" priority="2947">
      <formula>U299&gt;U298</formula>
    </cfRule>
  </conditionalFormatting>
  <conditionalFormatting sqref="U302">
    <cfRule type="expression" dxfId="1689" priority="2946">
      <formula>U303&gt;U302</formula>
    </cfRule>
  </conditionalFormatting>
  <conditionalFormatting sqref="U306">
    <cfRule type="expression" dxfId="1688" priority="2945">
      <formula>U307&gt;U306</formula>
    </cfRule>
  </conditionalFormatting>
  <conditionalFormatting sqref="U293">
    <cfRule type="expression" dxfId="1687" priority="2944">
      <formula>U328&gt;U293</formula>
    </cfRule>
  </conditionalFormatting>
  <conditionalFormatting sqref="W292">
    <cfRule type="expression" dxfId="1686" priority="2940">
      <formula>(W293+W294)&gt;W292</formula>
    </cfRule>
  </conditionalFormatting>
  <conditionalFormatting sqref="W294">
    <cfRule type="expression" dxfId="1685" priority="2939">
      <formula>W295&gt;W294</formula>
    </cfRule>
  </conditionalFormatting>
  <conditionalFormatting sqref="W298">
    <cfRule type="expression" dxfId="1684" priority="2938">
      <formula>W299&gt;W298</formula>
    </cfRule>
  </conditionalFormatting>
  <conditionalFormatting sqref="W302">
    <cfRule type="expression" dxfId="1683" priority="2937">
      <formula>W303&gt;W302</formula>
    </cfRule>
  </conditionalFormatting>
  <conditionalFormatting sqref="W306">
    <cfRule type="expression" dxfId="1682" priority="2936">
      <formula>W307&gt;W306</formula>
    </cfRule>
  </conditionalFormatting>
  <conditionalFormatting sqref="W293">
    <cfRule type="expression" dxfId="1681" priority="2935">
      <formula>W328&gt;W293</formula>
    </cfRule>
  </conditionalFormatting>
  <conditionalFormatting sqref="Y292">
    <cfRule type="expression" dxfId="1680" priority="2931">
      <formula>(Y293+Y294)&gt;Y292</formula>
    </cfRule>
  </conditionalFormatting>
  <conditionalFormatting sqref="Y294">
    <cfRule type="expression" dxfId="1679" priority="2930">
      <formula>Y295&gt;Y294</formula>
    </cfRule>
  </conditionalFormatting>
  <conditionalFormatting sqref="Y298">
    <cfRule type="expression" dxfId="1678" priority="2929">
      <formula>Y299&gt;Y298</formula>
    </cfRule>
  </conditionalFormatting>
  <conditionalFormatting sqref="Y302">
    <cfRule type="expression" dxfId="1677" priority="2928">
      <formula>Y303&gt;Y302</formula>
    </cfRule>
  </conditionalFormatting>
  <conditionalFormatting sqref="Y306">
    <cfRule type="expression" dxfId="1676" priority="2927">
      <formula>Y307&gt;Y306</formula>
    </cfRule>
  </conditionalFormatting>
  <conditionalFormatting sqref="Y293">
    <cfRule type="expression" dxfId="1675" priority="2926">
      <formula>Y328&gt;Y293</formula>
    </cfRule>
  </conditionalFormatting>
  <conditionalFormatting sqref="K339 M339 O339 Q339 S339 U339 W339 Y339">
    <cfRule type="expression" dxfId="1674" priority="2922">
      <formula>K339&gt;K359</formula>
    </cfRule>
  </conditionalFormatting>
  <conditionalFormatting sqref="D372:Y372 AB372:AG372">
    <cfRule type="expression" dxfId="1673" priority="2912">
      <formula>D372&lt;&gt;D359</formula>
    </cfRule>
  </conditionalFormatting>
  <conditionalFormatting sqref="F27:Y27 AB27:AI27">
    <cfRule type="expression" dxfId="1672" priority="2895">
      <formula>F28&gt;F27</formula>
    </cfRule>
  </conditionalFormatting>
  <conditionalFormatting sqref="F33:Y33 AB33:AI33">
    <cfRule type="expression" dxfId="1671" priority="2894">
      <formula>F34&gt;F33</formula>
    </cfRule>
  </conditionalFormatting>
  <conditionalFormatting sqref="F35:Y35 AB35:AI35">
    <cfRule type="expression" dxfId="1670" priority="2893">
      <formula>F36&gt;F35</formula>
    </cfRule>
  </conditionalFormatting>
  <conditionalFormatting sqref="F37">
    <cfRule type="expression" dxfId="1669" priority="2892">
      <formula>F38&gt;F37</formula>
    </cfRule>
  </conditionalFormatting>
  <conditionalFormatting sqref="G37">
    <cfRule type="expression" dxfId="1668" priority="2891">
      <formula>G38&gt;G37</formula>
    </cfRule>
  </conditionalFormatting>
  <conditionalFormatting sqref="F39:G39">
    <cfRule type="expression" dxfId="1667" priority="2890">
      <formula>F40&gt;F39</formula>
    </cfRule>
  </conditionalFormatting>
  <conditionalFormatting sqref="F41:Y41 AB41:AI41">
    <cfRule type="expression" dxfId="1666" priority="2889">
      <formula>F42&gt;F41</formula>
    </cfRule>
  </conditionalFormatting>
  <conditionalFormatting sqref="F43:Y43 AB43:AI43">
    <cfRule type="cellIs" dxfId="1665" priority="1402" operator="equal">
      <formula>0</formula>
    </cfRule>
    <cfRule type="expression" dxfId="1664" priority="2888">
      <formula>F44&gt;F43</formula>
    </cfRule>
  </conditionalFormatting>
  <conditionalFormatting sqref="F45:Y45 AB45:AI45">
    <cfRule type="expression" dxfId="1663" priority="2887">
      <formula>F46&gt;F45</formula>
    </cfRule>
  </conditionalFormatting>
  <conditionalFormatting sqref="L47:Y47 AB47:AI47">
    <cfRule type="expression" dxfId="1662" priority="2886">
      <formula>L48&gt;L47</formula>
    </cfRule>
  </conditionalFormatting>
  <conditionalFormatting sqref="L49">
    <cfRule type="expression" dxfId="1661" priority="2885">
      <formula>L50&gt;L49</formula>
    </cfRule>
  </conditionalFormatting>
  <conditionalFormatting sqref="N49">
    <cfRule type="expression" dxfId="1660" priority="2884">
      <formula>N50&gt;N49</formula>
    </cfRule>
  </conditionalFormatting>
  <conditionalFormatting sqref="P49">
    <cfRule type="expression" dxfId="1659" priority="2883">
      <formula>P50&gt;P49</formula>
    </cfRule>
  </conditionalFormatting>
  <conditionalFormatting sqref="R49">
    <cfRule type="expression" dxfId="1658" priority="2882">
      <formula>R50&gt;R49</formula>
    </cfRule>
  </conditionalFormatting>
  <conditionalFormatting sqref="T49">
    <cfRule type="expression" dxfId="1657" priority="2881">
      <formula>T50&gt;T49</formula>
    </cfRule>
  </conditionalFormatting>
  <conditionalFormatting sqref="V49">
    <cfRule type="expression" dxfId="1656" priority="2880">
      <formula>V50&gt;V49</formula>
    </cfRule>
  </conditionalFormatting>
  <conditionalFormatting sqref="X49">
    <cfRule type="expression" dxfId="1655" priority="2879">
      <formula>X50&gt;X49</formula>
    </cfRule>
  </conditionalFormatting>
  <conditionalFormatting sqref="Z49 AB49 AD49 AF49 AH49">
    <cfRule type="expression" dxfId="1654" priority="2878">
      <formula>Z50&gt;Z49</formula>
    </cfRule>
  </conditionalFormatting>
  <conditionalFormatting sqref="AK10 AK13 AK17:AK18">
    <cfRule type="notContainsBlanks" dxfId="1653" priority="2876">
      <formula>LEN(TRIM(AK10))&gt;0</formula>
    </cfRule>
  </conditionalFormatting>
  <conditionalFormatting sqref="AM8:AN8 AM9:AM18">
    <cfRule type="notContainsBlanks" dxfId="1652" priority="2875">
      <formula>LEN(TRIM(AM8))&gt;0</formula>
    </cfRule>
  </conditionalFormatting>
  <conditionalFormatting sqref="AL8">
    <cfRule type="notContainsBlanks" dxfId="1651" priority="3344">
      <formula>LEN(TRIM(AL8))&gt;0</formula>
    </cfRule>
  </conditionalFormatting>
  <conditionalFormatting sqref="Y296">
    <cfRule type="cellIs" dxfId="1650" priority="2863" operator="equal">
      <formula>0</formula>
    </cfRule>
  </conditionalFormatting>
  <conditionalFormatting sqref="W296">
    <cfRule type="cellIs" dxfId="1649" priority="2862" operator="equal">
      <formula>0</formula>
    </cfRule>
  </conditionalFormatting>
  <conditionalFormatting sqref="U296">
    <cfRule type="cellIs" dxfId="1648" priority="2861" operator="equal">
      <formula>0</formula>
    </cfRule>
  </conditionalFormatting>
  <conditionalFormatting sqref="S296">
    <cfRule type="cellIs" dxfId="1647" priority="2860" operator="equal">
      <formula>0</formula>
    </cfRule>
  </conditionalFormatting>
  <conditionalFormatting sqref="Q296">
    <cfRule type="cellIs" dxfId="1646" priority="2859" operator="equal">
      <formula>0</formula>
    </cfRule>
  </conditionalFormatting>
  <conditionalFormatting sqref="O296">
    <cfRule type="cellIs" dxfId="1645" priority="2858" operator="equal">
      <formula>0</formula>
    </cfRule>
  </conditionalFormatting>
  <conditionalFormatting sqref="M296">
    <cfRule type="cellIs" dxfId="1644" priority="2857" operator="equal">
      <formula>0</formula>
    </cfRule>
  </conditionalFormatting>
  <conditionalFormatting sqref="K296">
    <cfRule type="cellIs" dxfId="1643" priority="2856" operator="equal">
      <formula>0</formula>
    </cfRule>
  </conditionalFormatting>
  <conditionalFormatting sqref="B296">
    <cfRule type="cellIs" dxfId="1642" priority="2855" operator="equal">
      <formula>0</formula>
    </cfRule>
  </conditionalFormatting>
  <conditionalFormatting sqref="B297">
    <cfRule type="cellIs" dxfId="1641" priority="2854" operator="equal">
      <formula>0</formula>
    </cfRule>
  </conditionalFormatting>
  <conditionalFormatting sqref="K297">
    <cfRule type="cellIs" dxfId="1640" priority="2846" operator="equal">
      <formula>0</formula>
    </cfRule>
  </conditionalFormatting>
  <conditionalFormatting sqref="M297">
    <cfRule type="cellIs" dxfId="1639" priority="2845" operator="equal">
      <formula>0</formula>
    </cfRule>
  </conditionalFormatting>
  <conditionalFormatting sqref="O297">
    <cfRule type="cellIs" dxfId="1638" priority="2844" operator="equal">
      <formula>0</formula>
    </cfRule>
  </conditionalFormatting>
  <conditionalFormatting sqref="Q297">
    <cfRule type="cellIs" dxfId="1637" priority="2843" operator="equal">
      <formula>0</formula>
    </cfRule>
  </conditionalFormatting>
  <conditionalFormatting sqref="S297">
    <cfRule type="cellIs" dxfId="1636" priority="2842" operator="equal">
      <formula>0</formula>
    </cfRule>
  </conditionalFormatting>
  <conditionalFormatting sqref="U297">
    <cfRule type="cellIs" dxfId="1635" priority="2841" operator="equal">
      <formula>0</formula>
    </cfRule>
  </conditionalFormatting>
  <conditionalFormatting sqref="W297">
    <cfRule type="cellIs" dxfId="1634" priority="2840" operator="equal">
      <formula>0</formula>
    </cfRule>
  </conditionalFormatting>
  <conditionalFormatting sqref="Y297">
    <cfRule type="cellIs" dxfId="1633" priority="2839" operator="equal">
      <formula>0</formula>
    </cfRule>
  </conditionalFormatting>
  <conditionalFormatting sqref="K310">
    <cfRule type="expression" dxfId="1632" priority="3180">
      <formula>K339&gt;K310</formula>
    </cfRule>
  </conditionalFormatting>
  <conditionalFormatting sqref="K307">
    <cfRule type="expression" dxfId="1631" priority="1738">
      <formula>K342&gt;K309+K307</formula>
    </cfRule>
    <cfRule type="expression" dxfId="1630" priority="3181">
      <formula>K335&gt;K307</formula>
    </cfRule>
  </conditionalFormatting>
  <conditionalFormatting sqref="M296 O296 Q296 S296 U296 W296 Y296 K296">
    <cfRule type="expression" dxfId="1629" priority="3182">
      <formula>K333&gt;K296</formula>
    </cfRule>
  </conditionalFormatting>
  <conditionalFormatting sqref="K330">
    <cfRule type="cellIs" dxfId="1628" priority="2838" operator="equal">
      <formula>0</formula>
    </cfRule>
  </conditionalFormatting>
  <conditionalFormatting sqref="O330">
    <cfRule type="cellIs" dxfId="1627" priority="2829" operator="equal">
      <formula>0</formula>
    </cfRule>
  </conditionalFormatting>
  <conditionalFormatting sqref="M330">
    <cfRule type="cellIs" dxfId="1626" priority="2830" operator="equal">
      <formula>0</formula>
    </cfRule>
  </conditionalFormatting>
  <conditionalFormatting sqref="Q330">
    <cfRule type="cellIs" dxfId="1625" priority="2828" operator="equal">
      <formula>0</formula>
    </cfRule>
  </conditionalFormatting>
  <conditionalFormatting sqref="S330">
    <cfRule type="cellIs" dxfId="1624" priority="2827" operator="equal">
      <formula>0</formula>
    </cfRule>
  </conditionalFormatting>
  <conditionalFormatting sqref="U330">
    <cfRule type="cellIs" dxfId="1623" priority="2826" operator="equal">
      <formula>0</formula>
    </cfRule>
  </conditionalFormatting>
  <conditionalFormatting sqref="W330">
    <cfRule type="cellIs" dxfId="1622" priority="2825" operator="equal">
      <formula>0</formula>
    </cfRule>
  </conditionalFormatting>
  <conditionalFormatting sqref="Y330">
    <cfRule type="cellIs" dxfId="1621" priority="2824" operator="equal">
      <formula>0</formula>
    </cfRule>
  </conditionalFormatting>
  <conditionalFormatting sqref="B330">
    <cfRule type="cellIs" dxfId="1620" priority="2823" operator="equal">
      <formula>0</formula>
    </cfRule>
  </conditionalFormatting>
  <conditionalFormatting sqref="B318">
    <cfRule type="cellIs" dxfId="1619" priority="2822" operator="equal">
      <formula>0</formula>
    </cfRule>
  </conditionalFormatting>
  <conditionalFormatting sqref="B321">
    <cfRule type="cellIs" dxfId="1618" priority="2809" operator="equal">
      <formula>0</formula>
    </cfRule>
  </conditionalFormatting>
  <conditionalFormatting sqref="AK324">
    <cfRule type="notContainsBlanks" dxfId="1617" priority="2799">
      <formula>LEN(TRIM(AK324))&gt;0</formula>
    </cfRule>
  </conditionalFormatting>
  <conditionalFormatting sqref="AM324">
    <cfRule type="notContainsBlanks" dxfId="1616" priority="2798">
      <formula>LEN(TRIM(AM324))&gt;0</formula>
    </cfRule>
  </conditionalFormatting>
  <conditionalFormatting sqref="AJ324">
    <cfRule type="cellIs" dxfId="1615" priority="2797" operator="equal">
      <formula>0</formula>
    </cfRule>
  </conditionalFormatting>
  <conditionalFormatting sqref="B324">
    <cfRule type="cellIs" dxfId="1614" priority="2786" operator="equal">
      <formula>0</formula>
    </cfRule>
  </conditionalFormatting>
  <conditionalFormatting sqref="AK274">
    <cfRule type="notContainsBlanks" dxfId="1613" priority="2785">
      <formula>LEN(TRIM(AK274))&gt;0</formula>
    </cfRule>
  </conditionalFormatting>
  <conditionalFormatting sqref="AM274:AN274">
    <cfRule type="notContainsBlanks" dxfId="1612" priority="2784">
      <formula>LEN(TRIM(AM274))&gt;0</formula>
    </cfRule>
  </conditionalFormatting>
  <conditionalFormatting sqref="AL274">
    <cfRule type="notContainsBlanks" dxfId="1611" priority="3345">
      <formula>LEN(TRIM(AL274))&gt;0</formula>
    </cfRule>
  </conditionalFormatting>
  <conditionalFormatting sqref="AJ274">
    <cfRule type="cellIs" dxfId="1610" priority="2781" operator="equal">
      <formula>0</formula>
    </cfRule>
  </conditionalFormatting>
  <conditionalFormatting sqref="AK239:AK240 AK242 AK244:AK246">
    <cfRule type="notContainsBlanks" dxfId="1609" priority="2779">
      <formula>LEN(TRIM(AK239))&gt;0</formula>
    </cfRule>
  </conditionalFormatting>
  <conditionalFormatting sqref="AM239:AN246">
    <cfRule type="notContainsBlanks" dxfId="1608" priority="2778">
      <formula>LEN(TRIM(AM239))&gt;0</formula>
    </cfRule>
  </conditionalFormatting>
  <conditionalFormatting sqref="AJ239:AJ246">
    <cfRule type="cellIs" dxfId="1607" priority="2775" operator="equal">
      <formula>0</formula>
    </cfRule>
  </conditionalFormatting>
  <conditionalFormatting sqref="D238:AG238 AJ238">
    <cfRule type="cellIs" dxfId="1606" priority="2773" operator="equal">
      <formula>0</formula>
    </cfRule>
  </conditionalFormatting>
  <conditionalFormatting sqref="AM422 AM428:AM429">
    <cfRule type="notContainsBlanks" dxfId="1605" priority="2769">
      <formula>LEN(TRIM(AM422))&gt;0</formula>
    </cfRule>
  </conditionalFormatting>
  <conditionalFormatting sqref="AJ422">
    <cfRule type="cellIs" dxfId="1604" priority="2768" operator="equal">
      <formula>0</formula>
    </cfRule>
  </conditionalFormatting>
  <conditionalFormatting sqref="AK429">
    <cfRule type="notContainsBlanks" dxfId="1603" priority="2770">
      <formula>LEN(TRIM(AK429))&gt;0</formula>
    </cfRule>
  </conditionalFormatting>
  <conditionalFormatting sqref="AK423:AK425">
    <cfRule type="notContainsBlanks" dxfId="1602" priority="2767">
      <formula>LEN(TRIM(AK423))&gt;0</formula>
    </cfRule>
  </conditionalFormatting>
  <conditionalFormatting sqref="AM423:AM427">
    <cfRule type="notContainsBlanks" dxfId="1601" priority="2764">
      <formula>LEN(TRIM(AM423))&gt;0</formula>
    </cfRule>
  </conditionalFormatting>
  <conditionalFormatting sqref="F426:Y426 D423:Y423 AB423:AI423 AB426:AI426">
    <cfRule type="cellIs" dxfId="1600" priority="2762" operator="equal">
      <formula>0</formula>
    </cfRule>
  </conditionalFormatting>
  <conditionalFormatting sqref="AJ423:AJ432">
    <cfRule type="cellIs" dxfId="1599" priority="2761" operator="equal">
      <formula>0</formula>
    </cfRule>
  </conditionalFormatting>
  <conditionalFormatting sqref="B425">
    <cfRule type="cellIs" dxfId="1598" priority="2757" operator="equal">
      <formula>0</formula>
    </cfRule>
  </conditionalFormatting>
  <conditionalFormatting sqref="B427">
    <cfRule type="cellIs" dxfId="1597" priority="2756" operator="equal">
      <formula>0</formula>
    </cfRule>
  </conditionalFormatting>
  <conditionalFormatting sqref="F425:Y425 AB425:AI425">
    <cfRule type="cellIs" dxfId="1596" priority="2755" operator="equal">
      <formula>0</formula>
    </cfRule>
  </conditionalFormatting>
  <conditionalFormatting sqref="D427:AI427">
    <cfRule type="cellIs" dxfId="1595" priority="2753" operator="equal">
      <formula>0</formula>
    </cfRule>
  </conditionalFormatting>
  <conditionalFormatting sqref="AM431">
    <cfRule type="notContainsBlanks" dxfId="1594" priority="2751">
      <formula>LEN(TRIM(AM431))&gt;0</formula>
    </cfRule>
  </conditionalFormatting>
  <conditionalFormatting sqref="AM432">
    <cfRule type="notContainsBlanks" dxfId="1593" priority="2747">
      <formula>LEN(TRIM(AM432))&gt;0</formula>
    </cfRule>
  </conditionalFormatting>
  <conditionalFormatting sqref="F429:Y429 AB429:AI429">
    <cfRule type="cellIs" dxfId="1592" priority="2744" operator="equal">
      <formula>0</formula>
    </cfRule>
  </conditionalFormatting>
  <conditionalFormatting sqref="B429">
    <cfRule type="cellIs" dxfId="1591" priority="2743" operator="equal">
      <formula>0</formula>
    </cfRule>
  </conditionalFormatting>
  <conditionalFormatting sqref="B432">
    <cfRule type="cellIs" dxfId="1590" priority="2742" operator="equal">
      <formula>0</formula>
    </cfRule>
  </conditionalFormatting>
  <conditionalFormatting sqref="D432:Y432 AB432:AI432">
    <cfRule type="cellIs" dxfId="1589" priority="2741" operator="equal">
      <formula>0</formula>
    </cfRule>
  </conditionalFormatting>
  <conditionalFormatting sqref="J127:AA127">
    <cfRule type="expression" dxfId="1588" priority="3200">
      <formula>J127&gt;J124</formula>
    </cfRule>
  </conditionalFormatting>
  <conditionalFormatting sqref="D379:AI379">
    <cfRule type="expression" dxfId="1587" priority="3203">
      <formula>D379&gt;D359</formula>
    </cfRule>
  </conditionalFormatting>
  <conditionalFormatting sqref="D379:AI379">
    <cfRule type="expression" dxfId="1586" priority="3205">
      <formula>(D359*0.7)&gt;D379</formula>
    </cfRule>
  </conditionalFormatting>
  <conditionalFormatting sqref="D358:Y358 AB358:AG358">
    <cfRule type="cellIs" dxfId="1585" priority="2738" operator="equal">
      <formula>0</formula>
    </cfRule>
  </conditionalFormatting>
  <conditionalFormatting sqref="AJ358">
    <cfRule type="cellIs" dxfId="1584" priority="2737" operator="equal">
      <formula>0</formula>
    </cfRule>
  </conditionalFormatting>
  <conditionalFormatting sqref="D346:AI346">
    <cfRule type="cellIs" dxfId="1583" priority="2734" operator="equal">
      <formula>0</formula>
    </cfRule>
  </conditionalFormatting>
  <conditionalFormatting sqref="D346:AI346">
    <cfRule type="cellIs" dxfId="1582" priority="2733" operator="equal">
      <formula>0</formula>
    </cfRule>
  </conditionalFormatting>
  <conditionalFormatting sqref="J148:AA148">
    <cfRule type="cellIs" dxfId="1581" priority="2729" operator="equal">
      <formula>0</formula>
    </cfRule>
  </conditionalFormatting>
  <conditionalFormatting sqref="B148">
    <cfRule type="cellIs" dxfId="1580" priority="2732" operator="equal">
      <formula>0</formula>
    </cfRule>
  </conditionalFormatting>
  <conditionalFormatting sqref="J148:AA148">
    <cfRule type="cellIs" dxfId="1579" priority="2730" operator="equal">
      <formula>0</formula>
    </cfRule>
  </conditionalFormatting>
  <conditionalFormatting sqref="J148:AA148">
    <cfRule type="expression" dxfId="1578" priority="2731">
      <formula>J193&gt;J148</formula>
    </cfRule>
  </conditionalFormatting>
  <conditionalFormatting sqref="B128">
    <cfRule type="cellIs" dxfId="1577" priority="2728" operator="equal">
      <formula>0</formula>
    </cfRule>
  </conditionalFormatting>
  <conditionalFormatting sqref="AK376">
    <cfRule type="notContainsBlanks" dxfId="1576" priority="2693">
      <formula>LEN(TRIM(AK376))&gt;0</formula>
    </cfRule>
  </conditionalFormatting>
  <conditionalFormatting sqref="AM376">
    <cfRule type="notContainsBlanks" dxfId="1575" priority="2692">
      <formula>LEN(TRIM(AM376))&gt;0</formula>
    </cfRule>
  </conditionalFormatting>
  <conditionalFormatting sqref="AK375:AK376">
    <cfRule type="notContainsBlanks" dxfId="1574" priority="2689">
      <formula>LEN(TRIM(AK375))&gt;0</formula>
    </cfRule>
  </conditionalFormatting>
  <conditionalFormatting sqref="AM374:AM376">
    <cfRule type="notContainsBlanks" dxfId="1573" priority="2688">
      <formula>LEN(TRIM(AM374))&gt;0</formula>
    </cfRule>
  </conditionalFormatting>
  <conditionalFormatting sqref="AM390">
    <cfRule type="notContainsBlanks" dxfId="1572" priority="2676">
      <formula>LEN(TRIM(AM390))&gt;0</formula>
    </cfRule>
  </conditionalFormatting>
  <conditionalFormatting sqref="AJ390">
    <cfRule type="cellIs" dxfId="1571" priority="2675" operator="equal">
      <formula>0</formula>
    </cfRule>
  </conditionalFormatting>
  <conditionalFormatting sqref="AM384:AM387">
    <cfRule type="notContainsBlanks" dxfId="1570" priority="2680">
      <formula>LEN(TRIM(AM384))&gt;0</formula>
    </cfRule>
  </conditionalFormatting>
  <conditionalFormatting sqref="AK389 AK391">
    <cfRule type="notContainsBlanks" dxfId="1569" priority="2673">
      <formula>LEN(TRIM(AK389))&gt;0</formula>
    </cfRule>
  </conditionalFormatting>
  <conditionalFormatting sqref="AM389:AM391">
    <cfRule type="notContainsBlanks" dxfId="1568" priority="2672">
      <formula>LEN(TRIM(AM389))&gt;0</formula>
    </cfRule>
  </conditionalFormatting>
  <conditionalFormatting sqref="AJ389:AJ390">
    <cfRule type="cellIs" dxfId="1567" priority="2671" operator="equal">
      <formula>0</formula>
    </cfRule>
  </conditionalFormatting>
  <conditionalFormatting sqref="D376:Y376 AB376:AI376">
    <cfRule type="cellIs" dxfId="1566" priority="2667" operator="equal">
      <formula>0</formula>
    </cfRule>
  </conditionalFormatting>
  <conditionalFormatting sqref="D376:Y376 AB376:AI376">
    <cfRule type="cellIs" dxfId="1565" priority="2666" operator="equal">
      <formula>0</formula>
    </cfRule>
  </conditionalFormatting>
  <conditionalFormatting sqref="D376:Y376 AB376:AI376">
    <cfRule type="cellIs" dxfId="1564" priority="2665" operator="equal">
      <formula>0</formula>
    </cfRule>
  </conditionalFormatting>
  <conditionalFormatting sqref="AK377:AK382">
    <cfRule type="notContainsBlanks" dxfId="1563" priority="2661">
      <formula>LEN(TRIM(AK377))&gt;0</formula>
    </cfRule>
  </conditionalFormatting>
  <conditionalFormatting sqref="AM377:AM383">
    <cfRule type="notContainsBlanks" dxfId="1562" priority="2660">
      <formula>LEN(TRIM(AM377))&gt;0</formula>
    </cfRule>
  </conditionalFormatting>
  <conditionalFormatting sqref="AK388">
    <cfRule type="notContainsBlanks" dxfId="1561" priority="2652">
      <formula>LEN(TRIM(AK388))&gt;0</formula>
    </cfRule>
  </conditionalFormatting>
  <conditionalFormatting sqref="AM388">
    <cfRule type="notContainsBlanks" dxfId="1560" priority="2651">
      <formula>LEN(TRIM(AM388))&gt;0</formula>
    </cfRule>
  </conditionalFormatting>
  <conditionalFormatting sqref="AJ388">
    <cfRule type="cellIs" dxfId="1559" priority="2650" operator="equal">
      <formula>0</formula>
    </cfRule>
  </conditionalFormatting>
  <conditionalFormatting sqref="D390:AI390">
    <cfRule type="cellIs" dxfId="1558" priority="2648" operator="equal">
      <formula>0</formula>
    </cfRule>
  </conditionalFormatting>
  <conditionalFormatting sqref="D390:AI390">
    <cfRule type="cellIs" dxfId="1557" priority="2647" operator="equal">
      <formula>0</formula>
    </cfRule>
  </conditionalFormatting>
  <conditionalFormatting sqref="D390:AI390">
    <cfRule type="cellIs" dxfId="1556" priority="2646" operator="equal">
      <formula>0</formula>
    </cfRule>
  </conditionalFormatting>
  <conditionalFormatting sqref="AK392">
    <cfRule type="notContainsBlanks" dxfId="1555" priority="2641">
      <formula>LEN(TRIM(AK392))&gt;0</formula>
    </cfRule>
  </conditionalFormatting>
  <conditionalFormatting sqref="AM392">
    <cfRule type="notContainsBlanks" dxfId="1554" priority="2640">
      <formula>LEN(TRIM(AM392))&gt;0</formula>
    </cfRule>
  </conditionalFormatting>
  <conditionalFormatting sqref="D392:AA392">
    <cfRule type="cellIs" dxfId="1553" priority="2639" operator="equal">
      <formula>0</formula>
    </cfRule>
  </conditionalFormatting>
  <conditionalFormatting sqref="AJ392">
    <cfRule type="cellIs" dxfId="1552" priority="2638" operator="equal">
      <formula>0</formula>
    </cfRule>
  </conditionalFormatting>
  <conditionalFormatting sqref="D392:AA392">
    <cfRule type="cellIs" dxfId="1551" priority="2637" operator="equal">
      <formula>0</formula>
    </cfRule>
  </conditionalFormatting>
  <conditionalFormatting sqref="AK393">
    <cfRule type="notContainsBlanks" dxfId="1550" priority="2635">
      <formula>LEN(TRIM(AK393))&gt;0</formula>
    </cfRule>
  </conditionalFormatting>
  <conditionalFormatting sqref="AM393">
    <cfRule type="notContainsBlanks" dxfId="1549" priority="2634">
      <formula>LEN(TRIM(AM393))&gt;0</formula>
    </cfRule>
  </conditionalFormatting>
  <conditionalFormatting sqref="AJ393:AJ398">
    <cfRule type="cellIs" dxfId="1548" priority="2633" operator="equal">
      <formula>0</formula>
    </cfRule>
  </conditionalFormatting>
  <conditionalFormatting sqref="AK398">
    <cfRule type="notContainsBlanks" dxfId="1547" priority="2625">
      <formula>LEN(TRIM(AK398))&gt;0</formula>
    </cfRule>
  </conditionalFormatting>
  <conditionalFormatting sqref="AM398">
    <cfRule type="notContainsBlanks" dxfId="1546" priority="2624">
      <formula>LEN(TRIM(AM398))&gt;0</formula>
    </cfRule>
  </conditionalFormatting>
  <conditionalFormatting sqref="AK397">
    <cfRule type="notContainsBlanks" dxfId="1545" priority="2628">
      <formula>LEN(TRIM(AK397))&gt;0</formula>
    </cfRule>
  </conditionalFormatting>
  <conditionalFormatting sqref="AM397">
    <cfRule type="notContainsBlanks" dxfId="1544" priority="2627">
      <formula>LEN(TRIM(AM397))&gt;0</formula>
    </cfRule>
  </conditionalFormatting>
  <conditionalFormatting sqref="D391:AG391 AJ391">
    <cfRule type="cellIs" dxfId="1543" priority="2597" operator="equal">
      <formula>0</formula>
    </cfRule>
  </conditionalFormatting>
  <conditionalFormatting sqref="D391:AG391 AJ391">
    <cfRule type="cellIs" dxfId="1542" priority="2596" operator="equal">
      <formula>0</formula>
    </cfRule>
  </conditionalFormatting>
  <conditionalFormatting sqref="D391:AG391 AJ391">
    <cfRule type="cellIs" dxfId="1541" priority="2595" operator="equal">
      <formula>0</formula>
    </cfRule>
  </conditionalFormatting>
  <conditionalFormatting sqref="AK8">
    <cfRule type="notContainsBlanks" dxfId="1540" priority="2588">
      <formula>LEN(TRIM(AK8))&gt;0</formula>
    </cfRule>
  </conditionalFormatting>
  <conditionalFormatting sqref="AK9">
    <cfRule type="notContainsBlanks" dxfId="1539" priority="2587">
      <formula>LEN(TRIM(AK9))&gt;0</formula>
    </cfRule>
  </conditionalFormatting>
  <conditionalFormatting sqref="J124:AA124">
    <cfRule type="expression" dxfId="1538" priority="2586">
      <formula>J127&gt;J124</formula>
    </cfRule>
  </conditionalFormatting>
  <conditionalFormatting sqref="J126:AA126">
    <cfRule type="expression" dxfId="1537" priority="2585">
      <formula>J126&gt;J125</formula>
    </cfRule>
  </conditionalFormatting>
  <conditionalFormatting sqref="J125:AA125">
    <cfRule type="expression" dxfId="1536" priority="2584">
      <formula>J126&gt;J125</formula>
    </cfRule>
  </conditionalFormatting>
  <conditionalFormatting sqref="AK125">
    <cfRule type="notContainsBlanks" dxfId="1535" priority="2583">
      <formula>LEN(TRIM(AK125))&gt;0</formula>
    </cfRule>
  </conditionalFormatting>
  <conditionalFormatting sqref="AK148">
    <cfRule type="notContainsBlanks" dxfId="1534" priority="2580">
      <formula>LEN(TRIM(AK148))&gt;0</formula>
    </cfRule>
  </conditionalFormatting>
  <conditionalFormatting sqref="J127:AA127">
    <cfRule type="expression" dxfId="1533" priority="2579">
      <formula>J128&gt;J127</formula>
    </cfRule>
  </conditionalFormatting>
  <conditionalFormatting sqref="D359:Y359 AB359:AG359 AJ359">
    <cfRule type="expression" dxfId="1532" priority="2578">
      <formula>D358&gt;D359</formula>
    </cfRule>
  </conditionalFormatting>
  <conditionalFormatting sqref="AK146:AK147">
    <cfRule type="notContainsBlanks" dxfId="1531" priority="2576">
      <formula>LEN(TRIM(AK146))&gt;0</formula>
    </cfRule>
  </conditionalFormatting>
  <conditionalFormatting sqref="J148:AA148 AJ359 AB359:AG365">
    <cfRule type="expression" dxfId="1530" priority="2572">
      <formula>J135&gt;J148</formula>
    </cfRule>
  </conditionalFormatting>
  <conditionalFormatting sqref="AK135">
    <cfRule type="notContainsBlanks" dxfId="1529" priority="2571">
      <formula>LEN(TRIM(AK135))&gt;0</formula>
    </cfRule>
  </conditionalFormatting>
  <conditionalFormatting sqref="J156:AA156">
    <cfRule type="expression" dxfId="1528" priority="2570">
      <formula>J156&gt;J155</formula>
    </cfRule>
  </conditionalFormatting>
  <conditionalFormatting sqref="J155:AA155">
    <cfRule type="expression" dxfId="1527" priority="2569">
      <formula>J156&gt;J155</formula>
    </cfRule>
  </conditionalFormatting>
  <conditionalFormatting sqref="J148:AA148">
    <cfRule type="expression" dxfId="1526" priority="2567">
      <formula>(J155+J156+J157)&gt;J148</formula>
    </cfRule>
  </conditionalFormatting>
  <conditionalFormatting sqref="J157:AA157 K158 M158 O158 Q158 S158 U158 W158 Y158 AA158">
    <cfRule type="expression" dxfId="1525" priority="2566">
      <formula>(J155+J156+J157)&gt;J148</formula>
    </cfRule>
  </conditionalFormatting>
  <conditionalFormatting sqref="D184:AA184 J434:AG434">
    <cfRule type="expression" dxfId="1524" priority="2565">
      <formula>D184&gt;D182</formula>
    </cfRule>
  </conditionalFormatting>
  <conditionalFormatting sqref="D185:AA185">
    <cfRule type="expression" dxfId="1523" priority="2564">
      <formula>D185&gt;D183</formula>
    </cfRule>
  </conditionalFormatting>
  <conditionalFormatting sqref="M292">
    <cfRule type="expression" dxfId="1522" priority="2559">
      <formula>(M293+M294)&gt;M292</formula>
    </cfRule>
  </conditionalFormatting>
  <conditionalFormatting sqref="O292">
    <cfRule type="expression" dxfId="1521" priority="2558">
      <formula>(O293+O294)&gt;O292</formula>
    </cfRule>
  </conditionalFormatting>
  <conditionalFormatting sqref="Q292">
    <cfRule type="expression" dxfId="1520" priority="2557">
      <formula>(Q293+Q294)&gt;Q292</formula>
    </cfRule>
  </conditionalFormatting>
  <conditionalFormatting sqref="U292">
    <cfRule type="expression" dxfId="1519" priority="2556">
      <formula>(U293+U294)&gt;U292</formula>
    </cfRule>
  </conditionalFormatting>
  <conditionalFormatting sqref="W292">
    <cfRule type="expression" dxfId="1518" priority="2555">
      <formula>(W293+W294)&gt;W292</formula>
    </cfRule>
  </conditionalFormatting>
  <conditionalFormatting sqref="Y292">
    <cfRule type="expression" dxfId="1517" priority="2554">
      <formula>(Y293+Y294)&gt;Y292</formula>
    </cfRule>
  </conditionalFormatting>
  <conditionalFormatting sqref="M293">
    <cfRule type="expression" dxfId="1516" priority="2551">
      <formula>M293&gt;M292</formula>
    </cfRule>
    <cfRule type="expression" dxfId="1515" priority="2552">
      <formula>M328&gt;M293</formula>
    </cfRule>
  </conditionalFormatting>
  <conditionalFormatting sqref="O293">
    <cfRule type="expression" dxfId="1514" priority="2549">
      <formula>O293&gt;O292</formula>
    </cfRule>
    <cfRule type="expression" dxfId="1513" priority="2550">
      <formula>O328&gt;O293</formula>
    </cfRule>
  </conditionalFormatting>
  <conditionalFormatting sqref="Q293">
    <cfRule type="expression" dxfId="1512" priority="2547">
      <formula>Q293&gt;Q292</formula>
    </cfRule>
    <cfRule type="expression" dxfId="1511" priority="2548">
      <formula>Q328&gt;Q293</formula>
    </cfRule>
  </conditionalFormatting>
  <conditionalFormatting sqref="S293">
    <cfRule type="expression" dxfId="1510" priority="2545">
      <formula>S293&gt;S292</formula>
    </cfRule>
    <cfRule type="expression" dxfId="1509" priority="2546">
      <formula>S328&gt;S293</formula>
    </cfRule>
  </conditionalFormatting>
  <conditionalFormatting sqref="U293">
    <cfRule type="expression" dxfId="1508" priority="2543">
      <formula>U293&gt;U292</formula>
    </cfRule>
    <cfRule type="expression" dxfId="1507" priority="2544">
      <formula>U328&gt;U293</formula>
    </cfRule>
  </conditionalFormatting>
  <conditionalFormatting sqref="W293">
    <cfRule type="expression" dxfId="1506" priority="2541">
      <formula>W293&gt;W292</formula>
    </cfRule>
    <cfRule type="expression" dxfId="1505" priority="2542">
      <formula>W328&gt;W293</formula>
    </cfRule>
  </conditionalFormatting>
  <conditionalFormatting sqref="Y293">
    <cfRule type="expression" dxfId="1504" priority="2539">
      <formula>Y293&gt;Y292</formula>
    </cfRule>
    <cfRule type="expression" dxfId="1503" priority="2540">
      <formula>Y328&gt;Y293</formula>
    </cfRule>
  </conditionalFormatting>
  <conditionalFormatting sqref="K295">
    <cfRule type="expression" dxfId="1502" priority="2538">
      <formula>K295&gt;K294</formula>
    </cfRule>
  </conditionalFormatting>
  <conditionalFormatting sqref="M295">
    <cfRule type="expression" dxfId="1501" priority="2537">
      <formula>M295&gt;M294</formula>
    </cfRule>
  </conditionalFormatting>
  <conditionalFormatting sqref="O295">
    <cfRule type="expression" dxfId="1500" priority="2536">
      <formula>O295&gt;O294</formula>
    </cfRule>
  </conditionalFormatting>
  <conditionalFormatting sqref="Q295">
    <cfRule type="expression" dxfId="1499" priority="2535">
      <formula>Q295&gt;Q294</formula>
    </cfRule>
  </conditionalFormatting>
  <conditionalFormatting sqref="S295">
    <cfRule type="expression" dxfId="1498" priority="2534">
      <formula>S295&gt;S294</formula>
    </cfRule>
  </conditionalFormatting>
  <conditionalFormatting sqref="U295">
    <cfRule type="expression" dxfId="1497" priority="2533">
      <formula>U295&gt;U294</formula>
    </cfRule>
  </conditionalFormatting>
  <conditionalFormatting sqref="W295">
    <cfRule type="expression" dxfId="1496" priority="2532">
      <formula>W295&gt;W294</formula>
    </cfRule>
  </conditionalFormatting>
  <conditionalFormatting sqref="Y295">
    <cfRule type="expression" dxfId="1495" priority="2531">
      <formula>Y295&gt;Y294</formula>
    </cfRule>
  </conditionalFormatting>
  <conditionalFormatting sqref="K299">
    <cfRule type="expression" dxfId="1494" priority="2359">
      <formula>K331&lt;&gt;K299</formula>
    </cfRule>
    <cfRule type="expression" dxfId="1493" priority="2530">
      <formula>K299&gt;K298</formula>
    </cfRule>
  </conditionalFormatting>
  <conditionalFormatting sqref="M299">
    <cfRule type="expression" dxfId="1492" priority="2529">
      <formula>M299&gt;M298</formula>
    </cfRule>
  </conditionalFormatting>
  <conditionalFormatting sqref="O299">
    <cfRule type="expression" dxfId="1491" priority="2528">
      <formula>O299&gt;O298</formula>
    </cfRule>
  </conditionalFormatting>
  <conditionalFormatting sqref="Q299">
    <cfRule type="expression" dxfId="1490" priority="2527">
      <formula>Q299&gt;Q298</formula>
    </cfRule>
  </conditionalFormatting>
  <conditionalFormatting sqref="S299">
    <cfRule type="expression" dxfId="1489" priority="2526">
      <formula>S299&gt;S298</formula>
    </cfRule>
  </conditionalFormatting>
  <conditionalFormatting sqref="U299">
    <cfRule type="expression" dxfId="1488" priority="2525">
      <formula>U299&gt;U298</formula>
    </cfRule>
  </conditionalFormatting>
  <conditionalFormatting sqref="W299">
    <cfRule type="expression" dxfId="1487" priority="2524">
      <formula>W299&gt;W298</formula>
    </cfRule>
  </conditionalFormatting>
  <conditionalFormatting sqref="Y299">
    <cfRule type="expression" dxfId="1486" priority="2523">
      <formula>Y299&gt;Y298</formula>
    </cfRule>
  </conditionalFormatting>
  <conditionalFormatting sqref="AK300">
    <cfRule type="notContainsBlanks" dxfId="1485" priority="2522">
      <formula>LEN(TRIM(AK300))&gt;0</formula>
    </cfRule>
  </conditionalFormatting>
  <conditionalFormatting sqref="K300">
    <cfRule type="expression" dxfId="1484" priority="2521">
      <formula>K301&gt;K300</formula>
    </cfRule>
  </conditionalFormatting>
  <conditionalFormatting sqref="K301">
    <cfRule type="expression" dxfId="1483" priority="2300">
      <formula>K332&lt;&gt;K301</formula>
    </cfRule>
    <cfRule type="expression" dxfId="1482" priority="2520">
      <formula>K301&gt;K300</formula>
    </cfRule>
  </conditionalFormatting>
  <conditionalFormatting sqref="M300">
    <cfRule type="expression" dxfId="1481" priority="2519">
      <formula>M301&gt;M300</formula>
    </cfRule>
  </conditionalFormatting>
  <conditionalFormatting sqref="M301">
    <cfRule type="expression" dxfId="1480" priority="2518">
      <formula>M301&gt;M300</formula>
    </cfRule>
  </conditionalFormatting>
  <conditionalFormatting sqref="O300">
    <cfRule type="expression" dxfId="1479" priority="2517">
      <formula>O301&gt;O300</formula>
    </cfRule>
  </conditionalFormatting>
  <conditionalFormatting sqref="O301">
    <cfRule type="expression" dxfId="1478" priority="2516">
      <formula>O301&gt;O300</formula>
    </cfRule>
  </conditionalFormatting>
  <conditionalFormatting sqref="Q300">
    <cfRule type="expression" dxfId="1477" priority="2515">
      <formula>Q301&gt;Q300</formula>
    </cfRule>
  </conditionalFormatting>
  <conditionalFormatting sqref="Q301">
    <cfRule type="expression" dxfId="1476" priority="2514">
      <formula>Q301&gt;Q300</formula>
    </cfRule>
  </conditionalFormatting>
  <conditionalFormatting sqref="S300">
    <cfRule type="expression" dxfId="1475" priority="2513">
      <formula>S301&gt;S300</formula>
    </cfRule>
  </conditionalFormatting>
  <conditionalFormatting sqref="S301">
    <cfRule type="expression" dxfId="1474" priority="2512">
      <formula>S301&gt;S300</formula>
    </cfRule>
  </conditionalFormatting>
  <conditionalFormatting sqref="U300">
    <cfRule type="expression" dxfId="1473" priority="2511">
      <formula>U301&gt;U300</formula>
    </cfRule>
  </conditionalFormatting>
  <conditionalFormatting sqref="U301">
    <cfRule type="expression" dxfId="1472" priority="2510">
      <formula>U301&gt;U300</formula>
    </cfRule>
  </conditionalFormatting>
  <conditionalFormatting sqref="W300">
    <cfRule type="expression" dxfId="1471" priority="2509">
      <formula>W301&gt;W300</formula>
    </cfRule>
  </conditionalFormatting>
  <conditionalFormatting sqref="W301">
    <cfRule type="expression" dxfId="1470" priority="2508">
      <formula>W301&gt;W300</formula>
    </cfRule>
  </conditionalFormatting>
  <conditionalFormatting sqref="Y300">
    <cfRule type="expression" dxfId="1469" priority="2507">
      <formula>Y301&gt;Y300</formula>
    </cfRule>
  </conditionalFormatting>
  <conditionalFormatting sqref="Y301">
    <cfRule type="expression" dxfId="1468" priority="2506">
      <formula>Y301&gt;Y300</formula>
    </cfRule>
  </conditionalFormatting>
  <conditionalFormatting sqref="AK304">
    <cfRule type="notContainsBlanks" dxfId="1467" priority="2505">
      <formula>LEN(TRIM(AK304))&gt;0</formula>
    </cfRule>
  </conditionalFormatting>
  <conditionalFormatting sqref="K305">
    <cfRule type="expression" dxfId="1466" priority="2504">
      <formula>K305&gt;K304</formula>
    </cfRule>
  </conditionalFormatting>
  <conditionalFormatting sqref="M305">
    <cfRule type="expression" dxfId="1465" priority="2502">
      <formula>M305&gt;M304</formula>
    </cfRule>
  </conditionalFormatting>
  <conditionalFormatting sqref="M304">
    <cfRule type="expression" dxfId="1464" priority="2501">
      <formula>M305&gt;M304</formula>
    </cfRule>
  </conditionalFormatting>
  <conditionalFormatting sqref="O305">
    <cfRule type="expression" dxfId="1463" priority="2500">
      <formula>O305&gt;O304</formula>
    </cfRule>
  </conditionalFormatting>
  <conditionalFormatting sqref="O304">
    <cfRule type="expression" dxfId="1462" priority="2499">
      <formula>O305&gt;O304</formula>
    </cfRule>
  </conditionalFormatting>
  <conditionalFormatting sqref="Q305">
    <cfRule type="expression" dxfId="1461" priority="2498">
      <formula>Q305&gt;Q304</formula>
    </cfRule>
  </conditionalFormatting>
  <conditionalFormatting sqref="Q304">
    <cfRule type="expression" dxfId="1460" priority="2497">
      <formula>Q305&gt;Q304</formula>
    </cfRule>
  </conditionalFormatting>
  <conditionalFormatting sqref="S305">
    <cfRule type="expression" dxfId="1459" priority="2496">
      <formula>S305&gt;S304</formula>
    </cfRule>
  </conditionalFormatting>
  <conditionalFormatting sqref="S304">
    <cfRule type="expression" dxfId="1458" priority="2495">
      <formula>S305&gt;S304</formula>
    </cfRule>
  </conditionalFormatting>
  <conditionalFormatting sqref="U305">
    <cfRule type="expression" dxfId="1457" priority="2494">
      <formula>U305&gt;U304</formula>
    </cfRule>
  </conditionalFormatting>
  <conditionalFormatting sqref="U304">
    <cfRule type="expression" dxfId="1456" priority="2493">
      <formula>U305&gt;U304</formula>
    </cfRule>
  </conditionalFormatting>
  <conditionalFormatting sqref="W305">
    <cfRule type="expression" dxfId="1455" priority="2492">
      <formula>W305&gt;W304</formula>
    </cfRule>
  </conditionalFormatting>
  <conditionalFormatting sqref="W304">
    <cfRule type="expression" dxfId="1454" priority="2491">
      <formula>W305&gt;W304</formula>
    </cfRule>
  </conditionalFormatting>
  <conditionalFormatting sqref="Y305">
    <cfRule type="expression" dxfId="1453" priority="2490">
      <formula>Y305&gt;Y304</formula>
    </cfRule>
  </conditionalFormatting>
  <conditionalFormatting sqref="Y304">
    <cfRule type="expression" dxfId="1452" priority="2489">
      <formula>Y305&gt;Y304</formula>
    </cfRule>
  </conditionalFormatting>
  <conditionalFormatting sqref="Q306">
    <cfRule type="expression" dxfId="1451" priority="2487">
      <formula>Q307&gt;Q306</formula>
    </cfRule>
  </conditionalFormatting>
  <conditionalFormatting sqref="Q306">
    <cfRule type="expression" dxfId="1450" priority="2486">
      <formula>Q307&gt;Q306</formula>
    </cfRule>
  </conditionalFormatting>
  <conditionalFormatting sqref="S306">
    <cfRule type="expression" dxfId="1449" priority="2485">
      <formula>S307&gt;S306</formula>
    </cfRule>
  </conditionalFormatting>
  <conditionalFormatting sqref="S306">
    <cfRule type="expression" dxfId="1448" priority="2484">
      <formula>S307&gt;S306</formula>
    </cfRule>
  </conditionalFormatting>
  <conditionalFormatting sqref="U306">
    <cfRule type="expression" dxfId="1447" priority="2483">
      <formula>U307&gt;U306</formula>
    </cfRule>
  </conditionalFormatting>
  <conditionalFormatting sqref="U306">
    <cfRule type="expression" dxfId="1446" priority="2482">
      <formula>U307&gt;U306</formula>
    </cfRule>
  </conditionalFormatting>
  <conditionalFormatting sqref="W306">
    <cfRule type="expression" dxfId="1445" priority="2481">
      <formula>W307&gt;W306</formula>
    </cfRule>
  </conditionalFormatting>
  <conditionalFormatting sqref="W306">
    <cfRule type="expression" dxfId="1444" priority="2480">
      <formula>W307&gt;W306</formula>
    </cfRule>
  </conditionalFormatting>
  <conditionalFormatting sqref="Y306">
    <cfRule type="expression" dxfId="1443" priority="2479">
      <formula>Y307&gt;Y306</formula>
    </cfRule>
  </conditionalFormatting>
  <conditionalFormatting sqref="Y306">
    <cfRule type="expression" dxfId="1442" priority="2478">
      <formula>Y307&gt;Y306</formula>
    </cfRule>
  </conditionalFormatting>
  <conditionalFormatting sqref="K307">
    <cfRule type="expression" dxfId="1441" priority="2477">
      <formula>K335&gt;K307</formula>
    </cfRule>
  </conditionalFormatting>
  <conditionalFormatting sqref="K307">
    <cfRule type="expression" dxfId="1440" priority="2476">
      <formula>K307&gt;K306</formula>
    </cfRule>
  </conditionalFormatting>
  <conditionalFormatting sqref="K308">
    <cfRule type="expression" dxfId="1439" priority="2468">
      <formula>K309&gt;K308</formula>
    </cfRule>
  </conditionalFormatting>
  <conditionalFormatting sqref="M308">
    <cfRule type="expression" dxfId="1438" priority="2464">
      <formula>M309&gt;M308</formula>
    </cfRule>
  </conditionalFormatting>
  <conditionalFormatting sqref="O308">
    <cfRule type="expression" dxfId="1437" priority="2460">
      <formula>O309&gt;O308</formula>
    </cfRule>
  </conditionalFormatting>
  <conditionalFormatting sqref="Q308">
    <cfRule type="expression" dxfId="1436" priority="2456">
      <formula>Q309&gt;Q308</formula>
    </cfRule>
  </conditionalFormatting>
  <conditionalFormatting sqref="S308">
    <cfRule type="expression" dxfId="1435" priority="2452">
      <formula>S309&gt;S308</formula>
    </cfRule>
  </conditionalFormatting>
  <conditionalFormatting sqref="U308">
    <cfRule type="expression" dxfId="1434" priority="2448">
      <formula>U309&gt;U308</formula>
    </cfRule>
  </conditionalFormatting>
  <conditionalFormatting sqref="W308">
    <cfRule type="expression" dxfId="1433" priority="2444">
      <formula>W309&gt;W308</formula>
    </cfRule>
  </conditionalFormatting>
  <conditionalFormatting sqref="Y308">
    <cfRule type="expression" dxfId="1432" priority="2440">
      <formula>Y309&gt;Y308</formula>
    </cfRule>
  </conditionalFormatting>
  <conditionalFormatting sqref="K310">
    <cfRule type="expression" dxfId="1431" priority="2436">
      <formula>K311&gt;K310</formula>
    </cfRule>
  </conditionalFormatting>
  <conditionalFormatting sqref="M310">
    <cfRule type="expression" dxfId="1430" priority="2432">
      <formula>M311&gt;M310</formula>
    </cfRule>
  </conditionalFormatting>
  <conditionalFormatting sqref="O310">
    <cfRule type="expression" dxfId="1429" priority="2428">
      <formula>O311&gt;O310</formula>
    </cfRule>
  </conditionalFormatting>
  <conditionalFormatting sqref="Q310">
    <cfRule type="expression" dxfId="1428" priority="2424">
      <formula>Q311&gt;Q310</formula>
    </cfRule>
  </conditionalFormatting>
  <conditionalFormatting sqref="Q311">
    <cfRule type="expression" dxfId="1427" priority="2422">
      <formula>Q311&gt;Q310</formula>
    </cfRule>
  </conditionalFormatting>
  <conditionalFormatting sqref="AK308">
    <cfRule type="notContainsBlanks" dxfId="1426" priority="2405">
      <formula>LEN(TRIM(AK308))&gt;0</formula>
    </cfRule>
  </conditionalFormatting>
  <conditionalFormatting sqref="AK310">
    <cfRule type="notContainsBlanks" dxfId="1425" priority="2404">
      <formula>LEN(TRIM(AK310))&gt;0</formula>
    </cfRule>
  </conditionalFormatting>
  <conditionalFormatting sqref="D316:E317">
    <cfRule type="cellIs" dxfId="1424" priority="2403" operator="equal">
      <formula>0</formula>
    </cfRule>
  </conditionalFormatting>
  <conditionalFormatting sqref="D318:E318">
    <cfRule type="expression" dxfId="1423" priority="2385">
      <formula>D321&gt;D318</formula>
    </cfRule>
    <cfRule type="cellIs" dxfId="1422" priority="2400" operator="equal">
      <formula>0</formula>
    </cfRule>
  </conditionalFormatting>
  <conditionalFormatting sqref="D319:E320">
    <cfRule type="cellIs" dxfId="1421" priority="2399" operator="equal">
      <formula>0</formula>
    </cfRule>
  </conditionalFormatting>
  <conditionalFormatting sqref="D321:E321">
    <cfRule type="expression" dxfId="1420" priority="2386">
      <formula>D321&gt;D318</formula>
    </cfRule>
    <cfRule type="cellIs" dxfId="1419" priority="2396" operator="equal">
      <formula>0</formula>
    </cfRule>
  </conditionalFormatting>
  <conditionalFormatting sqref="D324:E324">
    <cfRule type="expression" dxfId="1418" priority="1802">
      <formula>D322&lt;&gt;D346</formula>
    </cfRule>
    <cfRule type="cellIs" dxfId="1417" priority="2393" operator="equal">
      <formula>0</formula>
    </cfRule>
  </conditionalFormatting>
  <conditionalFormatting sqref="D316:E317">
    <cfRule type="expression" dxfId="1416" priority="2391">
      <formula>D319&gt;D316</formula>
    </cfRule>
  </conditionalFormatting>
  <conditionalFormatting sqref="D319:E320">
    <cfRule type="expression" dxfId="1415" priority="2390">
      <formula>D319&gt;D316</formula>
    </cfRule>
  </conditionalFormatting>
  <conditionalFormatting sqref="D322:E323">
    <cfRule type="cellIs" dxfId="1414" priority="2389" operator="equal">
      <formula>0</formula>
    </cfRule>
  </conditionalFormatting>
  <conditionalFormatting sqref="D322:E323">
    <cfRule type="expression" dxfId="1413" priority="2388">
      <formula>D322&gt;D319</formula>
    </cfRule>
  </conditionalFormatting>
  <conditionalFormatting sqref="AM319:AM321">
    <cfRule type="notContainsBlanks" dxfId="1412" priority="3238">
      <formula>LEN(TRIM(AM319))&gt;0</formula>
    </cfRule>
  </conditionalFormatting>
  <conditionalFormatting sqref="D322:E323">
    <cfRule type="expression" dxfId="1411" priority="2384">
      <formula>D319&gt;D322</formula>
    </cfRule>
  </conditionalFormatting>
  <conditionalFormatting sqref="D319:E320">
    <cfRule type="expression" dxfId="1410" priority="2383">
      <formula>D319&gt;D322</formula>
    </cfRule>
  </conditionalFormatting>
  <conditionalFormatting sqref="K328">
    <cfRule type="expression" dxfId="1409" priority="2382">
      <formula>K328&gt;K293</formula>
    </cfRule>
  </conditionalFormatting>
  <conditionalFormatting sqref="M328">
    <cfRule type="expression" dxfId="1408" priority="2381">
      <formula>M328&gt;M293</formula>
    </cfRule>
  </conditionalFormatting>
  <conditionalFormatting sqref="O328">
    <cfRule type="expression" dxfId="1407" priority="2380">
      <formula>O328&gt;O293</formula>
    </cfRule>
  </conditionalFormatting>
  <conditionalFormatting sqref="Q328">
    <cfRule type="expression" dxfId="1406" priority="2379">
      <formula>Q328&gt;Q293</formula>
    </cfRule>
  </conditionalFormatting>
  <conditionalFormatting sqref="S328">
    <cfRule type="expression" dxfId="1405" priority="2378">
      <formula>S328&gt;S293</formula>
    </cfRule>
  </conditionalFormatting>
  <conditionalFormatting sqref="U328">
    <cfRule type="expression" dxfId="1404" priority="2377">
      <formula>U328&gt;U293</formula>
    </cfRule>
  </conditionalFormatting>
  <conditionalFormatting sqref="W328">
    <cfRule type="expression" dxfId="1403" priority="2376">
      <formula>W328&gt;W293</formula>
    </cfRule>
  </conditionalFormatting>
  <conditionalFormatting sqref="Y328">
    <cfRule type="expression" dxfId="1402" priority="2375">
      <formula>Y328&gt;Y293</formula>
    </cfRule>
  </conditionalFormatting>
  <conditionalFormatting sqref="K331">
    <cfRule type="expression" dxfId="1401" priority="2360">
      <formula>K331&lt;&gt;K299</formula>
    </cfRule>
  </conditionalFormatting>
  <conditionalFormatting sqref="M299">
    <cfRule type="expression" dxfId="1400" priority="2357">
      <formula>M331&lt;&gt;M299</formula>
    </cfRule>
    <cfRule type="expression" dxfId="1399" priority="2358">
      <formula>M299&gt;M298</formula>
    </cfRule>
  </conditionalFormatting>
  <conditionalFormatting sqref="O299">
    <cfRule type="expression" dxfId="1398" priority="2355">
      <formula>O331&lt;&gt;O299</formula>
    </cfRule>
    <cfRule type="expression" dxfId="1397" priority="2356">
      <formula>O299&gt;O298</formula>
    </cfRule>
  </conditionalFormatting>
  <conditionalFormatting sqref="Q299">
    <cfRule type="expression" dxfId="1396" priority="2353">
      <formula>Q331&lt;&gt;Q299</formula>
    </cfRule>
    <cfRule type="expression" dxfId="1395" priority="2354">
      <formula>Q299&gt;Q298</formula>
    </cfRule>
  </conditionalFormatting>
  <conditionalFormatting sqref="S299">
    <cfRule type="expression" dxfId="1394" priority="2351">
      <formula>S331&lt;&gt;S299</formula>
    </cfRule>
    <cfRule type="expression" dxfId="1393" priority="2352">
      <formula>S299&gt;S298</formula>
    </cfRule>
  </conditionalFormatting>
  <conditionalFormatting sqref="U299">
    <cfRule type="expression" dxfId="1392" priority="2349">
      <formula>U331&lt;&gt;U299</formula>
    </cfRule>
    <cfRule type="expression" dxfId="1391" priority="2350">
      <formula>U299&gt;U298</formula>
    </cfRule>
  </conditionalFormatting>
  <conditionalFormatting sqref="W299">
    <cfRule type="expression" dxfId="1390" priority="2347">
      <formula>W331&lt;&gt;W299</formula>
    </cfRule>
    <cfRule type="expression" dxfId="1389" priority="2348">
      <formula>W299&gt;W298</formula>
    </cfRule>
  </conditionalFormatting>
  <conditionalFormatting sqref="Y299">
    <cfRule type="expression" dxfId="1388" priority="2345">
      <formula>Y331&lt;&gt;Y299</formula>
    </cfRule>
    <cfRule type="expression" dxfId="1387" priority="2346">
      <formula>Y299&gt;Y298</formula>
    </cfRule>
  </conditionalFormatting>
  <conditionalFormatting sqref="M331">
    <cfRule type="cellIs" dxfId="1386" priority="2344" operator="equal">
      <formula>0</formula>
    </cfRule>
  </conditionalFormatting>
  <conditionalFormatting sqref="M331">
    <cfRule type="expression" dxfId="1385" priority="2343">
      <formula>M331&lt;&gt;M299</formula>
    </cfRule>
  </conditionalFormatting>
  <conditionalFormatting sqref="O331">
    <cfRule type="cellIs" dxfId="1384" priority="2342" operator="equal">
      <formula>0</formula>
    </cfRule>
  </conditionalFormatting>
  <conditionalFormatting sqref="O331">
    <cfRule type="expression" dxfId="1383" priority="2341">
      <formula>O331&lt;&gt;O299</formula>
    </cfRule>
  </conditionalFormatting>
  <conditionalFormatting sqref="Q331">
    <cfRule type="cellIs" dxfId="1382" priority="2340" operator="equal">
      <formula>0</formula>
    </cfRule>
  </conditionalFormatting>
  <conditionalFormatting sqref="Q331">
    <cfRule type="expression" dxfId="1381" priority="2339">
      <formula>Q331&lt;&gt;Q299</formula>
    </cfRule>
  </conditionalFormatting>
  <conditionalFormatting sqref="S331">
    <cfRule type="cellIs" dxfId="1380" priority="2338" operator="equal">
      <formula>0</formula>
    </cfRule>
  </conditionalFormatting>
  <conditionalFormatting sqref="S331">
    <cfRule type="expression" dxfId="1379" priority="2337">
      <formula>S331&lt;&gt;S299</formula>
    </cfRule>
  </conditionalFormatting>
  <conditionalFormatting sqref="U331">
    <cfRule type="cellIs" dxfId="1378" priority="2336" operator="equal">
      <formula>0</formula>
    </cfRule>
  </conditionalFormatting>
  <conditionalFormatting sqref="U331">
    <cfRule type="expression" dxfId="1377" priority="2335">
      <formula>U331&lt;&gt;U299</formula>
    </cfRule>
  </conditionalFormatting>
  <conditionalFormatting sqref="W331">
    <cfRule type="cellIs" dxfId="1376" priority="2334" operator="equal">
      <formula>0</formula>
    </cfRule>
  </conditionalFormatting>
  <conditionalFormatting sqref="W331">
    <cfRule type="expression" dxfId="1375" priority="2333">
      <formula>W331&lt;&gt;W299</formula>
    </cfRule>
  </conditionalFormatting>
  <conditionalFormatting sqref="Y331">
    <cfRule type="cellIs" dxfId="1374" priority="2332" operator="equal">
      <formula>0</formula>
    </cfRule>
  </conditionalFormatting>
  <conditionalFormatting sqref="Y331">
    <cfRule type="expression" dxfId="1373" priority="2331">
      <formula>Y331&lt;&gt;Y299</formula>
    </cfRule>
  </conditionalFormatting>
  <conditionalFormatting sqref="K332">
    <cfRule type="expression" dxfId="1372" priority="2330">
      <formula>K332&lt;&gt;K301</formula>
    </cfRule>
  </conditionalFormatting>
  <conditionalFormatting sqref="M300">
    <cfRule type="expression" dxfId="1371" priority="2328">
      <formula>M301&gt;M300</formula>
    </cfRule>
  </conditionalFormatting>
  <conditionalFormatting sqref="O300">
    <cfRule type="expression" dxfId="1370" priority="2326">
      <formula>O301&gt;O300</formula>
    </cfRule>
  </conditionalFormatting>
  <conditionalFormatting sqref="Q300">
    <cfRule type="expression" dxfId="1369" priority="2324">
      <formula>Q301&gt;Q300</formula>
    </cfRule>
  </conditionalFormatting>
  <conditionalFormatting sqref="S300">
    <cfRule type="expression" dxfId="1368" priority="2322">
      <formula>S301&gt;S300</formula>
    </cfRule>
  </conditionalFormatting>
  <conditionalFormatting sqref="U300">
    <cfRule type="expression" dxfId="1367" priority="2320">
      <formula>U301&gt;U300</formula>
    </cfRule>
  </conditionalFormatting>
  <conditionalFormatting sqref="W300">
    <cfRule type="expression" dxfId="1366" priority="2318">
      <formula>W301&gt;W300</formula>
    </cfRule>
  </conditionalFormatting>
  <conditionalFormatting sqref="Y300">
    <cfRule type="expression" dxfId="1365" priority="2316">
      <formula>Y301&gt;Y300</formula>
    </cfRule>
  </conditionalFormatting>
  <conditionalFormatting sqref="M332">
    <cfRule type="cellIs" dxfId="1364" priority="2314" operator="equal">
      <formula>0</formula>
    </cfRule>
  </conditionalFormatting>
  <conditionalFormatting sqref="M332">
    <cfRule type="expression" dxfId="1363" priority="2313">
      <formula>M332&lt;&gt;M301</formula>
    </cfRule>
  </conditionalFormatting>
  <conditionalFormatting sqref="O332">
    <cfRule type="cellIs" dxfId="1362" priority="2312" operator="equal">
      <formula>0</formula>
    </cfRule>
  </conditionalFormatting>
  <conditionalFormatting sqref="O332">
    <cfRule type="expression" dxfId="1361" priority="2311">
      <formula>O332&lt;&gt;O301</formula>
    </cfRule>
  </conditionalFormatting>
  <conditionalFormatting sqref="Q332">
    <cfRule type="cellIs" dxfId="1360" priority="2310" operator="equal">
      <formula>0</formula>
    </cfRule>
  </conditionalFormatting>
  <conditionalFormatting sqref="Q332">
    <cfRule type="expression" dxfId="1359" priority="2309">
      <formula>Q332&lt;&gt;Q301</formula>
    </cfRule>
  </conditionalFormatting>
  <conditionalFormatting sqref="S332">
    <cfRule type="cellIs" dxfId="1358" priority="2308" operator="equal">
      <formula>0</formula>
    </cfRule>
  </conditionalFormatting>
  <conditionalFormatting sqref="S332">
    <cfRule type="expression" dxfId="1357" priority="2307">
      <formula>S332&lt;&gt;S301</formula>
    </cfRule>
  </conditionalFormatting>
  <conditionalFormatting sqref="U332">
    <cfRule type="cellIs" dxfId="1356" priority="2306" operator="equal">
      <formula>0</formula>
    </cfRule>
  </conditionalFormatting>
  <conditionalFormatting sqref="U332">
    <cfRule type="expression" dxfId="1355" priority="2305">
      <formula>U332&lt;&gt;U301</formula>
    </cfRule>
  </conditionalFormatting>
  <conditionalFormatting sqref="W332">
    <cfRule type="cellIs" dxfId="1354" priority="2304" operator="equal">
      <formula>0</formula>
    </cfRule>
  </conditionalFormatting>
  <conditionalFormatting sqref="W332">
    <cfRule type="expression" dxfId="1353" priority="2303">
      <formula>W332&lt;&gt;W301</formula>
    </cfRule>
  </conditionalFormatting>
  <conditionalFormatting sqref="Y332">
    <cfRule type="cellIs" dxfId="1352" priority="2302" operator="equal">
      <formula>0</formula>
    </cfRule>
  </conditionalFormatting>
  <conditionalFormatting sqref="Y332">
    <cfRule type="expression" dxfId="1351" priority="2301">
      <formula>Y332&lt;&gt;Y301</formula>
    </cfRule>
  </conditionalFormatting>
  <conditionalFormatting sqref="M301">
    <cfRule type="expression" dxfId="1350" priority="2298">
      <formula>M332&lt;&gt;M301</formula>
    </cfRule>
    <cfRule type="expression" dxfId="1349" priority="2299">
      <formula>M301&gt;M300</formula>
    </cfRule>
  </conditionalFormatting>
  <conditionalFormatting sqref="O301">
    <cfRule type="expression" dxfId="1348" priority="2296">
      <formula>O332&lt;&gt;O301</formula>
    </cfRule>
    <cfRule type="expression" dxfId="1347" priority="2297">
      <formula>O301&gt;O300</formula>
    </cfRule>
  </conditionalFormatting>
  <conditionalFormatting sqref="Q301">
    <cfRule type="expression" dxfId="1346" priority="2294">
      <formula>Q332&lt;&gt;Q301</formula>
    </cfRule>
    <cfRule type="expression" dxfId="1345" priority="2295">
      <formula>Q301&gt;Q300</formula>
    </cfRule>
  </conditionalFormatting>
  <conditionalFormatting sqref="S301">
    <cfRule type="expression" dxfId="1344" priority="2292">
      <formula>S332&lt;&gt;S301</formula>
    </cfRule>
    <cfRule type="expression" dxfId="1343" priority="2293">
      <formula>S301&gt;S300</formula>
    </cfRule>
  </conditionalFormatting>
  <conditionalFormatting sqref="U301">
    <cfRule type="expression" dxfId="1342" priority="2290">
      <formula>U332&lt;&gt;U301</formula>
    </cfRule>
    <cfRule type="expression" dxfId="1341" priority="2291">
      <formula>U301&gt;U300</formula>
    </cfRule>
  </conditionalFormatting>
  <conditionalFormatting sqref="W301">
    <cfRule type="expression" dxfId="1340" priority="2288">
      <formula>W332&lt;&gt;W301</formula>
    </cfRule>
    <cfRule type="expression" dxfId="1339" priority="2289">
      <formula>W301&gt;W300</formula>
    </cfRule>
  </conditionalFormatting>
  <conditionalFormatting sqref="Y301">
    <cfRule type="expression" dxfId="1338" priority="2286">
      <formula>Y332&lt;&gt;Y301</formula>
    </cfRule>
    <cfRule type="expression" dxfId="1337" priority="2287">
      <formula>Y301&gt;Y300</formula>
    </cfRule>
  </conditionalFormatting>
  <conditionalFormatting sqref="O336">
    <cfRule type="expression" dxfId="1336" priority="2285">
      <formula>O336&gt;O309</formula>
    </cfRule>
  </conditionalFormatting>
  <conditionalFormatting sqref="Q336">
    <cfRule type="expression" dxfId="1335" priority="2284">
      <formula>Q336&gt;Q309</formula>
    </cfRule>
  </conditionalFormatting>
  <conditionalFormatting sqref="S336">
    <cfRule type="expression" dxfId="1334" priority="2283">
      <formula>S336&gt;S309</formula>
    </cfRule>
  </conditionalFormatting>
  <conditionalFormatting sqref="U336">
    <cfRule type="expression" dxfId="1333" priority="2282">
      <formula>U336&gt;U309</formula>
    </cfRule>
  </conditionalFormatting>
  <conditionalFormatting sqref="W336">
    <cfRule type="expression" dxfId="1332" priority="2281">
      <formula>W336&gt;W309</formula>
    </cfRule>
  </conditionalFormatting>
  <conditionalFormatting sqref="Y336">
    <cfRule type="expression" dxfId="1331" priority="2280">
      <formula>Y336&gt;Y309</formula>
    </cfRule>
  </conditionalFormatting>
  <conditionalFormatting sqref="M336">
    <cfRule type="expression" dxfId="1330" priority="2279">
      <formula>M336&gt;M309</formula>
    </cfRule>
  </conditionalFormatting>
  <conditionalFormatting sqref="K336">
    <cfRule type="expression" dxfId="1329" priority="2278">
      <formula>K336&gt;K309</formula>
    </cfRule>
  </conditionalFormatting>
  <conditionalFormatting sqref="K309 M309 O309 Q309 S309 U309 W309 Y309">
    <cfRule type="expression" dxfId="1328" priority="2273">
      <formula>K336&gt;K309</formula>
    </cfRule>
  </conditionalFormatting>
  <conditionalFormatting sqref="K309 M309 O309 Q309 S309 U309 W309 Y309">
    <cfRule type="expression" dxfId="1327" priority="2274">
      <formula>K309&gt;K308</formula>
    </cfRule>
  </conditionalFormatting>
  <conditionalFormatting sqref="K337">
    <cfRule type="expression" dxfId="1326" priority="2240">
      <formula>K337&gt;K311</formula>
    </cfRule>
  </conditionalFormatting>
  <conditionalFormatting sqref="Q311">
    <cfRule type="expression" dxfId="1325" priority="2227">
      <formula>Q337&gt;Q311</formula>
    </cfRule>
  </conditionalFormatting>
  <conditionalFormatting sqref="Q311">
    <cfRule type="expression" dxfId="1324" priority="2228">
      <formula>Q311&gt;Q310</formula>
    </cfRule>
  </conditionalFormatting>
  <conditionalFormatting sqref="M337">
    <cfRule type="expression" dxfId="1323" priority="2210">
      <formula>M337&gt;M311</formula>
    </cfRule>
  </conditionalFormatting>
  <conditionalFormatting sqref="O337">
    <cfRule type="expression" dxfId="1322" priority="2209">
      <formula>O337&gt;O311</formula>
    </cfRule>
  </conditionalFormatting>
  <conditionalFormatting sqref="Q337">
    <cfRule type="expression" dxfId="1321" priority="2208">
      <formula>Q337&gt;Q311</formula>
    </cfRule>
  </conditionalFormatting>
  <conditionalFormatting sqref="S337">
    <cfRule type="expression" dxfId="1320" priority="2207">
      <formula>S337&gt;S311</formula>
    </cfRule>
  </conditionalFormatting>
  <conditionalFormatting sqref="U337">
    <cfRule type="expression" dxfId="1319" priority="2206">
      <formula>U337&gt;U311</formula>
    </cfRule>
  </conditionalFormatting>
  <conditionalFormatting sqref="W337">
    <cfRule type="expression" dxfId="1318" priority="2205">
      <formula>W337&gt;W311</formula>
    </cfRule>
  </conditionalFormatting>
  <conditionalFormatting sqref="Y337">
    <cfRule type="expression" dxfId="1317" priority="2204">
      <formula>Y337&gt;Y311</formula>
    </cfRule>
  </conditionalFormatting>
  <conditionalFormatting sqref="D346:AI346 AB347:AI352">
    <cfRule type="expression" dxfId="1316" priority="2203">
      <formula>D346&gt;D359</formula>
    </cfRule>
  </conditionalFormatting>
  <conditionalFormatting sqref="D359:Y359">
    <cfRule type="expression" dxfId="1315" priority="2202">
      <formula>D346&gt;D359</formula>
    </cfRule>
  </conditionalFormatting>
  <conditionalFormatting sqref="D347:Y352">
    <cfRule type="expression" dxfId="1314" priority="2201">
      <formula>D347&gt;D360</formula>
    </cfRule>
  </conditionalFormatting>
  <conditionalFormatting sqref="D360:Y365">
    <cfRule type="expression" dxfId="1313" priority="2200">
      <formula>D347&gt;D360</formula>
    </cfRule>
  </conditionalFormatting>
  <conditionalFormatting sqref="D358:Y358 AB358:AG358">
    <cfRule type="expression" dxfId="1312" priority="2199">
      <formula>D358&gt;D359</formula>
    </cfRule>
  </conditionalFormatting>
  <conditionalFormatting sqref="AK358">
    <cfRule type="notContainsBlanks" dxfId="1311" priority="2197">
      <formula>LEN(TRIM(AK358))&gt;0</formula>
    </cfRule>
  </conditionalFormatting>
  <conditionalFormatting sqref="J372:Y372 AB372:AG372">
    <cfRule type="expression" dxfId="1310" priority="2196">
      <formula>J372&lt;&gt;J359</formula>
    </cfRule>
  </conditionalFormatting>
  <conditionalFormatting sqref="D359:Y359 AB359:AG359 AJ359">
    <cfRule type="expression" dxfId="1309" priority="2195">
      <formula>D372&lt;&gt;D359</formula>
    </cfRule>
  </conditionalFormatting>
  <conditionalFormatting sqref="K359:Y359 AB359:AG359">
    <cfRule type="expression" dxfId="1308" priority="2194">
      <formula>K339&gt;K359</formula>
    </cfRule>
  </conditionalFormatting>
  <conditionalFormatting sqref="D379:AI379">
    <cfRule type="expression" dxfId="1307" priority="2192">
      <formula>D374&gt;D379</formula>
    </cfRule>
  </conditionalFormatting>
  <conditionalFormatting sqref="D379:AI379">
    <cfRule type="expression" dxfId="1306" priority="2190">
      <formula>D375&gt;D379</formula>
    </cfRule>
  </conditionalFormatting>
  <conditionalFormatting sqref="D379:AI379">
    <cfRule type="cellIs" dxfId="1305" priority="2189" operator="equal">
      <formula>0</formula>
    </cfRule>
  </conditionalFormatting>
  <conditionalFormatting sqref="AB384:AI384 D384:Y386">
    <cfRule type="expression" dxfId="1304" priority="2188">
      <formula>D384&gt;SUM(D380:D382)</formula>
    </cfRule>
  </conditionalFormatting>
  <conditionalFormatting sqref="D383:Y383 AB383:AI383">
    <cfRule type="cellIs" dxfId="1303" priority="2187" operator="equal">
      <formula>0</formula>
    </cfRule>
  </conditionalFormatting>
  <conditionalFormatting sqref="D383:Y383 AB383:AI383">
    <cfRule type="expression" dxfId="1302" priority="2186">
      <formula>E384&gt;(E380+E381+E382)</formula>
    </cfRule>
  </conditionalFormatting>
  <conditionalFormatting sqref="AK383">
    <cfRule type="notContainsBlanks" dxfId="1301" priority="2185">
      <formula>LEN(TRIM(AK383))&gt;0</formula>
    </cfRule>
  </conditionalFormatting>
  <conditionalFormatting sqref="D387:Y387 D379:AI379">
    <cfRule type="expression" dxfId="1300" priority="2183">
      <formula>D383&gt;D379</formula>
    </cfRule>
  </conditionalFormatting>
  <conditionalFormatting sqref="AK384:AK387">
    <cfRule type="notContainsBlanks" dxfId="1299" priority="2182">
      <formula>LEN(TRIM(AK384))&gt;0</formula>
    </cfRule>
  </conditionalFormatting>
  <conditionalFormatting sqref="D390:AI390">
    <cfRule type="expression" dxfId="1298" priority="2181">
      <formula>D390&gt;D379</formula>
    </cfRule>
  </conditionalFormatting>
  <conditionalFormatting sqref="D346:H346 J346:AI346">
    <cfRule type="expression" dxfId="1297" priority="2180">
      <formula>D354&gt;D346</formula>
    </cfRule>
  </conditionalFormatting>
  <conditionalFormatting sqref="AK390">
    <cfRule type="notContainsBlanks" dxfId="1296" priority="2179">
      <formula>LEN(TRIM(AK390))&gt;0</formula>
    </cfRule>
  </conditionalFormatting>
  <conditionalFormatting sqref="AK390">
    <cfRule type="notContainsBlanks" dxfId="1295" priority="2178">
      <formula>LEN(TRIM(AK390))&gt;0</formula>
    </cfRule>
  </conditionalFormatting>
  <conditionalFormatting sqref="D359:Y359 AB359:AG359">
    <cfRule type="expression" dxfId="1294" priority="2175">
      <formula>D379&gt;D359</formula>
    </cfRule>
  </conditionalFormatting>
  <conditionalFormatting sqref="AK374">
    <cfRule type="notContainsBlanks" dxfId="1293" priority="2174">
      <formula>LEN(TRIM(AK374))&gt;0</formula>
    </cfRule>
  </conditionalFormatting>
  <conditionalFormatting sqref="D359:Y359 AB359:AG359">
    <cfRule type="expression" dxfId="1292" priority="2173">
      <formula>SUM(D182:D183)&gt;D359</formula>
    </cfRule>
  </conditionalFormatting>
  <conditionalFormatting sqref="K329">
    <cfRule type="expression" dxfId="1291" priority="1264">
      <formula>K329&gt;K346</formula>
    </cfRule>
    <cfRule type="expression" dxfId="1290" priority="2170">
      <formula>K329&gt;K346 &amp; EXACT($I$3,"1") &amp; EXACT($E$3,"1")</formula>
    </cfRule>
  </conditionalFormatting>
  <conditionalFormatting sqref="D392:AA392">
    <cfRule type="expression" dxfId="1289" priority="2168">
      <formula>D393&gt;D392</formula>
    </cfRule>
  </conditionalFormatting>
  <conditionalFormatting sqref="D414:AG420">
    <cfRule type="expression" dxfId="1288" priority="2167">
      <formula>D414&gt;D$408</formula>
    </cfRule>
  </conditionalFormatting>
  <conditionalFormatting sqref="D408:AG408">
    <cfRule type="expression" dxfId="1287" priority="2166">
      <formula>D414&gt;D$408</formula>
    </cfRule>
  </conditionalFormatting>
  <conditionalFormatting sqref="F426:Y426 AB426:AI426">
    <cfRule type="expression" dxfId="1286" priority="2165">
      <formula>F426&gt;F422</formula>
    </cfRule>
  </conditionalFormatting>
  <conditionalFormatting sqref="D422:Y422 AB422:AI422">
    <cfRule type="expression" dxfId="1285" priority="2164">
      <formula>D426&gt;D422</formula>
    </cfRule>
  </conditionalFormatting>
  <conditionalFormatting sqref="AL422">
    <cfRule type="notContainsBlanks" dxfId="1284" priority="2163">
      <formula>LEN(TRIM(AL422))&gt;0</formula>
    </cfRule>
  </conditionalFormatting>
  <conditionalFormatting sqref="F428:Y428 AB428:AI428">
    <cfRule type="expression" dxfId="1283" priority="2162">
      <formula>F428&gt;F426</formula>
    </cfRule>
  </conditionalFormatting>
  <conditionalFormatting sqref="F426:Y426 AB426:AI426">
    <cfRule type="expression" dxfId="1282" priority="2161">
      <formula>F428&gt;F426</formula>
    </cfRule>
  </conditionalFormatting>
  <conditionalFormatting sqref="D431:Y431 AB431:AI431">
    <cfRule type="expression" dxfId="1281" priority="2160">
      <formula>D431&lt;&gt;D423</formula>
    </cfRule>
  </conditionalFormatting>
  <conditionalFormatting sqref="D423:Y423 AB423:AI423">
    <cfRule type="expression" dxfId="1280" priority="2159">
      <formula>D431&lt;&gt;D423</formula>
    </cfRule>
  </conditionalFormatting>
  <conditionalFormatting sqref="F430:Y430 AB430:AI430">
    <cfRule type="expression" dxfId="1279" priority="2158">
      <formula>F430&gt;F428</formula>
    </cfRule>
  </conditionalFormatting>
  <conditionalFormatting sqref="F428:Y428 AB428:AI428">
    <cfRule type="expression" dxfId="1278" priority="2157">
      <formula>F430&gt;F428</formula>
    </cfRule>
  </conditionalFormatting>
  <conditionalFormatting sqref="AK422">
    <cfRule type="notContainsBlanks" dxfId="1277" priority="2155">
      <formula>LEN(TRIM(AK422))&gt;0</formula>
    </cfRule>
  </conditionalFormatting>
  <conditionalFormatting sqref="AK426">
    <cfRule type="notContainsBlanks" dxfId="1276" priority="2154">
      <formula>LEN(TRIM(AK426))&gt;0</formula>
    </cfRule>
  </conditionalFormatting>
  <conditionalFormatting sqref="AK427">
    <cfRule type="notContainsBlanks" dxfId="1275" priority="2153">
      <formula>LEN(TRIM(AK427))&gt;0</formula>
    </cfRule>
  </conditionalFormatting>
  <conditionalFormatting sqref="D427:AI427">
    <cfRule type="expression" dxfId="1274" priority="2152">
      <formula>D427&gt;D422</formula>
    </cfRule>
  </conditionalFormatting>
  <conditionalFormatting sqref="F425:Y425 AB425:AJ425">
    <cfRule type="cellIs" dxfId="1273" priority="2151" operator="lessThan">
      <formula>0</formula>
    </cfRule>
  </conditionalFormatting>
  <conditionalFormatting sqref="D422:Y422 AB422:AI422">
    <cfRule type="expression" dxfId="1272" priority="2150">
      <formula>D427&gt;D422</formula>
    </cfRule>
  </conditionalFormatting>
  <conditionalFormatting sqref="AK428">
    <cfRule type="notContainsBlanks" dxfId="1271" priority="2149">
      <formula>LEN(TRIM(AK428))&gt;0</formula>
    </cfRule>
  </conditionalFormatting>
  <conditionalFormatting sqref="AM430">
    <cfRule type="notContainsBlanks" dxfId="1270" priority="3259">
      <formula>LEN(TRIM(AM430))&gt;0</formula>
    </cfRule>
  </conditionalFormatting>
  <conditionalFormatting sqref="AN422">
    <cfRule type="notContainsBlanks" dxfId="1269" priority="2147">
      <formula>LEN(TRIM(AN422))&gt;0</formula>
    </cfRule>
  </conditionalFormatting>
  <conditionalFormatting sqref="AK430">
    <cfRule type="notContainsBlanks" dxfId="1268" priority="2146">
      <formula>LEN(TRIM(AK430))&gt;0</formula>
    </cfRule>
  </conditionalFormatting>
  <conditionalFormatting sqref="AK432">
    <cfRule type="notContainsBlanks" dxfId="1267" priority="2145">
      <formula>LEN(TRIM(AK432))&gt;0</formula>
    </cfRule>
  </conditionalFormatting>
  <conditionalFormatting sqref="AK431">
    <cfRule type="notContainsBlanks" dxfId="1266" priority="2144">
      <formula>LEN(TRIM(AK431))&gt;0</formula>
    </cfRule>
  </conditionalFormatting>
  <conditionalFormatting sqref="F426:Y426 AB426:AI426">
    <cfRule type="expression" dxfId="1265" priority="2121">
      <formula>F426&lt;F425</formula>
    </cfRule>
  </conditionalFormatting>
  <conditionalFormatting sqref="F425:Y425 AB425:AI425">
    <cfRule type="expression" dxfId="1264" priority="2120">
      <formula>F426&lt;F425</formula>
    </cfRule>
  </conditionalFormatting>
  <conditionalFormatting sqref="J434:AG434 F430:Y430 AB430:AI430">
    <cfRule type="expression" dxfId="1263" priority="2119">
      <formula>F428&gt;F430</formula>
    </cfRule>
  </conditionalFormatting>
  <conditionalFormatting sqref="F428:Y428 AB428:AI428">
    <cfRule type="expression" dxfId="1262" priority="2118">
      <formula>F428&gt;F430</formula>
    </cfRule>
  </conditionalFormatting>
  <conditionalFormatting sqref="D398:AA398">
    <cfRule type="expression" dxfId="1261" priority="2117">
      <formula>D398&gt;D393</formula>
    </cfRule>
  </conditionalFormatting>
  <conditionalFormatting sqref="D393:AA393">
    <cfRule type="expression" dxfId="1260" priority="2116">
      <formula>D398&gt;D393</formula>
    </cfRule>
  </conditionalFormatting>
  <conditionalFormatting sqref="D397:AA397">
    <cfRule type="expression" dxfId="1259" priority="2114">
      <formula>D397&gt;SUM(D396,D395,D394)</formula>
    </cfRule>
  </conditionalFormatting>
  <conditionalFormatting sqref="D396:AA396">
    <cfRule type="expression" dxfId="1258" priority="2113">
      <formula>D397&gt;SUM(D396,D395,D394)</formula>
    </cfRule>
  </conditionalFormatting>
  <conditionalFormatting sqref="D395:AA395">
    <cfRule type="expression" dxfId="1257" priority="2112">
      <formula>D397&gt;SUM(D396,D395,D394)</formula>
    </cfRule>
  </conditionalFormatting>
  <conditionalFormatting sqref="D394:AA394">
    <cfRule type="expression" dxfId="1256" priority="2111">
      <formula>D397&gt;SUM(D396,D395,D394)</formula>
    </cfRule>
  </conditionalFormatting>
  <conditionalFormatting sqref="D375:Y375 AB375:AI375">
    <cfRule type="expression" dxfId="1255" priority="2110">
      <formula>D389&gt;D375</formula>
    </cfRule>
  </conditionalFormatting>
  <conditionalFormatting sqref="D389:Y389 AB389:AI389">
    <cfRule type="expression" dxfId="1254" priority="2109">
      <formula>D389&gt;D375</formula>
    </cfRule>
  </conditionalFormatting>
  <conditionalFormatting sqref="K304">
    <cfRule type="expression" dxfId="1253" priority="2108">
      <formula>K305&gt;K304</formula>
    </cfRule>
  </conditionalFormatting>
  <conditionalFormatting sqref="K334">
    <cfRule type="expression" dxfId="1252" priority="2107">
      <formula>K334&gt;K305</formula>
    </cfRule>
  </conditionalFormatting>
  <conditionalFormatting sqref="M334">
    <cfRule type="expression" dxfId="1251" priority="2106">
      <formula>M334&gt;M305</formula>
    </cfRule>
  </conditionalFormatting>
  <conditionalFormatting sqref="O334">
    <cfRule type="expression" dxfId="1250" priority="2105">
      <formula>O334&gt;O305</formula>
    </cfRule>
  </conditionalFormatting>
  <conditionalFormatting sqref="Q334">
    <cfRule type="expression" dxfId="1249" priority="2104">
      <formula>Q334&gt;Q305</formula>
    </cfRule>
  </conditionalFormatting>
  <conditionalFormatting sqref="S334">
    <cfRule type="expression" dxfId="1248" priority="2103">
      <formula>S334&gt;S305</formula>
    </cfRule>
  </conditionalFormatting>
  <conditionalFormatting sqref="U334">
    <cfRule type="expression" dxfId="1247" priority="2102">
      <formula>U334&gt;U305</formula>
    </cfRule>
  </conditionalFormatting>
  <conditionalFormatting sqref="W334">
    <cfRule type="expression" dxfId="1246" priority="2101">
      <formula>W334&gt;W305</formula>
    </cfRule>
  </conditionalFormatting>
  <conditionalFormatting sqref="Y334">
    <cfRule type="expression" dxfId="1245" priority="2100">
      <formula>Y334&gt;Y305</formula>
    </cfRule>
  </conditionalFormatting>
  <conditionalFormatting sqref="D18:AG18 AJ18">
    <cfRule type="cellIs" dxfId="1244" priority="2099" operator="equal">
      <formula>0</formula>
    </cfRule>
  </conditionalFormatting>
  <conditionalFormatting sqref="AK11">
    <cfRule type="notContainsBlanks" dxfId="1243" priority="2098">
      <formula>LEN(TRIM(AK11))&gt;0</formula>
    </cfRule>
  </conditionalFormatting>
  <conditionalFormatting sqref="AK12">
    <cfRule type="notContainsBlanks" dxfId="1242" priority="2097">
      <formula>LEN(TRIM(AK12))&gt;0</formula>
    </cfRule>
  </conditionalFormatting>
  <conditionalFormatting sqref="AK16">
    <cfRule type="notContainsBlanks" dxfId="1241" priority="2095">
      <formula>LEN(TRIM(AK16))&gt;0</formula>
    </cfRule>
  </conditionalFormatting>
  <conditionalFormatting sqref="AK15">
    <cfRule type="notContainsBlanks" dxfId="1240" priority="2094">
      <formula>LEN(TRIM(AK15))&gt;0</formula>
    </cfRule>
  </conditionalFormatting>
  <conditionalFormatting sqref="D14:AG14">
    <cfRule type="cellIs" dxfId="1239" priority="2078" operator="equal">
      <formula>0</formula>
    </cfRule>
  </conditionalFormatting>
  <conditionalFormatting sqref="AK14">
    <cfRule type="notContainsBlanks" dxfId="1238" priority="2077">
      <formula>LEN(TRIM(AK14))&gt;0</formula>
    </cfRule>
  </conditionalFormatting>
  <conditionalFormatting sqref="D14:AG14">
    <cfRule type="expression" dxfId="1237" priority="2076">
      <formula>D54&gt;D14</formula>
    </cfRule>
  </conditionalFormatting>
  <conditionalFormatting sqref="D54:AI54">
    <cfRule type="expression" dxfId="1236" priority="2075">
      <formula>D54&gt;D14</formula>
    </cfRule>
  </conditionalFormatting>
  <conditionalFormatting sqref="M222">
    <cfRule type="cellIs" dxfId="1235" priority="2057" operator="equal">
      <formula>0</formula>
    </cfRule>
  </conditionalFormatting>
  <conditionalFormatting sqref="M216">
    <cfRule type="expression" dxfId="1234" priority="1612">
      <formula>M215&lt;(M216+M217+M218)</formula>
    </cfRule>
    <cfRule type="expression" dxfId="1233" priority="1998">
      <formula>(M218+M217+M216)&gt;M214</formula>
    </cfRule>
  </conditionalFormatting>
  <conditionalFormatting sqref="M217">
    <cfRule type="expression" dxfId="1232" priority="1611">
      <formula>M215&lt;(M216+M217+M218)</formula>
    </cfRule>
    <cfRule type="expression" dxfId="1231" priority="1997">
      <formula>(M218+M217+M216)&gt;M214</formula>
    </cfRule>
  </conditionalFormatting>
  <conditionalFormatting sqref="M218">
    <cfRule type="expression" dxfId="1230" priority="1610">
      <formula>M215&lt;(M216+M217+M218)</formula>
    </cfRule>
    <cfRule type="expression" dxfId="1229" priority="1996">
      <formula>(M218+M217+M216)&gt;M214</formula>
    </cfRule>
  </conditionalFormatting>
  <conditionalFormatting sqref="AM247:AN247">
    <cfRule type="notContainsBlanks" dxfId="1228" priority="1917">
      <formula>LEN(TRIM(AM247))&gt;0</formula>
    </cfRule>
  </conditionalFormatting>
  <conditionalFormatting sqref="AJ248:AJ273">
    <cfRule type="cellIs" dxfId="1227" priority="1915" operator="equal">
      <formula>0</formula>
    </cfRule>
  </conditionalFormatting>
  <conditionalFormatting sqref="AM248:AN255">
    <cfRule type="notContainsBlanks" dxfId="1226" priority="1913">
      <formula>LEN(TRIM(AM248))&gt;0</formula>
    </cfRule>
  </conditionalFormatting>
  <conditionalFormatting sqref="AM256:AN256">
    <cfRule type="notContainsBlanks" dxfId="1225" priority="1904">
      <formula>LEN(TRIM(AM256))&gt;0</formula>
    </cfRule>
  </conditionalFormatting>
  <conditionalFormatting sqref="AM257:AN264">
    <cfRule type="notContainsBlanks" dxfId="1224" priority="1900">
      <formula>LEN(TRIM(AM257))&gt;0</formula>
    </cfRule>
  </conditionalFormatting>
  <conditionalFormatting sqref="AM265:AN265">
    <cfRule type="notContainsBlanks" dxfId="1223" priority="1891">
      <formula>LEN(TRIM(AM265))&gt;0</formula>
    </cfRule>
  </conditionalFormatting>
  <conditionalFormatting sqref="AM266:AN273">
    <cfRule type="notContainsBlanks" dxfId="1222" priority="1887">
      <formula>LEN(TRIM(AM266))&gt;0</formula>
    </cfRule>
  </conditionalFormatting>
  <conditionalFormatting sqref="D240:AG240">
    <cfRule type="cellIs" dxfId="1221" priority="1880" operator="equal">
      <formula>0</formula>
    </cfRule>
  </conditionalFormatting>
  <conditionalFormatting sqref="D274:AA275 AJ276 AJ274">
    <cfRule type="cellIs" dxfId="1220" priority="1879" operator="equal">
      <formula>0</formula>
    </cfRule>
  </conditionalFormatting>
  <conditionalFormatting sqref="D278:AA278">
    <cfRule type="expression" dxfId="1219" priority="1878">
      <formula>D278&gt;D274</formula>
    </cfRule>
  </conditionalFormatting>
  <conditionalFormatting sqref="D274:AA274">
    <cfRule type="expression" dxfId="1218" priority="1877">
      <formula>D278&gt;D274</formula>
    </cfRule>
  </conditionalFormatting>
  <conditionalFormatting sqref="AJ247">
    <cfRule type="cellIs" dxfId="1217" priority="1876" operator="equal">
      <formula>0</formula>
    </cfRule>
  </conditionalFormatting>
  <conditionalFormatting sqref="AJ12:AJ13">
    <cfRule type="cellIs" dxfId="1216" priority="1874" operator="equal">
      <formula>0</formula>
    </cfRule>
  </conditionalFormatting>
  <conditionalFormatting sqref="AJ14">
    <cfRule type="cellIs" dxfId="1215" priority="1873" operator="equal">
      <formula>0</formula>
    </cfRule>
  </conditionalFormatting>
  <conditionalFormatting sqref="AJ15:AJ17">
    <cfRule type="cellIs" dxfId="1214" priority="1872" operator="equal">
      <formula>0</formula>
    </cfRule>
  </conditionalFormatting>
  <conditionalFormatting sqref="D239:AG239">
    <cfRule type="expression" dxfId="1213" priority="1870">
      <formula>D239&gt;D238</formula>
    </cfRule>
  </conditionalFormatting>
  <conditionalFormatting sqref="D238:AG238">
    <cfRule type="expression" dxfId="1212" priority="1869">
      <formula>D239&gt;D238</formula>
    </cfRule>
  </conditionalFormatting>
  <conditionalFormatting sqref="D240:AG240">
    <cfRule type="expression" dxfId="1211" priority="1868">
      <formula>D240&gt;D239</formula>
    </cfRule>
  </conditionalFormatting>
  <conditionalFormatting sqref="D239:AG239">
    <cfRule type="expression" dxfId="1210" priority="1867">
      <formula>D240&gt;D239</formula>
    </cfRule>
  </conditionalFormatting>
  <conditionalFormatting sqref="D275:AA275">
    <cfRule type="expression" dxfId="1209" priority="1866">
      <formula>D275&gt;D274</formula>
    </cfRule>
  </conditionalFormatting>
  <conditionalFormatting sqref="D274:AA274">
    <cfRule type="expression" dxfId="1208" priority="1865">
      <formula>D275&gt;D274</formula>
    </cfRule>
  </conditionalFormatting>
  <conditionalFormatting sqref="AK241">
    <cfRule type="notContainsBlanks" dxfId="1207" priority="1864">
      <formula>LEN(TRIM(AK241))&gt;0</formula>
    </cfRule>
  </conditionalFormatting>
  <conditionalFormatting sqref="AL247">
    <cfRule type="notContainsBlanks" dxfId="1206" priority="1863">
      <formula>LEN(TRIM(AL247))&gt;0</formula>
    </cfRule>
  </conditionalFormatting>
  <conditionalFormatting sqref="AL256">
    <cfRule type="notContainsBlanks" dxfId="1205" priority="1862">
      <formula>LEN(TRIM(AL256))&gt;0</formula>
    </cfRule>
  </conditionalFormatting>
  <conditionalFormatting sqref="AL265">
    <cfRule type="notContainsBlanks" dxfId="1204" priority="1861">
      <formula>LEN(TRIM(AL265))&gt;0</formula>
    </cfRule>
  </conditionalFormatting>
  <conditionalFormatting sqref="D242:AG242">
    <cfRule type="expression" dxfId="1203" priority="1860">
      <formula>D242&gt;D241</formula>
    </cfRule>
  </conditionalFormatting>
  <conditionalFormatting sqref="D241:AG241">
    <cfRule type="expression" dxfId="1202" priority="1859">
      <formula>D242&gt;D241</formula>
    </cfRule>
  </conditionalFormatting>
  <conditionalFormatting sqref="AK238">
    <cfRule type="notContainsBlanks" dxfId="1201" priority="1858">
      <formula>LEN(TRIM(AK238))&gt;0</formula>
    </cfRule>
  </conditionalFormatting>
  <conditionalFormatting sqref="AK243">
    <cfRule type="notContainsBlanks" dxfId="1200" priority="1857">
      <formula>LEN(TRIM(AK243))&gt;0</formula>
    </cfRule>
  </conditionalFormatting>
  <conditionalFormatting sqref="D244:AG244">
    <cfRule type="expression" dxfId="1199" priority="1856">
      <formula>D244&gt;D243</formula>
    </cfRule>
  </conditionalFormatting>
  <conditionalFormatting sqref="D243:AG243">
    <cfRule type="expression" dxfId="1198" priority="1855">
      <formula>D244&gt;D243</formula>
    </cfRule>
  </conditionalFormatting>
  <conditionalFormatting sqref="AK248:AK249 AK251 AK253:AK255">
    <cfRule type="notContainsBlanks" dxfId="1197" priority="1854">
      <formula>LEN(TRIM(AK248))&gt;0</formula>
    </cfRule>
  </conditionalFormatting>
  <conditionalFormatting sqref="AK250">
    <cfRule type="notContainsBlanks" dxfId="1196" priority="1853">
      <formula>LEN(TRIM(AK250))&gt;0</formula>
    </cfRule>
  </conditionalFormatting>
  <conditionalFormatting sqref="AK247">
    <cfRule type="notContainsBlanks" dxfId="1195" priority="1852">
      <formula>LEN(TRIM(AK247))&gt;0</formula>
    </cfRule>
  </conditionalFormatting>
  <conditionalFormatting sqref="AK252">
    <cfRule type="notContainsBlanks" dxfId="1194" priority="1851">
      <formula>LEN(TRIM(AK252))&gt;0</formula>
    </cfRule>
  </conditionalFormatting>
  <conditionalFormatting sqref="AK257:AK258 AK260 AK262:AK264">
    <cfRule type="notContainsBlanks" dxfId="1193" priority="1850">
      <formula>LEN(TRIM(AK257))&gt;0</formula>
    </cfRule>
  </conditionalFormatting>
  <conditionalFormatting sqref="AK259">
    <cfRule type="notContainsBlanks" dxfId="1192" priority="1849">
      <formula>LEN(TRIM(AK259))&gt;0</formula>
    </cfRule>
  </conditionalFormatting>
  <conditionalFormatting sqref="AK256">
    <cfRule type="notContainsBlanks" dxfId="1191" priority="1848">
      <formula>LEN(TRIM(AK256))&gt;0</formula>
    </cfRule>
  </conditionalFormatting>
  <conditionalFormatting sqref="AK261">
    <cfRule type="notContainsBlanks" dxfId="1190" priority="1847">
      <formula>LEN(TRIM(AK261))&gt;0</formula>
    </cfRule>
  </conditionalFormatting>
  <conditionalFormatting sqref="AK266:AK267 AK269 AK271:AK273">
    <cfRule type="notContainsBlanks" dxfId="1189" priority="1846">
      <formula>LEN(TRIM(AK266))&gt;0</formula>
    </cfRule>
  </conditionalFormatting>
  <conditionalFormatting sqref="AK268">
    <cfRule type="notContainsBlanks" dxfId="1188" priority="1845">
      <formula>LEN(TRIM(AK268))&gt;0</formula>
    </cfRule>
  </conditionalFormatting>
  <conditionalFormatting sqref="AK265">
    <cfRule type="notContainsBlanks" dxfId="1187" priority="1844">
      <formula>LEN(TRIM(AK265))&gt;0</formula>
    </cfRule>
  </conditionalFormatting>
  <conditionalFormatting sqref="AK270">
    <cfRule type="notContainsBlanks" dxfId="1186" priority="1843">
      <formula>LEN(TRIM(AK270))&gt;0</formula>
    </cfRule>
  </conditionalFormatting>
  <conditionalFormatting sqref="D247:AG247">
    <cfRule type="cellIs" dxfId="1185" priority="1842" operator="equal">
      <formula>0</formula>
    </cfRule>
  </conditionalFormatting>
  <conditionalFormatting sqref="D249:AG249">
    <cfRule type="cellIs" dxfId="1184" priority="1841" operator="equal">
      <formula>0</formula>
    </cfRule>
  </conditionalFormatting>
  <conditionalFormatting sqref="D248:AG248">
    <cfRule type="expression" dxfId="1183" priority="1840">
      <formula>D248&gt;D247</formula>
    </cfRule>
  </conditionalFormatting>
  <conditionalFormatting sqref="D247:AG247">
    <cfRule type="expression" dxfId="1182" priority="1839">
      <formula>D248&gt;D247</formula>
    </cfRule>
  </conditionalFormatting>
  <conditionalFormatting sqref="D249:AG249">
    <cfRule type="expression" dxfId="1181" priority="1838">
      <formula>D249&gt;D248</formula>
    </cfRule>
  </conditionalFormatting>
  <conditionalFormatting sqref="D248:AG248">
    <cfRule type="expression" dxfId="1180" priority="1837">
      <formula>D249&gt;D248</formula>
    </cfRule>
  </conditionalFormatting>
  <conditionalFormatting sqref="D251:AG251">
    <cfRule type="expression" dxfId="1179" priority="1836">
      <formula>D251&gt;D250</formula>
    </cfRule>
  </conditionalFormatting>
  <conditionalFormatting sqref="D250:AG250">
    <cfRule type="expression" dxfId="1178" priority="1835">
      <formula>D251&gt;D250</formula>
    </cfRule>
  </conditionalFormatting>
  <conditionalFormatting sqref="D253:AG253">
    <cfRule type="expression" dxfId="1177" priority="1834">
      <formula>D253&gt;D252</formula>
    </cfRule>
  </conditionalFormatting>
  <conditionalFormatting sqref="D252:AG252">
    <cfRule type="expression" dxfId="1176" priority="1833">
      <formula>D253&gt;D252</formula>
    </cfRule>
  </conditionalFormatting>
  <conditionalFormatting sqref="D258:AG258">
    <cfRule type="cellIs" dxfId="1175" priority="1831" operator="equal">
      <formula>0</formula>
    </cfRule>
  </conditionalFormatting>
  <conditionalFormatting sqref="D257:AG257">
    <cfRule type="expression" dxfId="1174" priority="1830">
      <formula>D257&gt;D256</formula>
    </cfRule>
  </conditionalFormatting>
  <conditionalFormatting sqref="D256:AG256">
    <cfRule type="expression" dxfId="1173" priority="1829">
      <formula>D257&gt;D256</formula>
    </cfRule>
  </conditionalFormatting>
  <conditionalFormatting sqref="D258:AG258">
    <cfRule type="expression" dxfId="1172" priority="1828">
      <formula>D258&gt;D257</formula>
    </cfRule>
  </conditionalFormatting>
  <conditionalFormatting sqref="D257:AG257">
    <cfRule type="expression" dxfId="1171" priority="1827">
      <formula>D258&gt;D257</formula>
    </cfRule>
  </conditionalFormatting>
  <conditionalFormatting sqref="D260:AG260">
    <cfRule type="expression" dxfId="1170" priority="1826">
      <formula>D260&gt;D259</formula>
    </cfRule>
  </conditionalFormatting>
  <conditionalFormatting sqref="D259:AG259">
    <cfRule type="expression" dxfId="1169" priority="1825">
      <formula>D260&gt;D259</formula>
    </cfRule>
  </conditionalFormatting>
  <conditionalFormatting sqref="D262:AG262">
    <cfRule type="expression" dxfId="1168" priority="1824">
      <formula>D262&gt;D261</formula>
    </cfRule>
  </conditionalFormatting>
  <conditionalFormatting sqref="D261:AG261">
    <cfRule type="expression" dxfId="1167" priority="1823">
      <formula>D262&gt;D261</formula>
    </cfRule>
  </conditionalFormatting>
  <conditionalFormatting sqref="D265:AG265">
    <cfRule type="cellIs" dxfId="1166" priority="1822" operator="equal">
      <formula>0</formula>
    </cfRule>
  </conditionalFormatting>
  <conditionalFormatting sqref="D267:AG267">
    <cfRule type="cellIs" dxfId="1165" priority="1821" operator="equal">
      <formula>0</formula>
    </cfRule>
  </conditionalFormatting>
  <conditionalFormatting sqref="D266:AG266">
    <cfRule type="expression" dxfId="1164" priority="1820">
      <formula>D266&gt;D265</formula>
    </cfRule>
  </conditionalFormatting>
  <conditionalFormatting sqref="D265:AG265">
    <cfRule type="expression" dxfId="1163" priority="1819">
      <formula>D266&gt;D265</formula>
    </cfRule>
  </conditionalFormatting>
  <conditionalFormatting sqref="D267:AG267">
    <cfRule type="expression" dxfId="1162" priority="1818">
      <formula>D267&gt;D266</formula>
    </cfRule>
  </conditionalFormatting>
  <conditionalFormatting sqref="D266:AG266">
    <cfRule type="expression" dxfId="1161" priority="1817">
      <formula>D267&gt;D266</formula>
    </cfRule>
  </conditionalFormatting>
  <conditionalFormatting sqref="D269:AG269">
    <cfRule type="expression" dxfId="1160" priority="1816">
      <formula>D269&gt;D268</formula>
    </cfRule>
  </conditionalFormatting>
  <conditionalFormatting sqref="D268:AG268">
    <cfRule type="expression" dxfId="1159" priority="1815">
      <formula>D269&gt;D268</formula>
    </cfRule>
  </conditionalFormatting>
  <conditionalFormatting sqref="D271:AG271">
    <cfRule type="expression" dxfId="1158" priority="1814">
      <formula>D271&gt;D270</formula>
    </cfRule>
  </conditionalFormatting>
  <conditionalFormatting sqref="D270:AG270">
    <cfRule type="expression" dxfId="1157" priority="1813">
      <formula>D271&gt;D270</formula>
    </cfRule>
  </conditionalFormatting>
  <conditionalFormatting sqref="K282 M282 O282 Q282 S282 U282 W282 Y282 AA282">
    <cfRule type="expression" dxfId="1156" priority="1812">
      <formula>K282&gt;K281</formula>
    </cfRule>
  </conditionalFormatting>
  <conditionalFormatting sqref="D284:AA284">
    <cfRule type="expression" dxfId="1155" priority="1811">
      <formula>D284&gt;D283</formula>
    </cfRule>
  </conditionalFormatting>
  <conditionalFormatting sqref="K281 M281 O281 Q281 S281 U281 W281 Y281 AA281">
    <cfRule type="expression" dxfId="1154" priority="1810">
      <formula>K281&gt;K274</formula>
    </cfRule>
  </conditionalFormatting>
  <conditionalFormatting sqref="D274:AA274">
    <cfRule type="expression" dxfId="1153" priority="1809">
      <formula>D281&gt;D274</formula>
    </cfRule>
  </conditionalFormatting>
  <conditionalFormatting sqref="D383:Y383 AB383:AI383">
    <cfRule type="expression" dxfId="1152" priority="1808">
      <formula>D383&gt;D379</formula>
    </cfRule>
  </conditionalFormatting>
  <conditionalFormatting sqref="AL374:AL390">
    <cfRule type="notContainsBlanks" dxfId="1151" priority="1807">
      <formula>LEN(TRIM(AL374))&gt;0</formula>
    </cfRule>
  </conditionalFormatting>
  <conditionalFormatting sqref="D390:AI390">
    <cfRule type="expression" dxfId="1150" priority="1806">
      <formula>D390&gt;D384</formula>
    </cfRule>
  </conditionalFormatting>
  <conditionalFormatting sqref="AL316:AL324">
    <cfRule type="notContainsBlanks" dxfId="1149" priority="1804">
      <formula>LEN(TRIM(AL316))&gt;0</formula>
    </cfRule>
  </conditionalFormatting>
  <conditionalFormatting sqref="AN316:AN324">
    <cfRule type="notContainsBlanks" dxfId="1148" priority="1800">
      <formula>LEN(TRIM(AN316))&gt;0</formula>
    </cfRule>
  </conditionalFormatting>
  <conditionalFormatting sqref="AJ11">
    <cfRule type="cellIs" dxfId="1147" priority="1795" operator="equal">
      <formula>0</formula>
    </cfRule>
  </conditionalFormatting>
  <conditionalFormatting sqref="AJ11">
    <cfRule type="cellIs" dxfId="1146" priority="1793" operator="equal">
      <formula>0</formula>
    </cfRule>
  </conditionalFormatting>
  <conditionalFormatting sqref="D276:AA277">
    <cfRule type="cellIs" dxfId="1145" priority="1791" operator="equal">
      <formula>0</formula>
    </cfRule>
  </conditionalFormatting>
  <conditionalFormatting sqref="D276:AA276">
    <cfRule type="expression" dxfId="1144" priority="1790">
      <formula>D280&gt;D276</formula>
    </cfRule>
  </conditionalFormatting>
  <conditionalFormatting sqref="D277:AA277">
    <cfRule type="expression" dxfId="1143" priority="1789">
      <formula>D277&gt;D276</formula>
    </cfRule>
  </conditionalFormatting>
  <conditionalFormatting sqref="D276:AA276">
    <cfRule type="expression" dxfId="1142" priority="1788">
      <formula>D277&gt;D276</formula>
    </cfRule>
  </conditionalFormatting>
  <conditionalFormatting sqref="D276:AA276">
    <cfRule type="expression" dxfId="1141" priority="1787">
      <formula>D283&gt;D276</formula>
    </cfRule>
  </conditionalFormatting>
  <conditionalFormatting sqref="S310">
    <cfRule type="expression" dxfId="1140" priority="1786">
      <formula>S311&gt;S310</formula>
    </cfRule>
  </conditionalFormatting>
  <conditionalFormatting sqref="U310">
    <cfRule type="expression" dxfId="1139" priority="1785">
      <formula>U311&gt;U310</formula>
    </cfRule>
  </conditionalFormatting>
  <conditionalFormatting sqref="W310">
    <cfRule type="expression" dxfId="1138" priority="1784">
      <formula>W311&gt;W310</formula>
    </cfRule>
  </conditionalFormatting>
  <conditionalFormatting sqref="Y310">
    <cfRule type="expression" dxfId="1137" priority="1783">
      <formula>Y311&gt;Y310</formula>
    </cfRule>
  </conditionalFormatting>
  <conditionalFormatting sqref="O311">
    <cfRule type="expression" dxfId="1136" priority="1782">
      <formula>O311&gt;O310</formula>
    </cfRule>
  </conditionalFormatting>
  <conditionalFormatting sqref="O311">
    <cfRule type="expression" dxfId="1135" priority="1780">
      <formula>O337&gt;O311</formula>
    </cfRule>
  </conditionalFormatting>
  <conditionalFormatting sqref="O311">
    <cfRule type="expression" dxfId="1134" priority="1781">
      <formula>O311&gt;O310</formula>
    </cfRule>
  </conditionalFormatting>
  <conditionalFormatting sqref="M311">
    <cfRule type="expression" dxfId="1133" priority="1779">
      <formula>M311&gt;M310</formula>
    </cfRule>
  </conditionalFormatting>
  <conditionalFormatting sqref="M311">
    <cfRule type="expression" dxfId="1132" priority="1777">
      <formula>M337&gt;M311</formula>
    </cfRule>
  </conditionalFormatting>
  <conditionalFormatting sqref="M311">
    <cfRule type="expression" dxfId="1131" priority="1778">
      <formula>M311&gt;M310</formula>
    </cfRule>
  </conditionalFormatting>
  <conditionalFormatting sqref="K311">
    <cfRule type="expression" dxfId="1130" priority="1776">
      <formula>K311&gt;K310</formula>
    </cfRule>
  </conditionalFormatting>
  <conditionalFormatting sqref="K311">
    <cfRule type="expression" dxfId="1129" priority="1774">
      <formula>K337&gt;K311</formula>
    </cfRule>
  </conditionalFormatting>
  <conditionalFormatting sqref="K311">
    <cfRule type="expression" dxfId="1128" priority="1775">
      <formula>K311&gt;K310</formula>
    </cfRule>
  </conditionalFormatting>
  <conditionalFormatting sqref="S311">
    <cfRule type="expression" dxfId="1127" priority="1773">
      <formula>S311&gt;S310</formula>
    </cfRule>
  </conditionalFormatting>
  <conditionalFormatting sqref="S311">
    <cfRule type="expression" dxfId="1126" priority="1771">
      <formula>S337&gt;S311</formula>
    </cfRule>
  </conditionalFormatting>
  <conditionalFormatting sqref="S311">
    <cfRule type="expression" dxfId="1125" priority="1772">
      <formula>S311&gt;S310</formula>
    </cfRule>
  </conditionalFormatting>
  <conditionalFormatting sqref="U311">
    <cfRule type="expression" dxfId="1124" priority="1770">
      <formula>U311&gt;U310</formula>
    </cfRule>
  </conditionalFormatting>
  <conditionalFormatting sqref="U311">
    <cfRule type="expression" dxfId="1123" priority="1768">
      <formula>U337&gt;U311</formula>
    </cfRule>
  </conditionalFormatting>
  <conditionalFormatting sqref="U311">
    <cfRule type="expression" dxfId="1122" priority="1769">
      <formula>U311&gt;U310</formula>
    </cfRule>
  </conditionalFormatting>
  <conditionalFormatting sqref="W311">
    <cfRule type="expression" dxfId="1121" priority="1767">
      <formula>W311&gt;W310</formula>
    </cfRule>
  </conditionalFormatting>
  <conditionalFormatting sqref="W311">
    <cfRule type="expression" dxfId="1120" priority="1765">
      <formula>W337&gt;W311</formula>
    </cfRule>
  </conditionalFormatting>
  <conditionalFormatting sqref="W311">
    <cfRule type="expression" dxfId="1119" priority="1766">
      <formula>W311&gt;W310</formula>
    </cfRule>
  </conditionalFormatting>
  <conditionalFormatting sqref="Y311">
    <cfRule type="expression" dxfId="1118" priority="1764">
      <formula>Y311&gt;Y310</formula>
    </cfRule>
  </conditionalFormatting>
  <conditionalFormatting sqref="Y311">
    <cfRule type="expression" dxfId="1117" priority="1762">
      <formula>Y337&gt;Y311</formula>
    </cfRule>
  </conditionalFormatting>
  <conditionalFormatting sqref="Y311">
    <cfRule type="expression" dxfId="1116" priority="1763">
      <formula>Y311&gt;Y310</formula>
    </cfRule>
  </conditionalFormatting>
  <conditionalFormatting sqref="D383:Y383 AB383:AI383">
    <cfRule type="expression" dxfId="1115" priority="1761">
      <formula>D383&gt;D376</formula>
    </cfRule>
  </conditionalFormatting>
  <conditionalFormatting sqref="D376:Y376 AB376:AI376">
    <cfRule type="expression" dxfId="1114" priority="1760">
      <formula>D383&gt;D376</formula>
    </cfRule>
  </conditionalFormatting>
  <conditionalFormatting sqref="AN374:AN390">
    <cfRule type="notContainsBlanks" dxfId="1113" priority="1759">
      <formula>LEN(TRIM(AN374))&gt;0</formula>
    </cfRule>
  </conditionalFormatting>
  <conditionalFormatting sqref="D374:Y374 AB374:AI375">
    <cfRule type="expression" dxfId="1112" priority="1758">
      <formula>D374&gt;D388</formula>
    </cfRule>
  </conditionalFormatting>
  <conditionalFormatting sqref="D388:Y388 AB388:AI389">
    <cfRule type="expression" dxfId="1111" priority="1757">
      <formula>D374&gt;D388</formula>
    </cfRule>
  </conditionalFormatting>
  <conditionalFormatting sqref="D375:Y375">
    <cfRule type="expression" dxfId="1110" priority="1756">
      <formula>D375&gt;D389</formula>
    </cfRule>
  </conditionalFormatting>
  <conditionalFormatting sqref="D389:Y389">
    <cfRule type="expression" dxfId="1109" priority="1755">
      <formula>D375&gt;D389</formula>
    </cfRule>
  </conditionalFormatting>
  <conditionalFormatting sqref="K342">
    <cfRule type="expression" dxfId="1108" priority="1754">
      <formula>K342&gt;K309+K307</formula>
    </cfRule>
  </conditionalFormatting>
  <conditionalFormatting sqref="M342">
    <cfRule type="expression" dxfId="1107" priority="1753">
      <formula>M342&gt;M309+M307</formula>
    </cfRule>
  </conditionalFormatting>
  <conditionalFormatting sqref="O342">
    <cfRule type="expression" dxfId="1106" priority="1752">
      <formula>O342&gt;O309+O307</formula>
    </cfRule>
  </conditionalFormatting>
  <conditionalFormatting sqref="Q342">
    <cfRule type="expression" dxfId="1105" priority="1751">
      <formula>Q342&gt;Q309+Q307</formula>
    </cfRule>
  </conditionalFormatting>
  <conditionalFormatting sqref="S342">
    <cfRule type="expression" dxfId="1104" priority="1750">
      <formula>S342&gt;S309+S307</formula>
    </cfRule>
  </conditionalFormatting>
  <conditionalFormatting sqref="U342">
    <cfRule type="expression" dxfId="1103" priority="1749">
      <formula>U342&gt;U309+U307</formula>
    </cfRule>
  </conditionalFormatting>
  <conditionalFormatting sqref="W342">
    <cfRule type="expression" dxfId="1102" priority="1748">
      <formula>W342&gt;W309+W307</formula>
    </cfRule>
  </conditionalFormatting>
  <conditionalFormatting sqref="Y342">
    <cfRule type="expression" dxfId="1101" priority="1747">
      <formula>Y342&gt;Y309+Y307</formula>
    </cfRule>
  </conditionalFormatting>
  <conditionalFormatting sqref="K309">
    <cfRule type="expression" dxfId="1100" priority="1746">
      <formula>K342&gt;K309+K307</formula>
    </cfRule>
  </conditionalFormatting>
  <conditionalFormatting sqref="M309">
    <cfRule type="expression" dxfId="1099" priority="1745">
      <formula>M342&gt;M309+M307</formula>
    </cfRule>
  </conditionalFormatting>
  <conditionalFormatting sqref="O309">
    <cfRule type="expression" dxfId="1098" priority="1744">
      <formula>O342&gt;O309+O307</formula>
    </cfRule>
  </conditionalFormatting>
  <conditionalFormatting sqref="Q309">
    <cfRule type="expression" dxfId="1097" priority="1743">
      <formula>Q342&gt;Q309+Q307</formula>
    </cfRule>
  </conditionalFormatting>
  <conditionalFormatting sqref="S309">
    <cfRule type="expression" dxfId="1096" priority="1742">
      <formula>S342&gt;S309+S307</formula>
    </cfRule>
  </conditionalFormatting>
  <conditionalFormatting sqref="U309">
    <cfRule type="expression" dxfId="1095" priority="1741">
      <formula>U342&gt;U309+U307</formula>
    </cfRule>
  </conditionalFormatting>
  <conditionalFormatting sqref="W309">
    <cfRule type="expression" dxfId="1094" priority="1740">
      <formula>W342&gt;W309+W307</formula>
    </cfRule>
  </conditionalFormatting>
  <conditionalFormatting sqref="Y309">
    <cfRule type="expression" dxfId="1093" priority="1739">
      <formula>Y342&gt;Y309+Y307</formula>
    </cfRule>
  </conditionalFormatting>
  <conditionalFormatting sqref="M307">
    <cfRule type="expression" dxfId="1092" priority="1734">
      <formula>M342&gt;M309+M307</formula>
    </cfRule>
    <cfRule type="expression" dxfId="1091" priority="1737">
      <formula>M335&gt;M307</formula>
    </cfRule>
  </conditionalFormatting>
  <conditionalFormatting sqref="M307">
    <cfRule type="expression" dxfId="1090" priority="1736">
      <formula>M335&gt;M307</formula>
    </cfRule>
  </conditionalFormatting>
  <conditionalFormatting sqref="M307">
    <cfRule type="expression" dxfId="1089" priority="1735">
      <formula>M307&gt;M306</formula>
    </cfRule>
  </conditionalFormatting>
  <conditionalFormatting sqref="O307">
    <cfRule type="expression" dxfId="1088" priority="1730">
      <formula>O342&gt;O309+O307</formula>
    </cfRule>
    <cfRule type="expression" dxfId="1087" priority="1733">
      <formula>O335&gt;O307</formula>
    </cfRule>
  </conditionalFormatting>
  <conditionalFormatting sqref="O307">
    <cfRule type="expression" dxfId="1086" priority="1732">
      <formula>O335&gt;O307</formula>
    </cfRule>
  </conditionalFormatting>
  <conditionalFormatting sqref="O307">
    <cfRule type="expression" dxfId="1085" priority="1731">
      <formula>O307&gt;O306</formula>
    </cfRule>
  </conditionalFormatting>
  <conditionalFormatting sqref="Q307">
    <cfRule type="expression" dxfId="1084" priority="1726">
      <formula>Q342&gt;Q309+Q307</formula>
    </cfRule>
    <cfRule type="expression" dxfId="1083" priority="1729">
      <formula>Q335&gt;Q307</formula>
    </cfRule>
  </conditionalFormatting>
  <conditionalFormatting sqref="Q307">
    <cfRule type="expression" dxfId="1082" priority="1728">
      <formula>Q335&gt;Q307</formula>
    </cfRule>
  </conditionalFormatting>
  <conditionalFormatting sqref="Q307">
    <cfRule type="expression" dxfId="1081" priority="1727">
      <formula>Q307&gt;Q306</formula>
    </cfRule>
  </conditionalFormatting>
  <conditionalFormatting sqref="S307">
    <cfRule type="expression" dxfId="1080" priority="1722">
      <formula>S342&gt;S309+S307</formula>
    </cfRule>
    <cfRule type="expression" dxfId="1079" priority="1725">
      <formula>S335&gt;S307</formula>
    </cfRule>
  </conditionalFormatting>
  <conditionalFormatting sqref="S307">
    <cfRule type="expression" dxfId="1078" priority="1724">
      <formula>S335&gt;S307</formula>
    </cfRule>
  </conditionalFormatting>
  <conditionalFormatting sqref="S307">
    <cfRule type="expression" dxfId="1077" priority="1723">
      <formula>S307&gt;S306</formula>
    </cfRule>
  </conditionalFormatting>
  <conditionalFormatting sqref="U307">
    <cfRule type="expression" dxfId="1076" priority="1718">
      <formula>U342&gt;U309+U307</formula>
    </cfRule>
    <cfRule type="expression" dxfId="1075" priority="1721">
      <formula>U335&gt;U307</formula>
    </cfRule>
  </conditionalFormatting>
  <conditionalFormatting sqref="U307">
    <cfRule type="expression" dxfId="1074" priority="1720">
      <formula>U335&gt;U307</formula>
    </cfRule>
  </conditionalFormatting>
  <conditionalFormatting sqref="U307">
    <cfRule type="expression" dxfId="1073" priority="1719">
      <formula>U307&gt;U306</formula>
    </cfRule>
  </conditionalFormatting>
  <conditionalFormatting sqref="W307">
    <cfRule type="expression" dxfId="1072" priority="1714">
      <formula>W342&gt;W309+W307</formula>
    </cfRule>
    <cfRule type="expression" dxfId="1071" priority="1717">
      <formula>W335&gt;W307</formula>
    </cfRule>
  </conditionalFormatting>
  <conditionalFormatting sqref="W307">
    <cfRule type="expression" dxfId="1070" priority="1716">
      <formula>W335&gt;W307</formula>
    </cfRule>
  </conditionalFormatting>
  <conditionalFormatting sqref="W307">
    <cfRule type="expression" dxfId="1069" priority="1715">
      <formula>W307&gt;W306</formula>
    </cfRule>
  </conditionalFormatting>
  <conditionalFormatting sqref="Y307">
    <cfRule type="expression" dxfId="1068" priority="1710">
      <formula>Y342&gt;Y309+Y307</formula>
    </cfRule>
    <cfRule type="expression" dxfId="1067" priority="1713">
      <formula>Y335&gt;Y307</formula>
    </cfRule>
  </conditionalFormatting>
  <conditionalFormatting sqref="Y307">
    <cfRule type="expression" dxfId="1066" priority="1712">
      <formula>Y335&gt;Y307</formula>
    </cfRule>
  </conditionalFormatting>
  <conditionalFormatting sqref="Y307">
    <cfRule type="expression" dxfId="1065" priority="1711">
      <formula>Y307&gt;Y306</formula>
    </cfRule>
  </conditionalFormatting>
  <conditionalFormatting sqref="J112:AA112">
    <cfRule type="cellIs" dxfId="1064" priority="1709" operator="equal">
      <formula>0</formula>
    </cfRule>
  </conditionalFormatting>
  <conditionalFormatting sqref="AJ10">
    <cfRule type="cellIs" dxfId="1063" priority="1708" operator="equal">
      <formula>0</formula>
    </cfRule>
  </conditionalFormatting>
  <conditionalFormatting sqref="AJ8:AJ9">
    <cfRule type="cellIs" dxfId="1062" priority="1707" operator="equal">
      <formula>0</formula>
    </cfRule>
  </conditionalFormatting>
  <conditionalFormatting sqref="AJ434">
    <cfRule type="cellIs" dxfId="1061" priority="1705" operator="equal">
      <formula>0</formula>
    </cfRule>
  </conditionalFormatting>
  <conditionalFormatting sqref="AM434">
    <cfRule type="notContainsBlanks" dxfId="1060" priority="1706">
      <formula>LEN(TRIM(AM434))&gt;0</formula>
    </cfRule>
  </conditionalFormatting>
  <conditionalFormatting sqref="AK434">
    <cfRule type="notContainsBlanks" dxfId="1059" priority="1703">
      <formula>LEN(TRIM(AK434))&gt;0</formula>
    </cfRule>
  </conditionalFormatting>
  <conditionalFormatting sqref="J117:AA117">
    <cfRule type="expression" dxfId="1058" priority="1700">
      <formula>J118&gt;J117</formula>
    </cfRule>
  </conditionalFormatting>
  <conditionalFormatting sqref="D324:E324">
    <cfRule type="expression" dxfId="1057" priority="1697">
      <formula>D324&lt;&gt;D346</formula>
    </cfRule>
  </conditionalFormatting>
  <conditionalFormatting sqref="D346:E346">
    <cfRule type="expression" dxfId="1056" priority="1696">
      <formula>D324&lt;&gt;D346</formula>
    </cfRule>
  </conditionalFormatting>
  <conditionalFormatting sqref="J125:AA125">
    <cfRule type="expression" dxfId="1055" priority="1688">
      <formula>J125&gt;J124</formula>
    </cfRule>
  </conditionalFormatting>
  <conditionalFormatting sqref="J124:AA124">
    <cfRule type="expression" dxfId="1054" priority="1687">
      <formula>J125&gt;J124</formula>
    </cfRule>
  </conditionalFormatting>
  <conditionalFormatting sqref="J127:AA127">
    <cfRule type="expression" dxfId="1053" priority="1686">
      <formula>J127&gt;(J125-J126)</formula>
    </cfRule>
  </conditionalFormatting>
  <conditionalFormatting sqref="J125:AA125">
    <cfRule type="expression" dxfId="1052" priority="1685">
      <formula>J127&gt;(J125-J126)</formula>
    </cfRule>
  </conditionalFormatting>
  <conditionalFormatting sqref="M222">
    <cfRule type="expression" dxfId="1051" priority="1683">
      <formula>M223&gt;M222</formula>
    </cfRule>
  </conditionalFormatting>
  <conditionalFormatting sqref="O222">
    <cfRule type="cellIs" dxfId="1050" priority="1682" operator="equal">
      <formula>0</formula>
    </cfRule>
  </conditionalFormatting>
  <conditionalFormatting sqref="O222">
    <cfRule type="expression" dxfId="1049" priority="1680">
      <formula>O223&gt;O222</formula>
    </cfRule>
  </conditionalFormatting>
  <conditionalFormatting sqref="Q222">
    <cfRule type="cellIs" dxfId="1048" priority="1679" operator="equal">
      <formula>0</formula>
    </cfRule>
  </conditionalFormatting>
  <conditionalFormatting sqref="Q222">
    <cfRule type="expression" dxfId="1047" priority="1677">
      <formula>Q223&gt;Q222</formula>
    </cfRule>
  </conditionalFormatting>
  <conditionalFormatting sqref="S222">
    <cfRule type="cellIs" dxfId="1046" priority="1676" operator="equal">
      <formula>0</formula>
    </cfRule>
  </conditionalFormatting>
  <conditionalFormatting sqref="S222">
    <cfRule type="expression" dxfId="1045" priority="1674">
      <formula>S223&gt;S222</formula>
    </cfRule>
  </conditionalFormatting>
  <conditionalFormatting sqref="U222">
    <cfRule type="cellIs" dxfId="1044" priority="1673" operator="equal">
      <formula>0</formula>
    </cfRule>
  </conditionalFormatting>
  <conditionalFormatting sqref="U222">
    <cfRule type="expression" dxfId="1043" priority="1671">
      <formula>U223&gt;U222</formula>
    </cfRule>
  </conditionalFormatting>
  <conditionalFormatting sqref="W222">
    <cfRule type="cellIs" dxfId="1042" priority="1670" operator="equal">
      <formula>0</formula>
    </cfRule>
  </conditionalFormatting>
  <conditionalFormatting sqref="W222">
    <cfRule type="expression" dxfId="1041" priority="1668">
      <formula>W223&gt;W222</formula>
    </cfRule>
  </conditionalFormatting>
  <conditionalFormatting sqref="Y222">
    <cfRule type="cellIs" dxfId="1040" priority="1667" operator="equal">
      <formula>0</formula>
    </cfRule>
  </conditionalFormatting>
  <conditionalFormatting sqref="Y222">
    <cfRule type="expression" dxfId="1039" priority="1665">
      <formula>Y223&gt;Y222</formula>
    </cfRule>
  </conditionalFormatting>
  <conditionalFormatting sqref="AC222 AE222 AG222 AI222">
    <cfRule type="cellIs" dxfId="1038" priority="1664" operator="equal">
      <formula>0</formula>
    </cfRule>
  </conditionalFormatting>
  <conditionalFormatting sqref="AC222 AE222 AG222 AI222">
    <cfRule type="expression" dxfId="1037" priority="1662">
      <formula>AC223&gt;AC222</formula>
    </cfRule>
  </conditionalFormatting>
  <conditionalFormatting sqref="M230">
    <cfRule type="cellIs" dxfId="1036" priority="1661" operator="equal">
      <formula>0</formula>
    </cfRule>
  </conditionalFormatting>
  <conditionalFormatting sqref="M230">
    <cfRule type="expression" dxfId="1035" priority="1659">
      <formula>M231&gt;M230</formula>
    </cfRule>
  </conditionalFormatting>
  <conditionalFormatting sqref="O230">
    <cfRule type="cellIs" dxfId="1034" priority="1658" operator="equal">
      <formula>0</formula>
    </cfRule>
  </conditionalFormatting>
  <conditionalFormatting sqref="O230">
    <cfRule type="expression" dxfId="1033" priority="1656">
      <formula>O231&gt;O230</formula>
    </cfRule>
  </conditionalFormatting>
  <conditionalFormatting sqref="Q230">
    <cfRule type="cellIs" dxfId="1032" priority="1655" operator="equal">
      <formula>0</formula>
    </cfRule>
  </conditionalFormatting>
  <conditionalFormatting sqref="Q230">
    <cfRule type="expression" dxfId="1031" priority="1653">
      <formula>Q231&gt;Q230</formula>
    </cfRule>
  </conditionalFormatting>
  <conditionalFormatting sqref="S230">
    <cfRule type="cellIs" dxfId="1030" priority="1652" operator="equal">
      <formula>0</formula>
    </cfRule>
  </conditionalFormatting>
  <conditionalFormatting sqref="S230">
    <cfRule type="expression" dxfId="1029" priority="1650">
      <formula>S231&gt;S230</formula>
    </cfRule>
  </conditionalFormatting>
  <conditionalFormatting sqref="U230">
    <cfRule type="cellIs" dxfId="1028" priority="1649" operator="equal">
      <formula>0</formula>
    </cfRule>
  </conditionalFormatting>
  <conditionalFormatting sqref="U230">
    <cfRule type="expression" dxfId="1027" priority="1647">
      <formula>U231&gt;U230</formula>
    </cfRule>
  </conditionalFormatting>
  <conditionalFormatting sqref="W230">
    <cfRule type="cellIs" dxfId="1026" priority="1646" operator="equal">
      <formula>0</formula>
    </cfRule>
  </conditionalFormatting>
  <conditionalFormatting sqref="W230">
    <cfRule type="expression" dxfId="1025" priority="1644">
      <formula>W231&gt;W230</formula>
    </cfRule>
  </conditionalFormatting>
  <conditionalFormatting sqref="Y230">
    <cfRule type="cellIs" dxfId="1024" priority="1643" operator="equal">
      <formula>0</formula>
    </cfRule>
  </conditionalFormatting>
  <conditionalFormatting sqref="Y230">
    <cfRule type="expression" dxfId="1023" priority="1641">
      <formula>Y231&gt;Y230</formula>
    </cfRule>
  </conditionalFormatting>
  <conditionalFormatting sqref="AC230 AE230 AG230 AI230">
    <cfRule type="cellIs" dxfId="1022" priority="1640" operator="equal">
      <formula>0</formula>
    </cfRule>
  </conditionalFormatting>
  <conditionalFormatting sqref="AC230 AE230 AG230 AI230">
    <cfRule type="expression" dxfId="1021" priority="1638">
      <formula>AC231&gt;AC230</formula>
    </cfRule>
  </conditionalFormatting>
  <conditionalFormatting sqref="M214:M215">
    <cfRule type="cellIs" dxfId="1020" priority="1637" operator="equal">
      <formula>0</formula>
    </cfRule>
  </conditionalFormatting>
  <conditionalFormatting sqref="M215">
    <cfRule type="expression" dxfId="1019" priority="1613">
      <formula>M215&lt;(M216+M217+M218)</formula>
    </cfRule>
    <cfRule type="expression" dxfId="1018" priority="1636">
      <formula>M215&gt;M214</formula>
    </cfRule>
  </conditionalFormatting>
  <conditionalFormatting sqref="M214">
    <cfRule type="expression" dxfId="1017" priority="1635">
      <formula>M215&gt;M214</formula>
    </cfRule>
  </conditionalFormatting>
  <conditionalFormatting sqref="O214">
    <cfRule type="cellIs" dxfId="1016" priority="1634" operator="equal">
      <formula>0</formula>
    </cfRule>
  </conditionalFormatting>
  <conditionalFormatting sqref="O214">
    <cfRule type="expression" dxfId="1015" priority="1632">
      <formula>O215&gt;O214</formula>
    </cfRule>
  </conditionalFormatting>
  <conditionalFormatting sqref="Q214">
    <cfRule type="cellIs" dxfId="1014" priority="1631" operator="equal">
      <formula>0</formula>
    </cfRule>
  </conditionalFormatting>
  <conditionalFormatting sqref="Q214">
    <cfRule type="expression" dxfId="1013" priority="1629">
      <formula>Q215&gt;Q214</formula>
    </cfRule>
  </conditionalFormatting>
  <conditionalFormatting sqref="S214">
    <cfRule type="cellIs" dxfId="1012" priority="1628" operator="equal">
      <formula>0</formula>
    </cfRule>
  </conditionalFormatting>
  <conditionalFormatting sqref="S214">
    <cfRule type="expression" dxfId="1011" priority="1626">
      <formula>S215&gt;S214</formula>
    </cfRule>
  </conditionalFormatting>
  <conditionalFormatting sqref="U214">
    <cfRule type="cellIs" dxfId="1010" priority="1625" operator="equal">
      <formula>0</formula>
    </cfRule>
  </conditionalFormatting>
  <conditionalFormatting sqref="U214">
    <cfRule type="expression" dxfId="1009" priority="1623">
      <formula>U215&gt;U214</formula>
    </cfRule>
  </conditionalFormatting>
  <conditionalFormatting sqref="W214">
    <cfRule type="cellIs" dxfId="1008" priority="1622" operator="equal">
      <formula>0</formula>
    </cfRule>
  </conditionalFormatting>
  <conditionalFormatting sqref="W214">
    <cfRule type="expression" dxfId="1007" priority="1620">
      <formula>W215&gt;W214</formula>
    </cfRule>
  </conditionalFormatting>
  <conditionalFormatting sqref="Y214">
    <cfRule type="cellIs" dxfId="1006" priority="1619" operator="equal">
      <formula>0</formula>
    </cfRule>
  </conditionalFormatting>
  <conditionalFormatting sqref="Y214">
    <cfRule type="expression" dxfId="1005" priority="1617">
      <formula>Y215&gt;Y214</formula>
    </cfRule>
  </conditionalFormatting>
  <conditionalFormatting sqref="AC214 AE214 AG214 AI214">
    <cfRule type="cellIs" dxfId="1004" priority="1616" operator="equal">
      <formula>0</formula>
    </cfRule>
  </conditionalFormatting>
  <conditionalFormatting sqref="AC214 AE214 AG214 AI214">
    <cfRule type="expression" dxfId="1003" priority="1614">
      <formula>AC215&gt;AC214</formula>
    </cfRule>
  </conditionalFormatting>
  <conditionalFormatting sqref="O216">
    <cfRule type="expression" dxfId="1002" priority="1603">
      <formula>O215&lt;(O216+O217+O218)</formula>
    </cfRule>
    <cfRule type="expression" dxfId="1001" priority="1609">
      <formula>(O218+O217+O216)&gt;O214</formula>
    </cfRule>
  </conditionalFormatting>
  <conditionalFormatting sqref="O217">
    <cfRule type="expression" dxfId="1000" priority="1602">
      <formula>O215&lt;(O216+O217+O218)</formula>
    </cfRule>
    <cfRule type="expression" dxfId="999" priority="1608">
      <formula>(O218+O217+O216)&gt;O214</formula>
    </cfRule>
  </conditionalFormatting>
  <conditionalFormatting sqref="O218">
    <cfRule type="expression" dxfId="998" priority="1601">
      <formula>O215&lt;(O216+O217+O218)</formula>
    </cfRule>
    <cfRule type="expression" dxfId="997" priority="1607">
      <formula>(O218+O217+O216)&gt;O214</formula>
    </cfRule>
  </conditionalFormatting>
  <conditionalFormatting sqref="O215">
    <cfRule type="cellIs" dxfId="996" priority="1606" operator="equal">
      <formula>0</formula>
    </cfRule>
  </conditionalFormatting>
  <conditionalFormatting sqref="O215">
    <cfRule type="expression" dxfId="995" priority="1604">
      <formula>O215&lt;(O216+O217+O218)</formula>
    </cfRule>
    <cfRule type="expression" dxfId="994" priority="1605">
      <formula>O215&gt;O214</formula>
    </cfRule>
  </conditionalFormatting>
  <conditionalFormatting sqref="Q216">
    <cfRule type="expression" dxfId="993" priority="1594">
      <formula>Q215&lt;(Q216+Q217+Q218)</formula>
    </cfRule>
    <cfRule type="expression" dxfId="992" priority="1600">
      <formula>(Q218+Q217+Q216)&gt;Q214</formula>
    </cfRule>
  </conditionalFormatting>
  <conditionalFormatting sqref="Q217">
    <cfRule type="expression" dxfId="991" priority="1593">
      <formula>Q215&lt;(Q216+Q217+Q218)</formula>
    </cfRule>
    <cfRule type="expression" dxfId="990" priority="1599">
      <formula>(Q218+Q217+Q216)&gt;Q214</formula>
    </cfRule>
  </conditionalFormatting>
  <conditionalFormatting sqref="Q218">
    <cfRule type="expression" dxfId="989" priority="1592">
      <formula>Q215&lt;(Q216+Q217+Q218)</formula>
    </cfRule>
    <cfRule type="expression" dxfId="988" priority="1598">
      <formula>(Q218+Q217+Q216)&gt;Q214</formula>
    </cfRule>
  </conditionalFormatting>
  <conditionalFormatting sqref="Q215">
    <cfRule type="cellIs" dxfId="987" priority="1597" operator="equal">
      <formula>0</formula>
    </cfRule>
  </conditionalFormatting>
  <conditionalFormatting sqref="Q215">
    <cfRule type="expression" dxfId="986" priority="1595">
      <formula>Q215&lt;(Q216+Q217+Q218)</formula>
    </cfRule>
    <cfRule type="expression" dxfId="985" priority="1596">
      <formula>Q215&gt;Q214</formula>
    </cfRule>
  </conditionalFormatting>
  <conditionalFormatting sqref="S216">
    <cfRule type="expression" dxfId="984" priority="1585">
      <formula>S215&lt;(S216+S217+S218)</formula>
    </cfRule>
    <cfRule type="expression" dxfId="983" priority="1591">
      <formula>(S218+S217+S216)&gt;S214</formula>
    </cfRule>
  </conditionalFormatting>
  <conditionalFormatting sqref="S217">
    <cfRule type="expression" dxfId="982" priority="1584">
      <formula>S215&lt;(S216+S217+S218)</formula>
    </cfRule>
    <cfRule type="expression" dxfId="981" priority="1590">
      <formula>(S218+S217+S216)&gt;S214</formula>
    </cfRule>
  </conditionalFormatting>
  <conditionalFormatting sqref="S218">
    <cfRule type="expression" dxfId="980" priority="1583">
      <formula>S215&lt;(S216+S217+S218)</formula>
    </cfRule>
    <cfRule type="expression" dxfId="979" priority="1589">
      <formula>(S218+S217+S216)&gt;S214</formula>
    </cfRule>
  </conditionalFormatting>
  <conditionalFormatting sqref="S215">
    <cfRule type="cellIs" dxfId="978" priority="1588" operator="equal">
      <formula>0</formula>
    </cfRule>
  </conditionalFormatting>
  <conditionalFormatting sqref="S215">
    <cfRule type="expression" dxfId="977" priority="1586">
      <formula>S215&lt;(S216+S217+S218)</formula>
    </cfRule>
    <cfRule type="expression" dxfId="976" priority="1587">
      <formula>S215&gt;S214</formula>
    </cfRule>
  </conditionalFormatting>
  <conditionalFormatting sqref="U216">
    <cfRule type="expression" dxfId="975" priority="1576">
      <formula>U215&lt;(U216+U217+U218)</formula>
    </cfRule>
    <cfRule type="expression" dxfId="974" priority="1582">
      <formula>(U218+U217+U216)&gt;U214</formula>
    </cfRule>
  </conditionalFormatting>
  <conditionalFormatting sqref="U217">
    <cfRule type="expression" dxfId="973" priority="1575">
      <formula>U215&lt;(U216+U217+U218)</formula>
    </cfRule>
    <cfRule type="expression" dxfId="972" priority="1581">
      <formula>(U218+U217+U216)&gt;U214</formula>
    </cfRule>
  </conditionalFormatting>
  <conditionalFormatting sqref="U218">
    <cfRule type="expression" dxfId="971" priority="1574">
      <formula>U215&lt;(U216+U217+U218)</formula>
    </cfRule>
    <cfRule type="expression" dxfId="970" priority="1580">
      <formula>(U218+U217+U216)&gt;U214</formula>
    </cfRule>
  </conditionalFormatting>
  <conditionalFormatting sqref="U215">
    <cfRule type="cellIs" dxfId="969" priority="1579" operator="equal">
      <formula>0</formula>
    </cfRule>
  </conditionalFormatting>
  <conditionalFormatting sqref="U215">
    <cfRule type="expression" dxfId="968" priority="1577">
      <formula>U215&lt;(U216+U217+U218)</formula>
    </cfRule>
    <cfRule type="expression" dxfId="967" priority="1578">
      <formula>U215&gt;U214</formula>
    </cfRule>
  </conditionalFormatting>
  <conditionalFormatting sqref="W216">
    <cfRule type="expression" dxfId="966" priority="1567">
      <formula>W215&lt;(W216+W217+W218)</formula>
    </cfRule>
    <cfRule type="expression" dxfId="965" priority="1573">
      <formula>(W218+W217+W216)&gt;W214</formula>
    </cfRule>
  </conditionalFormatting>
  <conditionalFormatting sqref="W217">
    <cfRule type="expression" dxfId="964" priority="1566">
      <formula>W215&lt;(W216+W217+W218)</formula>
    </cfRule>
    <cfRule type="expression" dxfId="963" priority="1572">
      <formula>(W218+W217+W216)&gt;W214</formula>
    </cfRule>
  </conditionalFormatting>
  <conditionalFormatting sqref="W218">
    <cfRule type="expression" dxfId="962" priority="1565">
      <formula>W215&lt;(W216+W217+W218)</formula>
    </cfRule>
    <cfRule type="expression" dxfId="961" priority="1571">
      <formula>(W218+W217+W216)&gt;W214</formula>
    </cfRule>
  </conditionalFormatting>
  <conditionalFormatting sqref="W215">
    <cfRule type="cellIs" dxfId="960" priority="1570" operator="equal">
      <formula>0</formula>
    </cfRule>
  </conditionalFormatting>
  <conditionalFormatting sqref="W215">
    <cfRule type="expression" dxfId="959" priority="1568">
      <formula>W215&lt;(W216+W217+W218)</formula>
    </cfRule>
    <cfRule type="expression" dxfId="958" priority="1569">
      <formula>W215&gt;W214</formula>
    </cfRule>
  </conditionalFormatting>
  <conditionalFormatting sqref="Y216">
    <cfRule type="expression" dxfId="957" priority="1558">
      <formula>Y215&lt;(Y216+Y217+Y218)</formula>
    </cfRule>
    <cfRule type="expression" dxfId="956" priority="1564">
      <formula>(Y218+Y217+Y216)&gt;Y214</formula>
    </cfRule>
  </conditionalFormatting>
  <conditionalFormatting sqref="Y217">
    <cfRule type="expression" dxfId="955" priority="1557">
      <formula>Y215&lt;(Y216+Y217+Y218)</formula>
    </cfRule>
    <cfRule type="expression" dxfId="954" priority="1563">
      <formula>(Y218+Y217+Y216)&gt;Y214</formula>
    </cfRule>
  </conditionalFormatting>
  <conditionalFormatting sqref="Y218">
    <cfRule type="expression" dxfId="953" priority="1556">
      <formula>Y215&lt;(Y216+Y217+Y218)</formula>
    </cfRule>
    <cfRule type="expression" dxfId="952" priority="1562">
      <formula>(Y218+Y217+Y216)&gt;Y214</formula>
    </cfRule>
  </conditionalFormatting>
  <conditionalFormatting sqref="Y215">
    <cfRule type="cellIs" dxfId="951" priority="1561" operator="equal">
      <formula>0</formula>
    </cfRule>
  </conditionalFormatting>
  <conditionalFormatting sqref="Y215">
    <cfRule type="expression" dxfId="950" priority="1559">
      <formula>Y215&lt;(Y216+Y217+Y218)</formula>
    </cfRule>
    <cfRule type="expression" dxfId="949" priority="1560">
      <formula>Y215&gt;Y214</formula>
    </cfRule>
  </conditionalFormatting>
  <conditionalFormatting sqref="AC216 AE216 AG216 AI216">
    <cfRule type="expression" dxfId="948" priority="1549">
      <formula>AC215&lt;(AC216+AC217+AC218)</formula>
    </cfRule>
    <cfRule type="expression" dxfId="947" priority="1555">
      <formula>(AC218+AC217+AC216)&gt;AC214</formula>
    </cfRule>
  </conditionalFormatting>
  <conditionalFormatting sqref="AC217 AE217 AG217 AI217">
    <cfRule type="expression" dxfId="946" priority="1548">
      <formula>AC215&lt;(AC216+AC217+AC218)</formula>
    </cfRule>
    <cfRule type="expression" dxfId="945" priority="1554">
      <formula>(AC218+AC217+AC216)&gt;AC214</formula>
    </cfRule>
  </conditionalFormatting>
  <conditionalFormatting sqref="AC218 AE218 AG218 AI218">
    <cfRule type="expression" dxfId="944" priority="1547">
      <formula>AC215&lt;(AC216+AC217+AC218)</formula>
    </cfRule>
    <cfRule type="expression" dxfId="943" priority="1553">
      <formula>(AC218+AC217+AC216)&gt;AC214</formula>
    </cfRule>
  </conditionalFormatting>
  <conditionalFormatting sqref="AC215 AE215 AG215 AI215">
    <cfRule type="cellIs" dxfId="942" priority="1552" operator="equal">
      <formula>0</formula>
    </cfRule>
  </conditionalFormatting>
  <conditionalFormatting sqref="AC215 AE215 AG215 AI215">
    <cfRule type="expression" dxfId="941" priority="1550">
      <formula>AC215&lt;(AC216+AC217+AC218)</formula>
    </cfRule>
    <cfRule type="expression" dxfId="940" priority="1551">
      <formula>AC215&gt;AC214</formula>
    </cfRule>
  </conditionalFormatting>
  <conditionalFormatting sqref="M224">
    <cfRule type="expression" dxfId="939" priority="1540">
      <formula>M223&lt;(M224+M225+M226)</formula>
    </cfRule>
    <cfRule type="expression" dxfId="938" priority="1546">
      <formula>(M226+M225+M224)&gt;M222</formula>
    </cfRule>
  </conditionalFormatting>
  <conditionalFormatting sqref="M225">
    <cfRule type="expression" dxfId="937" priority="1539">
      <formula>M223&lt;(M224+M225+M226)</formula>
    </cfRule>
    <cfRule type="expression" dxfId="936" priority="1545">
      <formula>(M226+M225+M224)&gt;M222</formula>
    </cfRule>
  </conditionalFormatting>
  <conditionalFormatting sqref="M226">
    <cfRule type="expression" dxfId="935" priority="1538">
      <formula>M223&lt;(M224+M225+M226)</formula>
    </cfRule>
    <cfRule type="expression" dxfId="934" priority="1544">
      <formula>(M226+M225+M224)&gt;M222</formula>
    </cfRule>
  </conditionalFormatting>
  <conditionalFormatting sqref="M223">
    <cfRule type="cellIs" dxfId="933" priority="1543" operator="equal">
      <formula>0</formula>
    </cfRule>
  </conditionalFormatting>
  <conditionalFormatting sqref="M223">
    <cfRule type="expression" dxfId="932" priority="1541">
      <formula>M223&lt;(M224+M225+M226)</formula>
    </cfRule>
    <cfRule type="expression" dxfId="931" priority="1542">
      <formula>M223&gt;M222</formula>
    </cfRule>
  </conditionalFormatting>
  <conditionalFormatting sqref="O224">
    <cfRule type="expression" dxfId="930" priority="1531">
      <formula>O223&lt;(O224+O225+O226)</formula>
    </cfRule>
    <cfRule type="expression" dxfId="929" priority="1537">
      <formula>(O226+O225+O224)&gt;O222</formula>
    </cfRule>
  </conditionalFormatting>
  <conditionalFormatting sqref="O225">
    <cfRule type="expression" dxfId="928" priority="1530">
      <formula>O223&lt;(O224+O225+O226)</formula>
    </cfRule>
    <cfRule type="expression" dxfId="927" priority="1536">
      <formula>(O226+O225+O224)&gt;O222</formula>
    </cfRule>
  </conditionalFormatting>
  <conditionalFormatting sqref="O226">
    <cfRule type="expression" dxfId="926" priority="1529">
      <formula>O223&lt;(O224+O225+O226)</formula>
    </cfRule>
    <cfRule type="expression" dxfId="925" priority="1535">
      <formula>(O226+O225+O224)&gt;O222</formula>
    </cfRule>
  </conditionalFormatting>
  <conditionalFormatting sqref="O223">
    <cfRule type="cellIs" dxfId="924" priority="1534" operator="equal">
      <formula>0</formula>
    </cfRule>
  </conditionalFormatting>
  <conditionalFormatting sqref="O223">
    <cfRule type="expression" dxfId="923" priority="1532">
      <formula>O223&lt;(O224+O225+O226)</formula>
    </cfRule>
    <cfRule type="expression" dxfId="922" priority="1533">
      <formula>O223&gt;O222</formula>
    </cfRule>
  </conditionalFormatting>
  <conditionalFormatting sqref="Q224">
    <cfRule type="expression" dxfId="921" priority="1522">
      <formula>Q223&lt;(Q224+Q225+Q226)</formula>
    </cfRule>
    <cfRule type="expression" dxfId="920" priority="1528">
      <formula>(Q226+Q225+Q224)&gt;Q222</formula>
    </cfRule>
  </conditionalFormatting>
  <conditionalFormatting sqref="Q225">
    <cfRule type="expression" dxfId="919" priority="1521">
      <formula>Q223&lt;(Q224+Q225+Q226)</formula>
    </cfRule>
    <cfRule type="expression" dxfId="918" priority="1527">
      <formula>(Q226+Q225+Q224)&gt;Q222</formula>
    </cfRule>
  </conditionalFormatting>
  <conditionalFormatting sqref="Q226">
    <cfRule type="expression" dxfId="917" priority="1520">
      <formula>Q223&lt;(Q224+Q225+Q226)</formula>
    </cfRule>
    <cfRule type="expression" dxfId="916" priority="1526">
      <formula>(Q226+Q225+Q224)&gt;Q222</formula>
    </cfRule>
  </conditionalFormatting>
  <conditionalFormatting sqref="Q223">
    <cfRule type="cellIs" dxfId="915" priority="1525" operator="equal">
      <formula>0</formula>
    </cfRule>
  </conditionalFormatting>
  <conditionalFormatting sqref="Q223">
    <cfRule type="expression" dxfId="914" priority="1523">
      <formula>Q223&lt;(Q224+Q225+Q226)</formula>
    </cfRule>
    <cfRule type="expression" dxfId="913" priority="1524">
      <formula>Q223&gt;Q222</formula>
    </cfRule>
  </conditionalFormatting>
  <conditionalFormatting sqref="S224">
    <cfRule type="expression" dxfId="912" priority="1513">
      <formula>S223&lt;(S224+S225+S226)</formula>
    </cfRule>
    <cfRule type="expression" dxfId="911" priority="1519">
      <formula>(S226+S225+S224)&gt;S222</formula>
    </cfRule>
  </conditionalFormatting>
  <conditionalFormatting sqref="S225">
    <cfRule type="expression" dxfId="910" priority="1512">
      <formula>S223&lt;(S224+S225+S226)</formula>
    </cfRule>
    <cfRule type="expression" dxfId="909" priority="1518">
      <formula>(S226+S225+S224)&gt;S222</formula>
    </cfRule>
  </conditionalFormatting>
  <conditionalFormatting sqref="S226">
    <cfRule type="expression" dxfId="908" priority="1511">
      <formula>S223&lt;(S224+S225+S226)</formula>
    </cfRule>
    <cfRule type="expression" dxfId="907" priority="1517">
      <formula>(S226+S225+S224)&gt;S222</formula>
    </cfRule>
  </conditionalFormatting>
  <conditionalFormatting sqref="S223">
    <cfRule type="cellIs" dxfId="906" priority="1516" operator="equal">
      <formula>0</formula>
    </cfRule>
  </conditionalFormatting>
  <conditionalFormatting sqref="S223">
    <cfRule type="expression" dxfId="905" priority="1514">
      <formula>S223&lt;(S224+S225+S226)</formula>
    </cfRule>
    <cfRule type="expression" dxfId="904" priority="1515">
      <formula>S223&gt;S222</formula>
    </cfRule>
  </conditionalFormatting>
  <conditionalFormatting sqref="U224">
    <cfRule type="expression" dxfId="903" priority="1504">
      <formula>U223&lt;(U224+U225+U226)</formula>
    </cfRule>
    <cfRule type="expression" dxfId="902" priority="1510">
      <formula>(U226+U225+U224)&gt;U222</formula>
    </cfRule>
  </conditionalFormatting>
  <conditionalFormatting sqref="U225">
    <cfRule type="expression" dxfId="901" priority="1503">
      <formula>U223&lt;(U224+U225+U226)</formula>
    </cfRule>
    <cfRule type="expression" dxfId="900" priority="1509">
      <formula>(U226+U225+U224)&gt;U222</formula>
    </cfRule>
  </conditionalFormatting>
  <conditionalFormatting sqref="U226">
    <cfRule type="expression" dxfId="899" priority="1502">
      <formula>U223&lt;(U224+U225+U226)</formula>
    </cfRule>
    <cfRule type="expression" dxfId="898" priority="1508">
      <formula>(U226+U225+U224)&gt;U222</formula>
    </cfRule>
  </conditionalFormatting>
  <conditionalFormatting sqref="U223">
    <cfRule type="cellIs" dxfId="897" priority="1507" operator="equal">
      <formula>0</formula>
    </cfRule>
  </conditionalFormatting>
  <conditionalFormatting sqref="U223">
    <cfRule type="expression" dxfId="896" priority="1505">
      <formula>U223&lt;(U224+U225+U226)</formula>
    </cfRule>
    <cfRule type="expression" dxfId="895" priority="1506">
      <formula>U223&gt;U222</formula>
    </cfRule>
  </conditionalFormatting>
  <conditionalFormatting sqref="W224">
    <cfRule type="expression" dxfId="894" priority="1495">
      <formula>W223&lt;(W224+W225+W226)</formula>
    </cfRule>
    <cfRule type="expression" dxfId="893" priority="1501">
      <formula>(W226+W225+W224)&gt;W222</formula>
    </cfRule>
  </conditionalFormatting>
  <conditionalFormatting sqref="W225">
    <cfRule type="expression" dxfId="892" priority="1494">
      <formula>W223&lt;(W224+W225+W226)</formula>
    </cfRule>
    <cfRule type="expression" dxfId="891" priority="1500">
      <formula>(W226+W225+W224)&gt;W222</formula>
    </cfRule>
  </conditionalFormatting>
  <conditionalFormatting sqref="W226">
    <cfRule type="expression" dxfId="890" priority="1493">
      <formula>W223&lt;(W224+W225+W226)</formula>
    </cfRule>
    <cfRule type="expression" dxfId="889" priority="1499">
      <formula>(W226+W225+W224)&gt;W222</formula>
    </cfRule>
  </conditionalFormatting>
  <conditionalFormatting sqref="W223">
    <cfRule type="cellIs" dxfId="888" priority="1498" operator="equal">
      <formula>0</formula>
    </cfRule>
  </conditionalFormatting>
  <conditionalFormatting sqref="W223">
    <cfRule type="expression" dxfId="887" priority="1496">
      <formula>W223&lt;(W224+W225+W226)</formula>
    </cfRule>
    <cfRule type="expression" dxfId="886" priority="1497">
      <formula>W223&gt;W222</formula>
    </cfRule>
  </conditionalFormatting>
  <conditionalFormatting sqref="Y224">
    <cfRule type="expression" dxfId="885" priority="1486">
      <formula>Y223&lt;(Y224+Y225+Y226)</formula>
    </cfRule>
    <cfRule type="expression" dxfId="884" priority="1492">
      <formula>(Y226+Y225+Y224)&gt;Y222</formula>
    </cfRule>
  </conditionalFormatting>
  <conditionalFormatting sqref="Y225">
    <cfRule type="expression" dxfId="883" priority="1485">
      <formula>Y223&lt;(Y224+Y225+Y226)</formula>
    </cfRule>
    <cfRule type="expression" dxfId="882" priority="1491">
      <formula>(Y226+Y225+Y224)&gt;Y222</formula>
    </cfRule>
  </conditionalFormatting>
  <conditionalFormatting sqref="Y226">
    <cfRule type="expression" dxfId="881" priority="1484">
      <formula>Y223&lt;(Y224+Y225+Y226)</formula>
    </cfRule>
    <cfRule type="expression" dxfId="880" priority="1490">
      <formula>(Y226+Y225+Y224)&gt;Y222</formula>
    </cfRule>
  </conditionalFormatting>
  <conditionalFormatting sqref="Y223">
    <cfRule type="cellIs" dxfId="879" priority="1489" operator="equal">
      <formula>0</formula>
    </cfRule>
  </conditionalFormatting>
  <conditionalFormatting sqref="Y223">
    <cfRule type="expression" dxfId="878" priority="1487">
      <formula>Y223&lt;(Y224+Y225+Y226)</formula>
    </cfRule>
    <cfRule type="expression" dxfId="877" priority="1488">
      <formula>Y223&gt;Y222</formula>
    </cfRule>
  </conditionalFormatting>
  <conditionalFormatting sqref="AC224 AE224 AG224 AI224">
    <cfRule type="expression" dxfId="876" priority="1477">
      <formula>AC223&lt;(AC224+AC225+AC226)</formula>
    </cfRule>
    <cfRule type="expression" dxfId="875" priority="1483">
      <formula>(AC226+AC225+AC224)&gt;AC222</formula>
    </cfRule>
  </conditionalFormatting>
  <conditionalFormatting sqref="AC225 AE225 AG225 AI225">
    <cfRule type="expression" dxfId="874" priority="1476">
      <formula>AC223&lt;(AC224+AC225+AC226)</formula>
    </cfRule>
    <cfRule type="expression" dxfId="873" priority="1482">
      <formula>(AC226+AC225+AC224)&gt;AC222</formula>
    </cfRule>
  </conditionalFormatting>
  <conditionalFormatting sqref="AC226 AE226 AG226 AI226">
    <cfRule type="expression" dxfId="872" priority="1475">
      <formula>AC223&lt;(AC224+AC225+AC226)</formula>
    </cfRule>
    <cfRule type="expression" dxfId="871" priority="1481">
      <formula>(AC226+AC225+AC224)&gt;AC222</formula>
    </cfRule>
  </conditionalFormatting>
  <conditionalFormatting sqref="AC223 AE223 AG223 AI223">
    <cfRule type="cellIs" dxfId="870" priority="1480" operator="equal">
      <formula>0</formula>
    </cfRule>
  </conditionalFormatting>
  <conditionalFormatting sqref="AC223 AE223 AG223 AI223">
    <cfRule type="expression" dxfId="869" priority="1478">
      <formula>AC223&lt;(AC224+AC225+AC226)</formula>
    </cfRule>
    <cfRule type="expression" dxfId="868" priority="1479">
      <formula>AC223&gt;AC222</formula>
    </cfRule>
  </conditionalFormatting>
  <conditionalFormatting sqref="M232">
    <cfRule type="expression" dxfId="867" priority="1468">
      <formula>M231&lt;(M232+M233+M234)</formula>
    </cfRule>
    <cfRule type="expression" dxfId="866" priority="1474">
      <formula>(M234+M233+M232)&gt;M230</formula>
    </cfRule>
  </conditionalFormatting>
  <conditionalFormatting sqref="M233">
    <cfRule type="expression" dxfId="865" priority="1467">
      <formula>M231&lt;(M232+M233+M234)</formula>
    </cfRule>
    <cfRule type="expression" dxfId="864" priority="1473">
      <formula>(M234+M233+M232)&gt;M230</formula>
    </cfRule>
  </conditionalFormatting>
  <conditionalFormatting sqref="M234">
    <cfRule type="expression" dxfId="863" priority="1466">
      <formula>M231&lt;(M232+M233+M234)</formula>
    </cfRule>
    <cfRule type="expression" dxfId="862" priority="1472">
      <formula>(M234+M233+M232)&gt;M230</formula>
    </cfRule>
  </conditionalFormatting>
  <conditionalFormatting sqref="M231">
    <cfRule type="cellIs" dxfId="861" priority="1471" operator="equal">
      <formula>0</formula>
    </cfRule>
  </conditionalFormatting>
  <conditionalFormatting sqref="M231">
    <cfRule type="expression" dxfId="860" priority="1469">
      <formula>M231&lt;(M232+M233+M234)</formula>
    </cfRule>
    <cfRule type="expression" dxfId="859" priority="1470">
      <formula>M231&gt;M230</formula>
    </cfRule>
  </conditionalFormatting>
  <conditionalFormatting sqref="O232">
    <cfRule type="expression" dxfId="858" priority="1459">
      <formula>O231&lt;(O232+O233+O234)</formula>
    </cfRule>
    <cfRule type="expression" dxfId="857" priority="1465">
      <formula>(O234+O233+O232)&gt;O230</formula>
    </cfRule>
  </conditionalFormatting>
  <conditionalFormatting sqref="O233">
    <cfRule type="expression" dxfId="856" priority="1458">
      <formula>O231&lt;(O232+O233+O234)</formula>
    </cfRule>
    <cfRule type="expression" dxfId="855" priority="1464">
      <formula>(O234+O233+O232)&gt;O230</formula>
    </cfRule>
  </conditionalFormatting>
  <conditionalFormatting sqref="O234">
    <cfRule type="expression" dxfId="854" priority="1457">
      <formula>O231&lt;(O232+O233+O234)</formula>
    </cfRule>
    <cfRule type="expression" dxfId="853" priority="1463">
      <formula>(O234+O233+O232)&gt;O230</formula>
    </cfRule>
  </conditionalFormatting>
  <conditionalFormatting sqref="O231">
    <cfRule type="cellIs" dxfId="852" priority="1462" operator="equal">
      <formula>0</formula>
    </cfRule>
  </conditionalFormatting>
  <conditionalFormatting sqref="O231">
    <cfRule type="expression" dxfId="851" priority="1460">
      <formula>O231&lt;(O232+O233+O234)</formula>
    </cfRule>
    <cfRule type="expression" dxfId="850" priority="1461">
      <formula>O231&gt;O230</formula>
    </cfRule>
  </conditionalFormatting>
  <conditionalFormatting sqref="Q232">
    <cfRule type="expression" dxfId="849" priority="1450">
      <formula>Q231&lt;(Q232+Q233+Q234)</formula>
    </cfRule>
    <cfRule type="expression" dxfId="848" priority="1456">
      <formula>(Q234+Q233+Q232)&gt;Q230</formula>
    </cfRule>
  </conditionalFormatting>
  <conditionalFormatting sqref="Q233">
    <cfRule type="expression" dxfId="847" priority="1449">
      <formula>Q231&lt;(Q232+Q233+Q234)</formula>
    </cfRule>
    <cfRule type="expression" dxfId="846" priority="1455">
      <formula>(Q234+Q233+Q232)&gt;Q230</formula>
    </cfRule>
  </conditionalFormatting>
  <conditionalFormatting sqref="Q234">
    <cfRule type="expression" dxfId="845" priority="1448">
      <formula>Q231&lt;(Q232+Q233+Q234)</formula>
    </cfRule>
    <cfRule type="expression" dxfId="844" priority="1454">
      <formula>(Q234+Q233+Q232)&gt;Q230</formula>
    </cfRule>
  </conditionalFormatting>
  <conditionalFormatting sqref="Q231">
    <cfRule type="cellIs" dxfId="843" priority="1453" operator="equal">
      <formula>0</formula>
    </cfRule>
  </conditionalFormatting>
  <conditionalFormatting sqref="Q231">
    <cfRule type="expression" dxfId="842" priority="1451">
      <formula>Q231&lt;(Q232+Q233+Q234)</formula>
    </cfRule>
    <cfRule type="expression" dxfId="841" priority="1452">
      <formula>Q231&gt;Q230</formula>
    </cfRule>
  </conditionalFormatting>
  <conditionalFormatting sqref="S232">
    <cfRule type="expression" dxfId="840" priority="1441">
      <formula>S231&lt;(S232+S233+S234)</formula>
    </cfRule>
    <cfRule type="expression" dxfId="839" priority="1447">
      <formula>(S234+S233+S232)&gt;S230</formula>
    </cfRule>
  </conditionalFormatting>
  <conditionalFormatting sqref="S233">
    <cfRule type="expression" dxfId="838" priority="1440">
      <formula>S231&lt;(S232+S233+S234)</formula>
    </cfRule>
    <cfRule type="expression" dxfId="837" priority="1446">
      <formula>(S234+S233+S232)&gt;S230</formula>
    </cfRule>
  </conditionalFormatting>
  <conditionalFormatting sqref="S234">
    <cfRule type="expression" dxfId="836" priority="1439">
      <formula>S231&lt;(S232+S233+S234)</formula>
    </cfRule>
    <cfRule type="expression" dxfId="835" priority="1445">
      <formula>(S234+S233+S232)&gt;S230</formula>
    </cfRule>
  </conditionalFormatting>
  <conditionalFormatting sqref="S231">
    <cfRule type="cellIs" dxfId="834" priority="1444" operator="equal">
      <formula>0</formula>
    </cfRule>
  </conditionalFormatting>
  <conditionalFormatting sqref="S231">
    <cfRule type="expression" dxfId="833" priority="1442">
      <formula>S231&lt;(S232+S233+S234)</formula>
    </cfRule>
    <cfRule type="expression" dxfId="832" priority="1443">
      <formula>S231&gt;S230</formula>
    </cfRule>
  </conditionalFormatting>
  <conditionalFormatting sqref="U232">
    <cfRule type="expression" dxfId="831" priority="1432">
      <formula>U231&lt;(U232+U233+U234)</formula>
    </cfRule>
    <cfRule type="expression" dxfId="830" priority="1438">
      <formula>(U234+U233+U232)&gt;U230</formula>
    </cfRule>
  </conditionalFormatting>
  <conditionalFormatting sqref="U233">
    <cfRule type="expression" dxfId="829" priority="1431">
      <formula>U231&lt;(U232+U233+U234)</formula>
    </cfRule>
    <cfRule type="expression" dxfId="828" priority="1437">
      <formula>(U234+U233+U232)&gt;U230</formula>
    </cfRule>
  </conditionalFormatting>
  <conditionalFormatting sqref="U234">
    <cfRule type="expression" dxfId="827" priority="1430">
      <formula>U231&lt;(U232+U233+U234)</formula>
    </cfRule>
    <cfRule type="expression" dxfId="826" priority="1436">
      <formula>(U234+U233+U232)&gt;U230</formula>
    </cfRule>
  </conditionalFormatting>
  <conditionalFormatting sqref="U231">
    <cfRule type="cellIs" dxfId="825" priority="1435" operator="equal">
      <formula>0</formula>
    </cfRule>
  </conditionalFormatting>
  <conditionalFormatting sqref="U231">
    <cfRule type="expression" dxfId="824" priority="1433">
      <formula>U231&lt;(U232+U233+U234)</formula>
    </cfRule>
    <cfRule type="expression" dxfId="823" priority="1434">
      <formula>U231&gt;U230</formula>
    </cfRule>
  </conditionalFormatting>
  <conditionalFormatting sqref="W232">
    <cfRule type="expression" dxfId="822" priority="1423">
      <formula>W231&lt;(W232+W233+W234)</formula>
    </cfRule>
    <cfRule type="expression" dxfId="821" priority="1429">
      <formula>(W234+W233+W232)&gt;W230</formula>
    </cfRule>
  </conditionalFormatting>
  <conditionalFormatting sqref="W233">
    <cfRule type="expression" dxfId="820" priority="1422">
      <formula>W231&lt;(W232+W233+W234)</formula>
    </cfRule>
    <cfRule type="expression" dxfId="819" priority="1428">
      <formula>(W234+W233+W232)&gt;W230</formula>
    </cfRule>
  </conditionalFormatting>
  <conditionalFormatting sqref="W234">
    <cfRule type="expression" dxfId="818" priority="1421">
      <formula>W231&lt;(W232+W233+W234)</formula>
    </cfRule>
    <cfRule type="expression" dxfId="817" priority="1427">
      <formula>(W234+W233+W232)&gt;W230</formula>
    </cfRule>
  </conditionalFormatting>
  <conditionalFormatting sqref="W231">
    <cfRule type="cellIs" dxfId="816" priority="1426" operator="equal">
      <formula>0</formula>
    </cfRule>
  </conditionalFormatting>
  <conditionalFormatting sqref="W231">
    <cfRule type="expression" dxfId="815" priority="1424">
      <formula>W231&lt;(W232+W233+W234)</formula>
    </cfRule>
    <cfRule type="expression" dxfId="814" priority="1425">
      <formula>W231&gt;W230</formula>
    </cfRule>
  </conditionalFormatting>
  <conditionalFormatting sqref="Y232">
    <cfRule type="expression" dxfId="813" priority="1414">
      <formula>Y231&lt;(Y232+Y233+Y234)</formula>
    </cfRule>
    <cfRule type="expression" dxfId="812" priority="1420">
      <formula>(Y234+Y233+Y232)&gt;Y230</formula>
    </cfRule>
  </conditionalFormatting>
  <conditionalFormatting sqref="Y233">
    <cfRule type="expression" dxfId="811" priority="1413">
      <formula>Y231&lt;(Y232+Y233+Y234)</formula>
    </cfRule>
    <cfRule type="expression" dxfId="810" priority="1419">
      <formula>(Y234+Y233+Y232)&gt;Y230</formula>
    </cfRule>
  </conditionalFormatting>
  <conditionalFormatting sqref="Y234">
    <cfRule type="expression" dxfId="809" priority="1412">
      <formula>Y231&lt;(Y232+Y233+Y234)</formula>
    </cfRule>
    <cfRule type="expression" dxfId="808" priority="1418">
      <formula>(Y234+Y233+Y232)&gt;Y230</formula>
    </cfRule>
  </conditionalFormatting>
  <conditionalFormatting sqref="Y231">
    <cfRule type="cellIs" dxfId="807" priority="1417" operator="equal">
      <formula>0</formula>
    </cfRule>
  </conditionalFormatting>
  <conditionalFormatting sqref="Y231">
    <cfRule type="expression" dxfId="806" priority="1415">
      <formula>Y231&lt;(Y232+Y233+Y234)</formula>
    </cfRule>
    <cfRule type="expression" dxfId="805" priority="1416">
      <formula>Y231&gt;Y230</formula>
    </cfRule>
  </conditionalFormatting>
  <conditionalFormatting sqref="AC232 AE232 AG232 AI232">
    <cfRule type="expression" dxfId="804" priority="1405">
      <formula>AC231&lt;(AC232+AC233+AC234)</formula>
    </cfRule>
    <cfRule type="expression" dxfId="803" priority="1411">
      <formula>(AC234+AC233+AC232)&gt;AC230</formula>
    </cfRule>
  </conditionalFormatting>
  <conditionalFormatting sqref="AC233 AE233 AG233 AI233">
    <cfRule type="expression" dxfId="802" priority="1404">
      <formula>AC231&lt;(AC232+AC233+AC234)</formula>
    </cfRule>
    <cfRule type="expression" dxfId="801" priority="1410">
      <formula>(AC234+AC233+AC232)&gt;AC230</formula>
    </cfRule>
  </conditionalFormatting>
  <conditionalFormatting sqref="AC234 AE234 AG234 AI234">
    <cfRule type="expression" dxfId="800" priority="1403">
      <formula>AC231&lt;(AC232+AC233+AC234)</formula>
    </cfRule>
    <cfRule type="expression" dxfId="799" priority="1409">
      <formula>(AC234+AC233+AC232)&gt;AC230</formula>
    </cfRule>
  </conditionalFormatting>
  <conditionalFormatting sqref="AC231 AE231 AG231 AI231">
    <cfRule type="cellIs" dxfId="798" priority="1408" operator="equal">
      <formula>0</formula>
    </cfRule>
  </conditionalFormatting>
  <conditionalFormatting sqref="AC231 AE231 AG231 AI231">
    <cfRule type="expression" dxfId="797" priority="1406">
      <formula>AC231&lt;(AC232+AC233+AC234)</formula>
    </cfRule>
    <cfRule type="expression" dxfId="796" priority="1407">
      <formula>AC231&gt;AC230</formula>
    </cfRule>
  </conditionalFormatting>
  <conditionalFormatting sqref="F44:Y44 AB44:AI44">
    <cfRule type="cellIs" dxfId="795" priority="1401" operator="equal">
      <formula>0</formula>
    </cfRule>
  </conditionalFormatting>
  <conditionalFormatting sqref="J148:AA148">
    <cfRule type="expression" dxfId="794" priority="3346">
      <formula>J146&gt;J148</formula>
    </cfRule>
  </conditionalFormatting>
  <conditionalFormatting sqref="AK66:AK67">
    <cfRule type="notContainsBlanks" dxfId="793" priority="1399">
      <formula>LEN(TRIM(AK66))&gt;0</formula>
    </cfRule>
  </conditionalFormatting>
  <conditionalFormatting sqref="AM70">
    <cfRule type="notContainsBlanks" dxfId="792" priority="1397">
      <formula>LEN(TRIM(AM70))&gt;0</formula>
    </cfRule>
  </conditionalFormatting>
  <conditionalFormatting sqref="AM66:AM67 AM70:AM71">
    <cfRule type="notContainsBlanks" dxfId="791" priority="1396">
      <formula>LEN(TRIM(AM66))&gt;0</formula>
    </cfRule>
  </conditionalFormatting>
  <conditionalFormatting sqref="AL66">
    <cfRule type="notContainsBlanks" dxfId="790" priority="1400">
      <formula>LEN(TRIM(AL66))&gt;0</formula>
    </cfRule>
  </conditionalFormatting>
  <conditionalFormatting sqref="AJ66:AJ67">
    <cfRule type="cellIs" dxfId="789" priority="1390" operator="equal">
      <formula>0</formula>
    </cfRule>
  </conditionalFormatting>
  <conditionalFormatting sqref="AK76:AK77">
    <cfRule type="notContainsBlanks" dxfId="788" priority="1387">
      <formula>LEN(TRIM(AK76))&gt;0</formula>
    </cfRule>
  </conditionalFormatting>
  <conditionalFormatting sqref="AM74">
    <cfRule type="notContainsBlanks" dxfId="787" priority="1386">
      <formula>LEN(TRIM(AM74))&gt;0</formula>
    </cfRule>
  </conditionalFormatting>
  <conditionalFormatting sqref="AM74:AM77">
    <cfRule type="notContainsBlanks" dxfId="786" priority="1385">
      <formula>LEN(TRIM(AM74))&gt;0</formula>
    </cfRule>
  </conditionalFormatting>
  <conditionalFormatting sqref="AK80:AK81">
    <cfRule type="notContainsBlanks" dxfId="785" priority="1379">
      <formula>LEN(TRIM(AK80))&gt;0</formula>
    </cfRule>
  </conditionalFormatting>
  <conditionalFormatting sqref="AM78">
    <cfRule type="notContainsBlanks" dxfId="784" priority="1378">
      <formula>LEN(TRIM(AM78))&gt;0</formula>
    </cfRule>
  </conditionalFormatting>
  <conditionalFormatting sqref="AM78:AM81">
    <cfRule type="notContainsBlanks" dxfId="783" priority="1377">
      <formula>LEN(TRIM(AM78))&gt;0</formula>
    </cfRule>
  </conditionalFormatting>
  <conditionalFormatting sqref="AK88:AK89">
    <cfRule type="notContainsBlanks" dxfId="782" priority="1370">
      <formula>LEN(TRIM(AK88))&gt;0</formula>
    </cfRule>
  </conditionalFormatting>
  <conditionalFormatting sqref="AM86">
    <cfRule type="notContainsBlanks" dxfId="781" priority="1369">
      <formula>LEN(TRIM(AM86))&gt;0</formula>
    </cfRule>
  </conditionalFormatting>
  <conditionalFormatting sqref="AM86:AM89">
    <cfRule type="notContainsBlanks" dxfId="780" priority="1368">
      <formula>LEN(TRIM(AM86))&gt;0</formula>
    </cfRule>
  </conditionalFormatting>
  <conditionalFormatting sqref="AK92:AK93">
    <cfRule type="notContainsBlanks" dxfId="779" priority="1361">
      <formula>LEN(TRIM(AK92))&gt;0</formula>
    </cfRule>
  </conditionalFormatting>
  <conditionalFormatting sqref="AM90">
    <cfRule type="notContainsBlanks" dxfId="778" priority="1360">
      <formula>LEN(TRIM(AM90))&gt;0</formula>
    </cfRule>
  </conditionalFormatting>
  <conditionalFormatting sqref="AM90:AM93">
    <cfRule type="notContainsBlanks" dxfId="777" priority="1359">
      <formula>LEN(TRIM(AM90))&gt;0</formula>
    </cfRule>
  </conditionalFormatting>
  <conditionalFormatting sqref="AK96:AK97">
    <cfRule type="notContainsBlanks" dxfId="776" priority="1352">
      <formula>LEN(TRIM(AK96))&gt;0</formula>
    </cfRule>
  </conditionalFormatting>
  <conditionalFormatting sqref="AM94">
    <cfRule type="notContainsBlanks" dxfId="775" priority="1351">
      <formula>LEN(TRIM(AM94))&gt;0</formula>
    </cfRule>
  </conditionalFormatting>
  <conditionalFormatting sqref="AM94:AM97">
    <cfRule type="notContainsBlanks" dxfId="774" priority="1350">
      <formula>LEN(TRIM(AM94))&gt;0</formula>
    </cfRule>
  </conditionalFormatting>
  <conditionalFormatting sqref="AK100:AK101">
    <cfRule type="notContainsBlanks" dxfId="773" priority="1343">
      <formula>LEN(TRIM(AK100))&gt;0</formula>
    </cfRule>
  </conditionalFormatting>
  <conditionalFormatting sqref="AM98">
    <cfRule type="notContainsBlanks" dxfId="772" priority="1342">
      <formula>LEN(TRIM(AM98))&gt;0</formula>
    </cfRule>
  </conditionalFormatting>
  <conditionalFormatting sqref="AM98:AM101">
    <cfRule type="notContainsBlanks" dxfId="771" priority="1341">
      <formula>LEN(TRIM(AM98))&gt;0</formula>
    </cfRule>
  </conditionalFormatting>
  <conditionalFormatting sqref="AK104:AK105">
    <cfRule type="notContainsBlanks" dxfId="770" priority="1334">
      <formula>LEN(TRIM(AK104))&gt;0</formula>
    </cfRule>
  </conditionalFormatting>
  <conditionalFormatting sqref="AM102">
    <cfRule type="notContainsBlanks" dxfId="769" priority="1333">
      <formula>LEN(TRIM(AM102))&gt;0</formula>
    </cfRule>
  </conditionalFormatting>
  <conditionalFormatting sqref="AM102:AM105">
    <cfRule type="notContainsBlanks" dxfId="768" priority="1332">
      <formula>LEN(TRIM(AM102))&gt;0</formula>
    </cfRule>
  </conditionalFormatting>
  <conditionalFormatting sqref="AK84:AK85">
    <cfRule type="notContainsBlanks" dxfId="767" priority="1307">
      <formula>LEN(TRIM(AK84))&gt;0</formula>
    </cfRule>
  </conditionalFormatting>
  <conditionalFormatting sqref="AM82">
    <cfRule type="notContainsBlanks" dxfId="766" priority="1306">
      <formula>LEN(TRIM(AM82))&gt;0</formula>
    </cfRule>
  </conditionalFormatting>
  <conditionalFormatting sqref="AM82:AM85">
    <cfRule type="notContainsBlanks" dxfId="765" priority="1305">
      <formula>LEN(TRIM(AM82))&gt;0</formula>
    </cfRule>
  </conditionalFormatting>
  <conditionalFormatting sqref="AJ74:AJ77">
    <cfRule type="cellIs" dxfId="764" priority="1285" operator="equal">
      <formula>0</formula>
    </cfRule>
  </conditionalFormatting>
  <conditionalFormatting sqref="AJ78:AJ81">
    <cfRule type="cellIs" dxfId="763" priority="1284" operator="equal">
      <formula>0</formula>
    </cfRule>
  </conditionalFormatting>
  <conditionalFormatting sqref="F52:Y52 AB52:AI52">
    <cfRule type="expression" dxfId="762" priority="1298">
      <formula>F53&gt;F52</formula>
    </cfRule>
  </conditionalFormatting>
  <conditionalFormatting sqref="AK106:AK107">
    <cfRule type="notContainsBlanks" dxfId="761" priority="1296">
      <formula>LEN(TRIM(AK106))&gt;0</formula>
    </cfRule>
  </conditionalFormatting>
  <conditionalFormatting sqref="AM106">
    <cfRule type="notContainsBlanks" dxfId="760" priority="1295">
      <formula>LEN(TRIM(AM106))&gt;0</formula>
    </cfRule>
  </conditionalFormatting>
  <conditionalFormatting sqref="AM106:AM107">
    <cfRule type="notContainsBlanks" dxfId="759" priority="1294">
      <formula>LEN(TRIM(AM106))&gt;0</formula>
    </cfRule>
  </conditionalFormatting>
  <conditionalFormatting sqref="AJ94:AJ97">
    <cfRule type="cellIs" dxfId="758" priority="1280" operator="equal">
      <formula>0</formula>
    </cfRule>
  </conditionalFormatting>
  <conditionalFormatting sqref="AJ98:AJ107">
    <cfRule type="cellIs" dxfId="757" priority="1279" operator="equal">
      <formula>0</formula>
    </cfRule>
  </conditionalFormatting>
  <conditionalFormatting sqref="AJ70:AJ71">
    <cfRule type="cellIs" dxfId="756" priority="1286" operator="equal">
      <formula>0</formula>
    </cfRule>
  </conditionalFormatting>
  <conditionalFormatting sqref="AJ82:AJ85">
    <cfRule type="cellIs" dxfId="755" priority="1283" operator="equal">
      <formula>0</formula>
    </cfRule>
  </conditionalFormatting>
  <conditionalFormatting sqref="AJ86:AJ89">
    <cfRule type="cellIs" dxfId="754" priority="1282" operator="equal">
      <formula>0</formula>
    </cfRule>
  </conditionalFormatting>
  <conditionalFormatting sqref="AJ90:AJ93">
    <cfRule type="cellIs" dxfId="753" priority="1281" operator="equal">
      <formula>0</formula>
    </cfRule>
  </conditionalFormatting>
  <conditionalFormatting sqref="Z358:AA373">
    <cfRule type="cellIs" dxfId="752" priority="1265" operator="equal">
      <formula>0</formula>
    </cfRule>
  </conditionalFormatting>
  <conditionalFormatting sqref="AJ51:AJ52">
    <cfRule type="cellIs" dxfId="751" priority="1277" operator="equal">
      <formula>0</formula>
    </cfRule>
  </conditionalFormatting>
  <conditionalFormatting sqref="AJ53">
    <cfRule type="cellIs" dxfId="750" priority="1276" operator="equal">
      <formula>0</formula>
    </cfRule>
  </conditionalFormatting>
  <conditionalFormatting sqref="M329">
    <cfRule type="expression" dxfId="749" priority="1262">
      <formula>M329&gt;M346</formula>
    </cfRule>
    <cfRule type="expression" dxfId="748" priority="1263">
      <formula>M329&gt;M346 &amp; EXACT($I$3,"1") &amp; EXACT($E$3,"1")</formula>
    </cfRule>
  </conditionalFormatting>
  <conditionalFormatting sqref="O329">
    <cfRule type="expression" dxfId="747" priority="1260">
      <formula>O329&gt;O346</formula>
    </cfRule>
    <cfRule type="expression" dxfId="746" priority="1261">
      <formula>O329&gt;O346 &amp; EXACT($I$3,"1") &amp; EXACT($E$3,"1")</formula>
    </cfRule>
  </conditionalFormatting>
  <conditionalFormatting sqref="Q329">
    <cfRule type="expression" dxfId="745" priority="1258">
      <formula>Q329&gt;Q346</formula>
    </cfRule>
    <cfRule type="expression" dxfId="744" priority="1259">
      <formula>Q329&gt;Q346 &amp; EXACT($I$3,"1") &amp; EXACT($E$3,"1")</formula>
    </cfRule>
  </conditionalFormatting>
  <conditionalFormatting sqref="S329">
    <cfRule type="expression" dxfId="743" priority="1256">
      <formula>S329&gt;S346</formula>
    </cfRule>
    <cfRule type="expression" dxfId="742" priority="1257">
      <formula>S329&gt;S346 &amp; EXACT($I$3,"1") &amp; EXACT($E$3,"1")</formula>
    </cfRule>
  </conditionalFormatting>
  <conditionalFormatting sqref="U329">
    <cfRule type="expression" dxfId="741" priority="1254">
      <formula>U329&gt;U346</formula>
    </cfRule>
    <cfRule type="expression" dxfId="740" priority="1255">
      <formula>U329&gt;U346 &amp; EXACT($I$3,"1") &amp; EXACT($E$3,"1")</formula>
    </cfRule>
  </conditionalFormatting>
  <conditionalFormatting sqref="W329">
    <cfRule type="expression" dxfId="739" priority="1252">
      <formula>W329&gt;W346</formula>
    </cfRule>
    <cfRule type="expression" dxfId="738" priority="1253">
      <formula>W329&gt;W346 &amp; EXACT($I$3,"1") &amp; EXACT($E$3,"1")</formula>
    </cfRule>
  </conditionalFormatting>
  <conditionalFormatting sqref="Y329">
    <cfRule type="expression" dxfId="737" priority="1250">
      <formula>Y329&gt;Y346</formula>
    </cfRule>
    <cfRule type="expression" dxfId="736" priority="1251">
      <formula>Y329&gt;Y346 &amp; EXACT($I$3,"1") &amp; EXACT($E$3,"1")</formula>
    </cfRule>
  </conditionalFormatting>
  <conditionalFormatting sqref="K346">
    <cfRule type="expression" dxfId="735" priority="1249">
      <formula>K329&gt;K346</formula>
    </cfRule>
  </conditionalFormatting>
  <conditionalFormatting sqref="M346">
    <cfRule type="expression" dxfId="734" priority="1248">
      <formula>M329&gt;M346</formula>
    </cfRule>
  </conditionalFormatting>
  <conditionalFormatting sqref="O346">
    <cfRule type="expression" dxfId="733" priority="1247">
      <formula>O329&gt;O346</formula>
    </cfRule>
  </conditionalFormatting>
  <conditionalFormatting sqref="Q346">
    <cfRule type="expression" dxfId="732" priority="1246">
      <formula>Q329&gt;Q346</formula>
    </cfRule>
  </conditionalFormatting>
  <conditionalFormatting sqref="S346">
    <cfRule type="expression" dxfId="731" priority="1245">
      <formula>S329&gt;S346</formula>
    </cfRule>
  </conditionalFormatting>
  <conditionalFormatting sqref="U346">
    <cfRule type="expression" dxfId="730" priority="1244">
      <formula>U329&gt;U346</formula>
    </cfRule>
  </conditionalFormatting>
  <conditionalFormatting sqref="W346">
    <cfRule type="expression" dxfId="729" priority="1243">
      <formula>W329&gt;W346</formula>
    </cfRule>
  </conditionalFormatting>
  <conditionalFormatting sqref="Y346">
    <cfRule type="expression" dxfId="728" priority="1242">
      <formula>Y329&gt;Y346</formula>
    </cfRule>
  </conditionalFormatting>
  <conditionalFormatting sqref="AA346:AI346">
    <cfRule type="expression" dxfId="727" priority="1241">
      <formula>AA329&gt;AA346</formula>
    </cfRule>
  </conditionalFormatting>
  <conditionalFormatting sqref="AK439:AK440">
    <cfRule type="notContainsBlanks" dxfId="726" priority="1238">
      <formula>LEN(TRIM(AK439))&gt;0</formula>
    </cfRule>
  </conditionalFormatting>
  <conditionalFormatting sqref="AM439">
    <cfRule type="notContainsBlanks" dxfId="725" priority="1237">
      <formula>LEN(TRIM(AM439))&gt;0</formula>
    </cfRule>
  </conditionalFormatting>
  <conditionalFormatting sqref="AJ439">
    <cfRule type="cellIs" dxfId="724" priority="1235" operator="equal">
      <formula>0</formula>
    </cfRule>
  </conditionalFormatting>
  <conditionalFormatting sqref="AJ440">
    <cfRule type="cellIs" dxfId="723" priority="1234" operator="equal">
      <formula>0</formula>
    </cfRule>
  </conditionalFormatting>
  <conditionalFormatting sqref="AJ438">
    <cfRule type="cellIs" dxfId="722" priority="1233" operator="equal">
      <formula>0</formula>
    </cfRule>
  </conditionalFormatting>
  <conditionalFormatting sqref="AM441">
    <cfRule type="notContainsBlanks" dxfId="721" priority="1228">
      <formula>LEN(TRIM(AM441))&gt;0</formula>
    </cfRule>
  </conditionalFormatting>
  <conditionalFormatting sqref="AK441">
    <cfRule type="notContainsBlanks" dxfId="720" priority="1227">
      <formula>LEN(TRIM(AK441))&gt;0</formula>
    </cfRule>
  </conditionalFormatting>
  <conditionalFormatting sqref="AJ441">
    <cfRule type="cellIs" dxfId="719" priority="1226" operator="equal">
      <formula>0</formula>
    </cfRule>
  </conditionalFormatting>
  <conditionalFormatting sqref="AM442">
    <cfRule type="notContainsBlanks" dxfId="718" priority="1223">
      <formula>LEN(TRIM(AM442))&gt;0</formula>
    </cfRule>
  </conditionalFormatting>
  <conditionalFormatting sqref="AK442">
    <cfRule type="notContainsBlanks" dxfId="717" priority="1222">
      <formula>LEN(TRIM(AK442))&gt;0</formula>
    </cfRule>
  </conditionalFormatting>
  <conditionalFormatting sqref="AJ442">
    <cfRule type="cellIs" dxfId="716" priority="1221" operator="equal">
      <formula>0</formula>
    </cfRule>
  </conditionalFormatting>
  <conditionalFormatting sqref="AM443:AM445">
    <cfRule type="notContainsBlanks" dxfId="715" priority="1213">
      <formula>LEN(TRIM(AM443))&gt;0</formula>
    </cfRule>
  </conditionalFormatting>
  <conditionalFormatting sqref="AK444:AK445">
    <cfRule type="notContainsBlanks" dxfId="714" priority="1212">
      <formula>LEN(TRIM(AK444))&gt;0</formula>
    </cfRule>
  </conditionalFormatting>
  <conditionalFormatting sqref="AM444">
    <cfRule type="notContainsBlanks" dxfId="713" priority="1211">
      <formula>LEN(TRIM(AM444))&gt;0</formula>
    </cfRule>
  </conditionalFormatting>
  <conditionalFormatting sqref="AM446">
    <cfRule type="notContainsBlanks" dxfId="712" priority="1205">
      <formula>LEN(TRIM(AM446))&gt;0</formula>
    </cfRule>
  </conditionalFormatting>
  <conditionalFormatting sqref="AK446">
    <cfRule type="notContainsBlanks" dxfId="711" priority="1204">
      <formula>LEN(TRIM(AK446))&gt;0</formula>
    </cfRule>
  </conditionalFormatting>
  <conditionalFormatting sqref="AM447">
    <cfRule type="notContainsBlanks" dxfId="710" priority="1200">
      <formula>LEN(TRIM(AM447))&gt;0</formula>
    </cfRule>
  </conditionalFormatting>
  <conditionalFormatting sqref="AK447">
    <cfRule type="notContainsBlanks" dxfId="709" priority="1199">
      <formula>LEN(TRIM(AK447))&gt;0</formula>
    </cfRule>
  </conditionalFormatting>
  <conditionalFormatting sqref="AM448:AM450">
    <cfRule type="notContainsBlanks" dxfId="708" priority="1190">
      <formula>LEN(TRIM(AM448))&gt;0</formula>
    </cfRule>
  </conditionalFormatting>
  <conditionalFormatting sqref="AK449:AK450">
    <cfRule type="notContainsBlanks" dxfId="707" priority="1189">
      <formula>LEN(TRIM(AK449))&gt;0</formula>
    </cfRule>
  </conditionalFormatting>
  <conditionalFormatting sqref="AM449">
    <cfRule type="notContainsBlanks" dxfId="706" priority="1188">
      <formula>LEN(TRIM(AM449))&gt;0</formula>
    </cfRule>
  </conditionalFormatting>
  <conditionalFormatting sqref="AM451">
    <cfRule type="notContainsBlanks" dxfId="705" priority="1182">
      <formula>LEN(TRIM(AM451))&gt;0</formula>
    </cfRule>
  </conditionalFormatting>
  <conditionalFormatting sqref="AK451">
    <cfRule type="notContainsBlanks" dxfId="704" priority="1181">
      <formula>LEN(TRIM(AK451))&gt;0</formula>
    </cfRule>
  </conditionalFormatting>
  <conditionalFormatting sqref="AM452">
    <cfRule type="notContainsBlanks" dxfId="703" priority="1177">
      <formula>LEN(TRIM(AM452))&gt;0</formula>
    </cfRule>
  </conditionalFormatting>
  <conditionalFormatting sqref="AK452">
    <cfRule type="notContainsBlanks" dxfId="702" priority="1176">
      <formula>LEN(TRIM(AK452))&gt;0</formula>
    </cfRule>
  </conditionalFormatting>
  <conditionalFormatting sqref="AM453:AM455">
    <cfRule type="notContainsBlanks" dxfId="701" priority="1167">
      <formula>LEN(TRIM(AM453))&gt;0</formula>
    </cfRule>
  </conditionalFormatting>
  <conditionalFormatting sqref="AK454:AK455">
    <cfRule type="notContainsBlanks" dxfId="700" priority="1166">
      <formula>LEN(TRIM(AK454))&gt;0</formula>
    </cfRule>
  </conditionalFormatting>
  <conditionalFormatting sqref="AM454">
    <cfRule type="notContainsBlanks" dxfId="699" priority="1165">
      <formula>LEN(TRIM(AM454))&gt;0</formula>
    </cfRule>
  </conditionalFormatting>
  <conditionalFormatting sqref="AM456">
    <cfRule type="notContainsBlanks" dxfId="698" priority="1159">
      <formula>LEN(TRIM(AM456))&gt;0</formula>
    </cfRule>
  </conditionalFormatting>
  <conditionalFormatting sqref="AK456">
    <cfRule type="notContainsBlanks" dxfId="697" priority="1158">
      <formula>LEN(TRIM(AK456))&gt;0</formula>
    </cfRule>
  </conditionalFormatting>
  <conditionalFormatting sqref="AJ445">
    <cfRule type="cellIs" dxfId="696" priority="1145" operator="equal">
      <formula>0</formula>
    </cfRule>
  </conditionalFormatting>
  <conditionalFormatting sqref="AM457">
    <cfRule type="notContainsBlanks" dxfId="695" priority="1154">
      <formula>LEN(TRIM(AM457))&gt;0</formula>
    </cfRule>
  </conditionalFormatting>
  <conditionalFormatting sqref="AK457">
    <cfRule type="notContainsBlanks" dxfId="694" priority="1153">
      <formula>LEN(TRIM(AK457))&gt;0</formula>
    </cfRule>
  </conditionalFormatting>
  <conditionalFormatting sqref="AJ447">
    <cfRule type="cellIs" dxfId="693" priority="1140" operator="equal">
      <formula>0</formula>
    </cfRule>
  </conditionalFormatting>
  <conditionalFormatting sqref="AJ444">
    <cfRule type="cellIs" dxfId="692" priority="1146" operator="equal">
      <formula>0</formula>
    </cfRule>
  </conditionalFormatting>
  <conditionalFormatting sqref="AJ443">
    <cfRule type="cellIs" dxfId="691" priority="1144" operator="equal">
      <formula>0</formula>
    </cfRule>
  </conditionalFormatting>
  <conditionalFormatting sqref="AJ446">
    <cfRule type="cellIs" dxfId="690" priority="1142" operator="equal">
      <formula>0</formula>
    </cfRule>
  </conditionalFormatting>
  <conditionalFormatting sqref="AJ449">
    <cfRule type="cellIs" dxfId="689" priority="1134" operator="equal">
      <formula>0</formula>
    </cfRule>
  </conditionalFormatting>
  <conditionalFormatting sqref="AJ450">
    <cfRule type="cellIs" dxfId="688" priority="1133" operator="equal">
      <formula>0</formula>
    </cfRule>
  </conditionalFormatting>
  <conditionalFormatting sqref="AJ448">
    <cfRule type="cellIs" dxfId="687" priority="1132" operator="equal">
      <formula>0</formula>
    </cfRule>
  </conditionalFormatting>
  <conditionalFormatting sqref="AJ451">
    <cfRule type="cellIs" dxfId="686" priority="1130" operator="equal">
      <formula>0</formula>
    </cfRule>
  </conditionalFormatting>
  <conditionalFormatting sqref="AJ452">
    <cfRule type="cellIs" dxfId="685" priority="1128" operator="equal">
      <formula>0</formula>
    </cfRule>
  </conditionalFormatting>
  <conditionalFormatting sqref="AJ454">
    <cfRule type="cellIs" dxfId="684" priority="1122" operator="equal">
      <formula>0</formula>
    </cfRule>
  </conditionalFormatting>
  <conditionalFormatting sqref="AJ455">
    <cfRule type="cellIs" dxfId="683" priority="1121" operator="equal">
      <formula>0</formula>
    </cfRule>
  </conditionalFormatting>
  <conditionalFormatting sqref="AJ453">
    <cfRule type="cellIs" dxfId="682" priority="1120" operator="equal">
      <formula>0</formula>
    </cfRule>
  </conditionalFormatting>
  <conditionalFormatting sqref="AJ456">
    <cfRule type="cellIs" dxfId="681" priority="1118" operator="equal">
      <formula>0</formula>
    </cfRule>
  </conditionalFormatting>
  <conditionalFormatting sqref="AJ457">
    <cfRule type="cellIs" dxfId="680" priority="1116" operator="equal">
      <formula>0</formula>
    </cfRule>
  </conditionalFormatting>
  <conditionalFormatting sqref="AM458:AM460">
    <cfRule type="notContainsBlanks" dxfId="679" priority="1108">
      <formula>LEN(TRIM(AM458))&gt;0</formula>
    </cfRule>
  </conditionalFormatting>
  <conditionalFormatting sqref="AK459:AK460">
    <cfRule type="notContainsBlanks" dxfId="678" priority="1107">
      <formula>LEN(TRIM(AK459))&gt;0</formula>
    </cfRule>
  </conditionalFormatting>
  <conditionalFormatting sqref="AM459">
    <cfRule type="notContainsBlanks" dxfId="677" priority="1106">
      <formula>LEN(TRIM(AM459))&gt;0</formula>
    </cfRule>
  </conditionalFormatting>
  <conditionalFormatting sqref="AJ459">
    <cfRule type="cellIs" dxfId="676" priority="1105" operator="equal">
      <formula>0</formula>
    </cfRule>
  </conditionalFormatting>
  <conditionalFormatting sqref="AJ460">
    <cfRule type="cellIs" dxfId="675" priority="1104" operator="equal">
      <formula>0</formula>
    </cfRule>
  </conditionalFormatting>
  <conditionalFormatting sqref="AJ458">
    <cfRule type="cellIs" dxfId="674" priority="1103" operator="equal">
      <formula>0</formula>
    </cfRule>
  </conditionalFormatting>
  <conditionalFormatting sqref="AM461">
    <cfRule type="notContainsBlanks" dxfId="673" priority="1100">
      <formula>LEN(TRIM(AM461))&gt;0</formula>
    </cfRule>
  </conditionalFormatting>
  <conditionalFormatting sqref="AK461">
    <cfRule type="notContainsBlanks" dxfId="672" priority="1099">
      <formula>LEN(TRIM(AK461))&gt;0</formula>
    </cfRule>
  </conditionalFormatting>
  <conditionalFormatting sqref="AJ461">
    <cfRule type="cellIs" dxfId="671" priority="1098" operator="equal">
      <formula>0</formula>
    </cfRule>
  </conditionalFormatting>
  <conditionalFormatting sqref="AM462">
    <cfRule type="notContainsBlanks" dxfId="670" priority="1095">
      <formula>LEN(TRIM(AM462))&gt;0</formula>
    </cfRule>
  </conditionalFormatting>
  <conditionalFormatting sqref="AK462">
    <cfRule type="notContainsBlanks" dxfId="669" priority="1094">
      <formula>LEN(TRIM(AK462))&gt;0</formula>
    </cfRule>
  </conditionalFormatting>
  <conditionalFormatting sqref="AJ462">
    <cfRule type="cellIs" dxfId="668" priority="1093" operator="equal">
      <formula>0</formula>
    </cfRule>
  </conditionalFormatting>
  <conditionalFormatting sqref="AM463:AM465">
    <cfRule type="notContainsBlanks" dxfId="667" priority="1085">
      <formula>LEN(TRIM(AM463))&gt;0</formula>
    </cfRule>
  </conditionalFormatting>
  <conditionalFormatting sqref="AK464:AK465">
    <cfRule type="notContainsBlanks" dxfId="666" priority="1084">
      <formula>LEN(TRIM(AK464))&gt;0</formula>
    </cfRule>
  </conditionalFormatting>
  <conditionalFormatting sqref="AM464">
    <cfRule type="notContainsBlanks" dxfId="665" priority="1083">
      <formula>LEN(TRIM(AM464))&gt;0</formula>
    </cfRule>
  </conditionalFormatting>
  <conditionalFormatting sqref="AM466">
    <cfRule type="notContainsBlanks" dxfId="664" priority="1081">
      <formula>LEN(TRIM(AM466))&gt;0</formula>
    </cfRule>
  </conditionalFormatting>
  <conditionalFormatting sqref="AK466">
    <cfRule type="notContainsBlanks" dxfId="663" priority="1080">
      <formula>LEN(TRIM(AK466))&gt;0</formula>
    </cfRule>
  </conditionalFormatting>
  <conditionalFormatting sqref="AM467">
    <cfRule type="notContainsBlanks" dxfId="662" priority="1078">
      <formula>LEN(TRIM(AM467))&gt;0</formula>
    </cfRule>
  </conditionalFormatting>
  <conditionalFormatting sqref="AK467">
    <cfRule type="notContainsBlanks" dxfId="661" priority="1077">
      <formula>LEN(TRIM(AK467))&gt;0</formula>
    </cfRule>
  </conditionalFormatting>
  <conditionalFormatting sqref="AM468:AM470">
    <cfRule type="notContainsBlanks" dxfId="660" priority="1074">
      <formula>LEN(TRIM(AM468))&gt;0</formula>
    </cfRule>
  </conditionalFormatting>
  <conditionalFormatting sqref="AK469:AK470">
    <cfRule type="notContainsBlanks" dxfId="659" priority="1073">
      <formula>LEN(TRIM(AK469))&gt;0</formula>
    </cfRule>
  </conditionalFormatting>
  <conditionalFormatting sqref="AM469">
    <cfRule type="notContainsBlanks" dxfId="658" priority="1072">
      <formula>LEN(TRIM(AM469))&gt;0</formula>
    </cfRule>
  </conditionalFormatting>
  <conditionalFormatting sqref="AM471">
    <cfRule type="notContainsBlanks" dxfId="657" priority="1070">
      <formula>LEN(TRIM(AM471))&gt;0</formula>
    </cfRule>
  </conditionalFormatting>
  <conditionalFormatting sqref="AK471">
    <cfRule type="notContainsBlanks" dxfId="656" priority="1069">
      <formula>LEN(TRIM(AK471))&gt;0</formula>
    </cfRule>
  </conditionalFormatting>
  <conditionalFormatting sqref="AM472">
    <cfRule type="notContainsBlanks" dxfId="655" priority="1067">
      <formula>LEN(TRIM(AM472))&gt;0</formula>
    </cfRule>
  </conditionalFormatting>
  <conditionalFormatting sqref="AK472">
    <cfRule type="notContainsBlanks" dxfId="654" priority="1066">
      <formula>LEN(TRIM(AK472))&gt;0</formula>
    </cfRule>
  </conditionalFormatting>
  <conditionalFormatting sqref="AM473:AM475">
    <cfRule type="notContainsBlanks" dxfId="653" priority="1063">
      <formula>LEN(TRIM(AM473))&gt;0</formula>
    </cfRule>
  </conditionalFormatting>
  <conditionalFormatting sqref="AK474:AK475">
    <cfRule type="notContainsBlanks" dxfId="652" priority="1062">
      <formula>LEN(TRIM(AK474))&gt;0</formula>
    </cfRule>
  </conditionalFormatting>
  <conditionalFormatting sqref="AM474">
    <cfRule type="notContainsBlanks" dxfId="651" priority="1061">
      <formula>LEN(TRIM(AM474))&gt;0</formula>
    </cfRule>
  </conditionalFormatting>
  <conditionalFormatting sqref="AM476">
    <cfRule type="notContainsBlanks" dxfId="650" priority="1059">
      <formula>LEN(TRIM(AM476))&gt;0</formula>
    </cfRule>
  </conditionalFormatting>
  <conditionalFormatting sqref="AK476">
    <cfRule type="notContainsBlanks" dxfId="649" priority="1058">
      <formula>LEN(TRIM(AK476))&gt;0</formula>
    </cfRule>
  </conditionalFormatting>
  <conditionalFormatting sqref="AJ465">
    <cfRule type="cellIs" dxfId="648" priority="1053" operator="equal">
      <formula>0</formula>
    </cfRule>
  </conditionalFormatting>
  <conditionalFormatting sqref="AM477">
    <cfRule type="notContainsBlanks" dxfId="647" priority="1056">
      <formula>LEN(TRIM(AM477))&gt;0</formula>
    </cfRule>
  </conditionalFormatting>
  <conditionalFormatting sqref="AK477">
    <cfRule type="notContainsBlanks" dxfId="646" priority="1055">
      <formula>LEN(TRIM(AK477))&gt;0</formula>
    </cfRule>
  </conditionalFormatting>
  <conditionalFormatting sqref="AJ467">
    <cfRule type="cellIs" dxfId="645" priority="1048" operator="equal">
      <formula>0</formula>
    </cfRule>
  </conditionalFormatting>
  <conditionalFormatting sqref="AJ464">
    <cfRule type="cellIs" dxfId="644" priority="1054" operator="equal">
      <formula>0</formula>
    </cfRule>
  </conditionalFormatting>
  <conditionalFormatting sqref="AJ463">
    <cfRule type="cellIs" dxfId="643" priority="1052" operator="equal">
      <formula>0</formula>
    </cfRule>
  </conditionalFormatting>
  <conditionalFormatting sqref="AJ466">
    <cfRule type="cellIs" dxfId="642" priority="1050" operator="equal">
      <formula>0</formula>
    </cfRule>
  </conditionalFormatting>
  <conditionalFormatting sqref="AJ469">
    <cfRule type="cellIs" dxfId="641" priority="1042" operator="equal">
      <formula>0</formula>
    </cfRule>
  </conditionalFormatting>
  <conditionalFormatting sqref="AJ470">
    <cfRule type="cellIs" dxfId="640" priority="1041" operator="equal">
      <formula>0</formula>
    </cfRule>
  </conditionalFormatting>
  <conditionalFormatting sqref="AJ468">
    <cfRule type="cellIs" dxfId="639" priority="1040" operator="equal">
      <formula>0</formula>
    </cfRule>
  </conditionalFormatting>
  <conditionalFormatting sqref="AJ471">
    <cfRule type="cellIs" dxfId="638" priority="1038" operator="equal">
      <formula>0</formula>
    </cfRule>
  </conditionalFormatting>
  <conditionalFormatting sqref="AJ472">
    <cfRule type="cellIs" dxfId="637" priority="1036" operator="equal">
      <formula>0</formula>
    </cfRule>
  </conditionalFormatting>
  <conditionalFormatting sqref="AJ474">
    <cfRule type="cellIs" dxfId="636" priority="1030" operator="equal">
      <formula>0</formula>
    </cfRule>
  </conditionalFormatting>
  <conditionalFormatting sqref="AJ475">
    <cfRule type="cellIs" dxfId="635" priority="1029" operator="equal">
      <formula>0</formula>
    </cfRule>
  </conditionalFormatting>
  <conditionalFormatting sqref="AJ473">
    <cfRule type="cellIs" dxfId="634" priority="1028" operator="equal">
      <formula>0</formula>
    </cfRule>
  </conditionalFormatting>
  <conditionalFormatting sqref="AJ476">
    <cfRule type="cellIs" dxfId="633" priority="1026" operator="equal">
      <formula>0</formula>
    </cfRule>
  </conditionalFormatting>
  <conditionalFormatting sqref="AJ477">
    <cfRule type="cellIs" dxfId="632" priority="1024" operator="equal">
      <formula>0</formula>
    </cfRule>
  </conditionalFormatting>
  <conditionalFormatting sqref="AM478:AM480">
    <cfRule type="notContainsBlanks" dxfId="631" priority="1016">
      <formula>LEN(TRIM(AM478))&gt;0</formula>
    </cfRule>
  </conditionalFormatting>
  <conditionalFormatting sqref="AK479:AK480">
    <cfRule type="notContainsBlanks" dxfId="630" priority="1015">
      <formula>LEN(TRIM(AK479))&gt;0</formula>
    </cfRule>
  </conditionalFormatting>
  <conditionalFormatting sqref="AM479">
    <cfRule type="notContainsBlanks" dxfId="629" priority="1014">
      <formula>LEN(TRIM(AM479))&gt;0</formula>
    </cfRule>
  </conditionalFormatting>
  <conditionalFormatting sqref="AJ479">
    <cfRule type="cellIs" dxfId="628" priority="1013" operator="equal">
      <formula>0</formula>
    </cfRule>
  </conditionalFormatting>
  <conditionalFormatting sqref="AJ480">
    <cfRule type="cellIs" dxfId="627" priority="1012" operator="equal">
      <formula>0</formula>
    </cfRule>
  </conditionalFormatting>
  <conditionalFormatting sqref="AJ478">
    <cfRule type="cellIs" dxfId="626" priority="1011" operator="equal">
      <formula>0</formula>
    </cfRule>
  </conditionalFormatting>
  <conditionalFormatting sqref="AM481">
    <cfRule type="notContainsBlanks" dxfId="625" priority="1008">
      <formula>LEN(TRIM(AM481))&gt;0</formula>
    </cfRule>
  </conditionalFormatting>
  <conditionalFormatting sqref="AK481">
    <cfRule type="notContainsBlanks" dxfId="624" priority="1007">
      <formula>LEN(TRIM(AK481))&gt;0</formula>
    </cfRule>
  </conditionalFormatting>
  <conditionalFormatting sqref="AJ481">
    <cfRule type="cellIs" dxfId="623" priority="1006" operator="equal">
      <formula>0</formula>
    </cfRule>
  </conditionalFormatting>
  <conditionalFormatting sqref="AM482">
    <cfRule type="notContainsBlanks" dxfId="622" priority="1003">
      <formula>LEN(TRIM(AM482))&gt;0</formula>
    </cfRule>
  </conditionalFormatting>
  <conditionalFormatting sqref="AK482">
    <cfRule type="notContainsBlanks" dxfId="621" priority="1002">
      <formula>LEN(TRIM(AK482))&gt;0</formula>
    </cfRule>
  </conditionalFormatting>
  <conditionalFormatting sqref="AJ482">
    <cfRule type="cellIs" dxfId="620" priority="1001" operator="equal">
      <formula>0</formula>
    </cfRule>
  </conditionalFormatting>
  <conditionalFormatting sqref="AM483:AM485">
    <cfRule type="notContainsBlanks" dxfId="619" priority="993">
      <formula>LEN(TRIM(AM483))&gt;0</formula>
    </cfRule>
  </conditionalFormatting>
  <conditionalFormatting sqref="AK484:AK485">
    <cfRule type="notContainsBlanks" dxfId="618" priority="992">
      <formula>LEN(TRIM(AK484))&gt;0</formula>
    </cfRule>
  </conditionalFormatting>
  <conditionalFormatting sqref="AM484">
    <cfRule type="notContainsBlanks" dxfId="617" priority="991">
      <formula>LEN(TRIM(AM484))&gt;0</formula>
    </cfRule>
  </conditionalFormatting>
  <conditionalFormatting sqref="AM486">
    <cfRule type="notContainsBlanks" dxfId="616" priority="989">
      <formula>LEN(TRIM(AM486))&gt;0</formula>
    </cfRule>
  </conditionalFormatting>
  <conditionalFormatting sqref="AK486">
    <cfRule type="notContainsBlanks" dxfId="615" priority="988">
      <formula>LEN(TRIM(AK486))&gt;0</formula>
    </cfRule>
  </conditionalFormatting>
  <conditionalFormatting sqref="AM487">
    <cfRule type="notContainsBlanks" dxfId="614" priority="986">
      <formula>LEN(TRIM(AM487))&gt;0</formula>
    </cfRule>
  </conditionalFormatting>
  <conditionalFormatting sqref="AK487">
    <cfRule type="notContainsBlanks" dxfId="613" priority="985">
      <formula>LEN(TRIM(AK487))&gt;0</formula>
    </cfRule>
  </conditionalFormatting>
  <conditionalFormatting sqref="AM488:AM490">
    <cfRule type="notContainsBlanks" dxfId="612" priority="982">
      <formula>LEN(TRIM(AM488))&gt;0</formula>
    </cfRule>
  </conditionalFormatting>
  <conditionalFormatting sqref="AK489:AK490">
    <cfRule type="notContainsBlanks" dxfId="611" priority="981">
      <formula>LEN(TRIM(AK489))&gt;0</formula>
    </cfRule>
  </conditionalFormatting>
  <conditionalFormatting sqref="AM489">
    <cfRule type="notContainsBlanks" dxfId="610" priority="980">
      <formula>LEN(TRIM(AM489))&gt;0</formula>
    </cfRule>
  </conditionalFormatting>
  <conditionalFormatting sqref="AM491">
    <cfRule type="notContainsBlanks" dxfId="609" priority="978">
      <formula>LEN(TRIM(AM491))&gt;0</formula>
    </cfRule>
  </conditionalFormatting>
  <conditionalFormatting sqref="AK491">
    <cfRule type="notContainsBlanks" dxfId="608" priority="977">
      <formula>LEN(TRIM(AK491))&gt;0</formula>
    </cfRule>
  </conditionalFormatting>
  <conditionalFormatting sqref="AM492">
    <cfRule type="notContainsBlanks" dxfId="607" priority="975">
      <formula>LEN(TRIM(AM492))&gt;0</formula>
    </cfRule>
  </conditionalFormatting>
  <conditionalFormatting sqref="AK492">
    <cfRule type="notContainsBlanks" dxfId="606" priority="974">
      <formula>LEN(TRIM(AK492))&gt;0</formula>
    </cfRule>
  </conditionalFormatting>
  <conditionalFormatting sqref="AM493:AM495">
    <cfRule type="notContainsBlanks" dxfId="605" priority="971">
      <formula>LEN(TRIM(AM493))&gt;0</formula>
    </cfRule>
  </conditionalFormatting>
  <conditionalFormatting sqref="AK494:AK495">
    <cfRule type="notContainsBlanks" dxfId="604" priority="970">
      <formula>LEN(TRIM(AK494))&gt;0</formula>
    </cfRule>
  </conditionalFormatting>
  <conditionalFormatting sqref="AM494">
    <cfRule type="notContainsBlanks" dxfId="603" priority="969">
      <formula>LEN(TRIM(AM494))&gt;0</formula>
    </cfRule>
  </conditionalFormatting>
  <conditionalFormatting sqref="AM496">
    <cfRule type="notContainsBlanks" dxfId="602" priority="967">
      <formula>LEN(TRIM(AM496))&gt;0</formula>
    </cfRule>
  </conditionalFormatting>
  <conditionalFormatting sqref="AK496">
    <cfRule type="notContainsBlanks" dxfId="601" priority="966">
      <formula>LEN(TRIM(AK496))&gt;0</formula>
    </cfRule>
  </conditionalFormatting>
  <conditionalFormatting sqref="AJ485">
    <cfRule type="cellIs" dxfId="600" priority="961" operator="equal">
      <formula>0</formula>
    </cfRule>
  </conditionalFormatting>
  <conditionalFormatting sqref="AM497">
    <cfRule type="notContainsBlanks" dxfId="599" priority="964">
      <formula>LEN(TRIM(AM497))&gt;0</formula>
    </cfRule>
  </conditionalFormatting>
  <conditionalFormatting sqref="AK497">
    <cfRule type="notContainsBlanks" dxfId="598" priority="963">
      <formula>LEN(TRIM(AK497))&gt;0</formula>
    </cfRule>
  </conditionalFormatting>
  <conditionalFormatting sqref="AJ487">
    <cfRule type="cellIs" dxfId="597" priority="956" operator="equal">
      <formula>0</formula>
    </cfRule>
  </conditionalFormatting>
  <conditionalFormatting sqref="AJ484">
    <cfRule type="cellIs" dxfId="596" priority="962" operator="equal">
      <formula>0</formula>
    </cfRule>
  </conditionalFormatting>
  <conditionalFormatting sqref="AJ483">
    <cfRule type="cellIs" dxfId="595" priority="960" operator="equal">
      <formula>0</formula>
    </cfRule>
  </conditionalFormatting>
  <conditionalFormatting sqref="AJ486">
    <cfRule type="cellIs" dxfId="594" priority="958" operator="equal">
      <formula>0</formula>
    </cfRule>
  </conditionalFormatting>
  <conditionalFormatting sqref="AJ489">
    <cfRule type="cellIs" dxfId="593" priority="950" operator="equal">
      <formula>0</formula>
    </cfRule>
  </conditionalFormatting>
  <conditionalFormatting sqref="AJ490">
    <cfRule type="cellIs" dxfId="592" priority="949" operator="equal">
      <formula>0</formula>
    </cfRule>
  </conditionalFormatting>
  <conditionalFormatting sqref="AJ488">
    <cfRule type="cellIs" dxfId="591" priority="948" operator="equal">
      <formula>0</formula>
    </cfRule>
  </conditionalFormatting>
  <conditionalFormatting sqref="AJ491">
    <cfRule type="cellIs" dxfId="590" priority="946" operator="equal">
      <formula>0</formula>
    </cfRule>
  </conditionalFormatting>
  <conditionalFormatting sqref="AJ492">
    <cfRule type="cellIs" dxfId="589" priority="944" operator="equal">
      <formula>0</formula>
    </cfRule>
  </conditionalFormatting>
  <conditionalFormatting sqref="AJ494">
    <cfRule type="cellIs" dxfId="588" priority="938" operator="equal">
      <formula>0</formula>
    </cfRule>
  </conditionalFormatting>
  <conditionalFormatting sqref="AJ495">
    <cfRule type="cellIs" dxfId="587" priority="937" operator="equal">
      <formula>0</formula>
    </cfRule>
  </conditionalFormatting>
  <conditionalFormatting sqref="AJ493">
    <cfRule type="cellIs" dxfId="586" priority="936" operator="equal">
      <formula>0</formula>
    </cfRule>
  </conditionalFormatting>
  <conditionalFormatting sqref="AJ496">
    <cfRule type="cellIs" dxfId="585" priority="934" operator="equal">
      <formula>0</formula>
    </cfRule>
  </conditionalFormatting>
  <conditionalFormatting sqref="AJ497">
    <cfRule type="cellIs" dxfId="584" priority="932" operator="equal">
      <formula>0</formula>
    </cfRule>
  </conditionalFormatting>
  <conditionalFormatting sqref="AK498">
    <cfRule type="notContainsBlanks" dxfId="583" priority="924">
      <formula>LEN(TRIM(AK498))&gt;0</formula>
    </cfRule>
  </conditionalFormatting>
  <conditionalFormatting sqref="AM498:AM500">
    <cfRule type="notContainsBlanks" dxfId="582" priority="923">
      <formula>LEN(TRIM(AM498))&gt;0</formula>
    </cfRule>
  </conditionalFormatting>
  <conditionalFormatting sqref="AK499:AK500">
    <cfRule type="notContainsBlanks" dxfId="581" priority="922">
      <formula>LEN(TRIM(AK499))&gt;0</formula>
    </cfRule>
  </conditionalFormatting>
  <conditionalFormatting sqref="AM499">
    <cfRule type="notContainsBlanks" dxfId="580" priority="921">
      <formula>LEN(TRIM(AM499))&gt;0</formula>
    </cfRule>
  </conditionalFormatting>
  <conditionalFormatting sqref="AM501">
    <cfRule type="notContainsBlanks" dxfId="579" priority="919">
      <formula>LEN(TRIM(AM501))&gt;0</formula>
    </cfRule>
  </conditionalFormatting>
  <conditionalFormatting sqref="AK501">
    <cfRule type="notContainsBlanks" dxfId="578" priority="918">
      <formula>LEN(TRIM(AK501))&gt;0</formula>
    </cfRule>
  </conditionalFormatting>
  <conditionalFormatting sqref="AM502">
    <cfRule type="notContainsBlanks" dxfId="577" priority="916">
      <formula>LEN(TRIM(AM502))&gt;0</formula>
    </cfRule>
  </conditionalFormatting>
  <conditionalFormatting sqref="AK502">
    <cfRule type="notContainsBlanks" dxfId="576" priority="915">
      <formula>LEN(TRIM(AK502))&gt;0</formula>
    </cfRule>
  </conditionalFormatting>
  <conditionalFormatting sqref="AJ499">
    <cfRule type="cellIs" dxfId="575" priority="914" operator="equal">
      <formula>0</formula>
    </cfRule>
  </conditionalFormatting>
  <conditionalFormatting sqref="AJ500">
    <cfRule type="cellIs" dxfId="574" priority="913" operator="equal">
      <formula>0</formula>
    </cfRule>
  </conditionalFormatting>
  <conditionalFormatting sqref="AJ498">
    <cfRule type="cellIs" dxfId="573" priority="912" operator="equal">
      <formula>0</formula>
    </cfRule>
  </conditionalFormatting>
  <conditionalFormatting sqref="AJ501">
    <cfRule type="cellIs" dxfId="572" priority="910" operator="equal">
      <formula>0</formula>
    </cfRule>
  </conditionalFormatting>
  <conditionalFormatting sqref="AJ502">
    <cfRule type="cellIs" dxfId="571" priority="908" operator="equal">
      <formula>0</formula>
    </cfRule>
  </conditionalFormatting>
  <conditionalFormatting sqref="F498:AI501">
    <cfRule type="expression" dxfId="570" priority="904">
      <formula>F498=0</formula>
    </cfRule>
  </conditionalFormatting>
  <conditionalFormatting sqref="F502:AI502">
    <cfRule type="expression" dxfId="569" priority="846">
      <formula>F502=0</formula>
    </cfRule>
  </conditionalFormatting>
  <conditionalFormatting sqref="G478 I478 K478">
    <cfRule type="expression" dxfId="568" priority="792">
      <formula>G478=0</formula>
    </cfRule>
  </conditionalFormatting>
  <conditionalFormatting sqref="F478:K478">
    <cfRule type="cellIs" dxfId="567" priority="791" operator="equal">
      <formula>0</formula>
    </cfRule>
  </conditionalFormatting>
  <conditionalFormatting sqref="G482 I482 K482">
    <cfRule type="expression" dxfId="566" priority="790">
      <formula>G482=0</formula>
    </cfRule>
  </conditionalFormatting>
  <conditionalFormatting sqref="F482:K482">
    <cfRule type="cellIs" dxfId="565" priority="789" operator="equal">
      <formula>0</formula>
    </cfRule>
  </conditionalFormatting>
  <conditionalFormatting sqref="F438:AI438">
    <cfRule type="cellIs" dxfId="564" priority="759" operator="equal">
      <formula>0</formula>
    </cfRule>
  </conditionalFormatting>
  <conditionalFormatting sqref="AH359:AI359">
    <cfRule type="cellIs" dxfId="563" priority="723" operator="equal">
      <formula>0</formula>
    </cfRule>
  </conditionalFormatting>
  <conditionalFormatting sqref="AH372:AI372">
    <cfRule type="cellIs" dxfId="562" priority="722" operator="equal">
      <formula>0</formula>
    </cfRule>
  </conditionalFormatting>
  <conditionalFormatting sqref="AH372:AI372">
    <cfRule type="cellIs" dxfId="561" priority="721" operator="equal">
      <formula>0</formula>
    </cfRule>
  </conditionalFormatting>
  <conditionalFormatting sqref="AH359:AI359 AH372:AI372">
    <cfRule type="cellIs" dxfId="560" priority="720" operator="equal">
      <formula>0</formula>
    </cfRule>
  </conditionalFormatting>
  <conditionalFormatting sqref="AH413:AI413">
    <cfRule type="cellIs" dxfId="559" priority="719" operator="equal">
      <formula>0</formula>
    </cfRule>
  </conditionalFormatting>
  <conditionalFormatting sqref="AH372:AI372">
    <cfRule type="expression" dxfId="558" priority="718">
      <formula>AH372&lt;&gt;AH359</formula>
    </cfRule>
  </conditionalFormatting>
  <conditionalFormatting sqref="AH238:AI238">
    <cfRule type="cellIs" dxfId="557" priority="717" operator="equal">
      <formula>0</formula>
    </cfRule>
  </conditionalFormatting>
  <conditionalFormatting sqref="AH358:AI358">
    <cfRule type="cellIs" dxfId="556" priority="716" operator="equal">
      <formula>0</formula>
    </cfRule>
  </conditionalFormatting>
  <conditionalFormatting sqref="AH391:AI391">
    <cfRule type="cellIs" dxfId="555" priority="713" operator="equal">
      <formula>0</formula>
    </cfRule>
  </conditionalFormatting>
  <conditionalFormatting sqref="AH391:AI391">
    <cfRule type="cellIs" dxfId="554" priority="712" operator="equal">
      <formula>0</formula>
    </cfRule>
  </conditionalFormatting>
  <conditionalFormatting sqref="AH391:AI391">
    <cfRule type="cellIs" dxfId="553" priority="711" operator="equal">
      <formula>0</formula>
    </cfRule>
  </conditionalFormatting>
  <conditionalFormatting sqref="AH359:AI359">
    <cfRule type="expression" dxfId="552" priority="710">
      <formula>AH358&gt;AH359</formula>
    </cfRule>
  </conditionalFormatting>
  <conditionalFormatting sqref="AH434:AI434">
    <cfRule type="expression" dxfId="551" priority="709">
      <formula>AH434&gt;AH432</formula>
    </cfRule>
  </conditionalFormatting>
  <conditionalFormatting sqref="AH359:AI359">
    <cfRule type="expression" dxfId="550" priority="708">
      <formula>AH346&gt;AH359</formula>
    </cfRule>
  </conditionalFormatting>
  <conditionalFormatting sqref="AH360:AI365">
    <cfRule type="expression" dxfId="549" priority="707">
      <formula>AH347&gt;AH360</formula>
    </cfRule>
  </conditionalFormatting>
  <conditionalFormatting sqref="AH358:AI358">
    <cfRule type="expression" dxfId="548" priority="706">
      <formula>AH358&gt;AH359</formula>
    </cfRule>
  </conditionalFormatting>
  <conditionalFormatting sqref="AH372:AI372">
    <cfRule type="expression" dxfId="547" priority="705">
      <formula>AH372&lt;&gt;AH359</formula>
    </cfRule>
  </conditionalFormatting>
  <conditionalFormatting sqref="AH359:AI359">
    <cfRule type="expression" dxfId="546" priority="704">
      <formula>AH372&lt;&gt;AH359</formula>
    </cfRule>
  </conditionalFormatting>
  <conditionalFormatting sqref="AH359:AI359">
    <cfRule type="expression" dxfId="545" priority="703">
      <formula>AH339&gt;AH359</formula>
    </cfRule>
  </conditionalFormatting>
  <conditionalFormatting sqref="AH359:AI359">
    <cfRule type="expression" dxfId="544" priority="702">
      <formula>AH379&gt;AH359</formula>
    </cfRule>
  </conditionalFormatting>
  <conditionalFormatting sqref="AH359:AI359">
    <cfRule type="expression" dxfId="543" priority="701">
      <formula>SUM(AH182:AH183)&gt;AH359</formula>
    </cfRule>
  </conditionalFormatting>
  <conditionalFormatting sqref="AH414:AI420">
    <cfRule type="expression" dxfId="542" priority="699">
      <formula>AH414&gt;AH$408</formula>
    </cfRule>
  </conditionalFormatting>
  <conditionalFormatting sqref="AH408:AI408">
    <cfRule type="expression" dxfId="541" priority="698">
      <formula>AH414&gt;AH$408</formula>
    </cfRule>
  </conditionalFormatting>
  <conditionalFormatting sqref="AH434:AI434">
    <cfRule type="expression" dxfId="540" priority="697">
      <formula>AH432&gt;AH434</formula>
    </cfRule>
  </conditionalFormatting>
  <conditionalFormatting sqref="AH18:AI18">
    <cfRule type="cellIs" dxfId="539" priority="696" operator="equal">
      <formula>0</formula>
    </cfRule>
  </conditionalFormatting>
  <conditionalFormatting sqref="AH14:AI14">
    <cfRule type="cellIs" dxfId="538" priority="695" operator="equal">
      <formula>0</formula>
    </cfRule>
  </conditionalFormatting>
  <conditionalFormatting sqref="AH14:AI14">
    <cfRule type="expression" dxfId="537" priority="694">
      <formula>AH54&gt;AH14</formula>
    </cfRule>
  </conditionalFormatting>
  <conditionalFormatting sqref="AH240:AI240">
    <cfRule type="cellIs" dxfId="536" priority="693" operator="equal">
      <formula>0</formula>
    </cfRule>
  </conditionalFormatting>
  <conditionalFormatting sqref="AH239:AI239">
    <cfRule type="expression" dxfId="535" priority="692">
      <formula>AH239&gt;AH238</formula>
    </cfRule>
  </conditionalFormatting>
  <conditionalFormatting sqref="AH238:AI238">
    <cfRule type="expression" dxfId="534" priority="691">
      <formula>AH239&gt;AH238</formula>
    </cfRule>
  </conditionalFormatting>
  <conditionalFormatting sqref="AH240:AI240">
    <cfRule type="expression" dxfId="533" priority="690">
      <formula>AH240&gt;AH239</formula>
    </cfRule>
  </conditionalFormatting>
  <conditionalFormatting sqref="AH239:AI239">
    <cfRule type="expression" dxfId="532" priority="689">
      <formula>AH240&gt;AH239</formula>
    </cfRule>
  </conditionalFormatting>
  <conditionalFormatting sqref="AH242:AI242">
    <cfRule type="expression" dxfId="531" priority="688">
      <formula>AH242&gt;AH241</formula>
    </cfRule>
  </conditionalFormatting>
  <conditionalFormatting sqref="AH241:AI241">
    <cfRule type="expression" dxfId="530" priority="687">
      <formula>AH242&gt;AH241</formula>
    </cfRule>
  </conditionalFormatting>
  <conditionalFormatting sqref="AH244:AI244">
    <cfRule type="expression" dxfId="529" priority="686">
      <formula>AH244&gt;AH243</formula>
    </cfRule>
  </conditionalFormatting>
  <conditionalFormatting sqref="AH243:AI243">
    <cfRule type="expression" dxfId="528" priority="685">
      <formula>AH244&gt;AH243</formula>
    </cfRule>
  </conditionalFormatting>
  <conditionalFormatting sqref="AH247:AI247">
    <cfRule type="cellIs" dxfId="527" priority="684" operator="equal">
      <formula>0</formula>
    </cfRule>
  </conditionalFormatting>
  <conditionalFormatting sqref="AH249:AI249">
    <cfRule type="cellIs" dxfId="526" priority="683" operator="equal">
      <formula>0</formula>
    </cfRule>
  </conditionalFormatting>
  <conditionalFormatting sqref="AH248:AI248">
    <cfRule type="expression" dxfId="525" priority="682">
      <formula>AH248&gt;AH247</formula>
    </cfRule>
  </conditionalFormatting>
  <conditionalFormatting sqref="AH247:AI247">
    <cfRule type="expression" dxfId="524" priority="681">
      <formula>AH248&gt;AH247</formula>
    </cfRule>
  </conditionalFormatting>
  <conditionalFormatting sqref="AH249:AI249">
    <cfRule type="expression" dxfId="523" priority="680">
      <formula>AH249&gt;AH248</formula>
    </cfRule>
  </conditionalFormatting>
  <conditionalFormatting sqref="AH248:AI248">
    <cfRule type="expression" dxfId="522" priority="679">
      <formula>AH249&gt;AH248</formula>
    </cfRule>
  </conditionalFormatting>
  <conditionalFormatting sqref="AH251:AI251">
    <cfRule type="expression" dxfId="521" priority="678">
      <formula>AH251&gt;AH250</formula>
    </cfRule>
  </conditionalFormatting>
  <conditionalFormatting sqref="AH250:AI250">
    <cfRule type="expression" dxfId="520" priority="677">
      <formula>AH251&gt;AH250</formula>
    </cfRule>
  </conditionalFormatting>
  <conditionalFormatting sqref="AH253:AI253">
    <cfRule type="expression" dxfId="519" priority="676">
      <formula>AH253&gt;AH252</formula>
    </cfRule>
  </conditionalFormatting>
  <conditionalFormatting sqref="AH252:AI252">
    <cfRule type="expression" dxfId="518" priority="675">
      <formula>AH253&gt;AH252</formula>
    </cfRule>
  </conditionalFormatting>
  <conditionalFormatting sqref="AH258:AI258">
    <cfRule type="cellIs" dxfId="517" priority="674" operator="equal">
      <formula>0</formula>
    </cfRule>
  </conditionalFormatting>
  <conditionalFormatting sqref="AH257:AI257">
    <cfRule type="expression" dxfId="516" priority="673">
      <formula>AH257&gt;AH256</formula>
    </cfRule>
  </conditionalFormatting>
  <conditionalFormatting sqref="AH256:AI256">
    <cfRule type="expression" dxfId="515" priority="672">
      <formula>AH257&gt;AH256</formula>
    </cfRule>
  </conditionalFormatting>
  <conditionalFormatting sqref="AH258:AI258">
    <cfRule type="expression" dxfId="514" priority="671">
      <formula>AH258&gt;AH257</formula>
    </cfRule>
  </conditionalFormatting>
  <conditionalFormatting sqref="AH257:AI257">
    <cfRule type="expression" dxfId="513" priority="670">
      <formula>AH258&gt;AH257</formula>
    </cfRule>
  </conditionalFormatting>
  <conditionalFormatting sqref="AH260:AI260">
    <cfRule type="expression" dxfId="512" priority="669">
      <formula>AH260&gt;AH259</formula>
    </cfRule>
  </conditionalFormatting>
  <conditionalFormatting sqref="AH259:AI259">
    <cfRule type="expression" dxfId="511" priority="668">
      <formula>AH260&gt;AH259</formula>
    </cfRule>
  </conditionalFormatting>
  <conditionalFormatting sqref="AH262:AI262">
    <cfRule type="expression" dxfId="510" priority="667">
      <formula>AH262&gt;AH261</formula>
    </cfRule>
  </conditionalFormatting>
  <conditionalFormatting sqref="AH261:AI261">
    <cfRule type="expression" dxfId="509" priority="666">
      <formula>AH262&gt;AH261</formula>
    </cfRule>
  </conditionalFormatting>
  <conditionalFormatting sqref="AH265:AI265">
    <cfRule type="cellIs" dxfId="508" priority="665" operator="equal">
      <formula>0</formula>
    </cfRule>
  </conditionalFormatting>
  <conditionalFormatting sqref="AH267:AI267">
    <cfRule type="cellIs" dxfId="507" priority="664" operator="equal">
      <formula>0</formula>
    </cfRule>
  </conditionalFormatting>
  <conditionalFormatting sqref="AH266:AI266">
    <cfRule type="expression" dxfId="506" priority="663">
      <formula>AH266&gt;AH265</formula>
    </cfRule>
  </conditionalFormatting>
  <conditionalFormatting sqref="AH265:AI265">
    <cfRule type="expression" dxfId="505" priority="662">
      <formula>AH266&gt;AH265</formula>
    </cfRule>
  </conditionalFormatting>
  <conditionalFormatting sqref="AH267:AI267">
    <cfRule type="expression" dxfId="504" priority="661">
      <formula>AH267&gt;AH266</formula>
    </cfRule>
  </conditionalFormatting>
  <conditionalFormatting sqref="AH266:AI266">
    <cfRule type="expression" dxfId="503" priority="660">
      <formula>AH267&gt;AH266</formula>
    </cfRule>
  </conditionalFormatting>
  <conditionalFormatting sqref="AH269:AI269">
    <cfRule type="expression" dxfId="502" priority="659">
      <formula>AH269&gt;AH268</formula>
    </cfRule>
  </conditionalFormatting>
  <conditionalFormatting sqref="AH268:AI268">
    <cfRule type="expression" dxfId="501" priority="658">
      <formula>AH269&gt;AH268</formula>
    </cfRule>
  </conditionalFormatting>
  <conditionalFormatting sqref="AH271:AI271">
    <cfRule type="expression" dxfId="500" priority="657">
      <formula>AH271&gt;AH270</formula>
    </cfRule>
  </conditionalFormatting>
  <conditionalFormatting sqref="AH270:AI270">
    <cfRule type="expression" dxfId="499" priority="656">
      <formula>AH271&gt;AH270</formula>
    </cfRule>
  </conditionalFormatting>
  <conditionalFormatting sqref="AM68:AM69">
    <cfRule type="notContainsBlanks" dxfId="498" priority="653">
      <formula>LEN(TRIM(AM68))&gt;0</formula>
    </cfRule>
  </conditionalFormatting>
  <conditionalFormatting sqref="AL68">
    <cfRule type="notContainsBlanks" dxfId="497" priority="655">
      <formula>LEN(TRIM(AL68))&gt;0</formula>
    </cfRule>
  </conditionalFormatting>
  <conditionalFormatting sqref="AJ68:AJ69">
    <cfRule type="cellIs" dxfId="496" priority="652" operator="equal">
      <formula>0</formula>
    </cfRule>
  </conditionalFormatting>
  <conditionalFormatting sqref="AM72">
    <cfRule type="notContainsBlanks" dxfId="495" priority="650">
      <formula>LEN(TRIM(AM72))&gt;0</formula>
    </cfRule>
  </conditionalFormatting>
  <conditionalFormatting sqref="AM72:AM73">
    <cfRule type="notContainsBlanks" dxfId="494" priority="649">
      <formula>LEN(TRIM(AM72))&gt;0</formula>
    </cfRule>
  </conditionalFormatting>
  <conditionalFormatting sqref="AJ72:AJ73">
    <cfRule type="cellIs" dxfId="493" priority="648" operator="equal">
      <formula>0</formula>
    </cfRule>
  </conditionalFormatting>
  <conditionalFormatting sqref="L68:AA68">
    <cfRule type="expression" dxfId="492" priority="647">
      <formula>L68&gt;L66</formula>
    </cfRule>
  </conditionalFormatting>
  <conditionalFormatting sqref="L66:AA66">
    <cfRule type="expression" dxfId="491" priority="646">
      <formula>L68&gt;L66</formula>
    </cfRule>
  </conditionalFormatting>
  <conditionalFormatting sqref="L67:AA67">
    <cfRule type="expression" dxfId="490" priority="645">
      <formula>L69&gt;L67</formula>
    </cfRule>
  </conditionalFormatting>
  <conditionalFormatting sqref="L69:AA69">
    <cfRule type="expression" dxfId="489" priority="644">
      <formula>L69&gt;L67</formula>
    </cfRule>
  </conditionalFormatting>
  <conditionalFormatting sqref="L72:AA72">
    <cfRule type="expression" dxfId="488" priority="643">
      <formula>L72&gt;L70</formula>
    </cfRule>
  </conditionalFormatting>
  <conditionalFormatting sqref="L70:AA70">
    <cfRule type="expression" dxfId="487" priority="642">
      <formula>L72&gt;L70</formula>
    </cfRule>
  </conditionalFormatting>
  <conditionalFormatting sqref="L71:AA71">
    <cfRule type="expression" dxfId="486" priority="641">
      <formula>L73&gt;L71</formula>
    </cfRule>
  </conditionalFormatting>
  <conditionalFormatting sqref="L73:AA73">
    <cfRule type="expression" dxfId="485" priority="640">
      <formula>L73&gt;L71</formula>
    </cfRule>
  </conditionalFormatting>
  <conditionalFormatting sqref="L76:AA76">
    <cfRule type="expression" dxfId="484" priority="639">
      <formula>L76&gt;L74</formula>
    </cfRule>
  </conditionalFormatting>
  <conditionalFormatting sqref="L74:AA74">
    <cfRule type="expression" dxfId="483" priority="638">
      <formula>L76&gt;L74</formula>
    </cfRule>
  </conditionalFormatting>
  <conditionalFormatting sqref="L75:AA75">
    <cfRule type="expression" dxfId="482" priority="637">
      <formula>L77&gt;L75</formula>
    </cfRule>
  </conditionalFormatting>
  <conditionalFormatting sqref="L77:AA77">
    <cfRule type="expression" dxfId="481" priority="636">
      <formula>L77&gt;L75</formula>
    </cfRule>
  </conditionalFormatting>
  <conditionalFormatting sqref="M80">
    <cfRule type="expression" dxfId="480" priority="635">
      <formula>M80&gt;M78</formula>
    </cfRule>
  </conditionalFormatting>
  <conditionalFormatting sqref="M78">
    <cfRule type="expression" dxfId="479" priority="634">
      <formula>M80&gt;M78</formula>
    </cfRule>
  </conditionalFormatting>
  <conditionalFormatting sqref="M79">
    <cfRule type="expression" dxfId="478" priority="633">
      <formula>M81&gt;M79</formula>
    </cfRule>
  </conditionalFormatting>
  <conditionalFormatting sqref="M81">
    <cfRule type="expression" dxfId="477" priority="632">
      <formula>M81&gt;M79</formula>
    </cfRule>
  </conditionalFormatting>
  <conditionalFormatting sqref="O80">
    <cfRule type="expression" dxfId="476" priority="631">
      <formula>O80&gt;O78</formula>
    </cfRule>
  </conditionalFormatting>
  <conditionalFormatting sqref="O78">
    <cfRule type="expression" dxfId="475" priority="630">
      <formula>O80&gt;O78</formula>
    </cfRule>
  </conditionalFormatting>
  <conditionalFormatting sqref="O79">
    <cfRule type="expression" dxfId="474" priority="629">
      <formula>O81&gt;O79</formula>
    </cfRule>
  </conditionalFormatting>
  <conditionalFormatting sqref="O81">
    <cfRule type="expression" dxfId="473" priority="628">
      <formula>O81&gt;O79</formula>
    </cfRule>
  </conditionalFormatting>
  <conditionalFormatting sqref="Q80">
    <cfRule type="expression" dxfId="472" priority="627">
      <formula>Q80&gt;Q78</formula>
    </cfRule>
  </conditionalFormatting>
  <conditionalFormatting sqref="Q78">
    <cfRule type="expression" dxfId="471" priority="626">
      <formula>Q80&gt;Q78</formula>
    </cfRule>
  </conditionalFormatting>
  <conditionalFormatting sqref="Q79">
    <cfRule type="expression" dxfId="470" priority="625">
      <formula>Q81&gt;Q79</formula>
    </cfRule>
  </conditionalFormatting>
  <conditionalFormatting sqref="Q81">
    <cfRule type="expression" dxfId="469" priority="624">
      <formula>Q81&gt;Q79</formula>
    </cfRule>
  </conditionalFormatting>
  <conditionalFormatting sqref="S80">
    <cfRule type="expression" dxfId="468" priority="623">
      <formula>S80&gt;S78</formula>
    </cfRule>
  </conditionalFormatting>
  <conditionalFormatting sqref="S78">
    <cfRule type="expression" dxfId="467" priority="622">
      <formula>S80&gt;S78</formula>
    </cfRule>
  </conditionalFormatting>
  <conditionalFormatting sqref="S79">
    <cfRule type="expression" dxfId="466" priority="621">
      <formula>S81&gt;S79</formula>
    </cfRule>
  </conditionalFormatting>
  <conditionalFormatting sqref="S81">
    <cfRule type="expression" dxfId="465" priority="620">
      <formula>S81&gt;S79</formula>
    </cfRule>
  </conditionalFormatting>
  <conditionalFormatting sqref="U80">
    <cfRule type="expression" dxfId="464" priority="619">
      <formula>U80&gt;U78</formula>
    </cfRule>
  </conditionalFormatting>
  <conditionalFormatting sqref="U78">
    <cfRule type="expression" dxfId="463" priority="618">
      <formula>U80&gt;U78</formula>
    </cfRule>
  </conditionalFormatting>
  <conditionalFormatting sqref="U79">
    <cfRule type="expression" dxfId="462" priority="617">
      <formula>U81&gt;U79</formula>
    </cfRule>
  </conditionalFormatting>
  <conditionalFormatting sqref="U81">
    <cfRule type="expression" dxfId="461" priority="616">
      <formula>U81&gt;U79</formula>
    </cfRule>
  </conditionalFormatting>
  <conditionalFormatting sqref="W80">
    <cfRule type="expression" dxfId="460" priority="615">
      <formula>W80&gt;W78</formula>
    </cfRule>
  </conditionalFormatting>
  <conditionalFormatting sqref="W78">
    <cfRule type="expression" dxfId="459" priority="614">
      <formula>W80&gt;W78</formula>
    </cfRule>
  </conditionalFormatting>
  <conditionalFormatting sqref="W79">
    <cfRule type="expression" dxfId="458" priority="613">
      <formula>W81&gt;W79</formula>
    </cfRule>
  </conditionalFormatting>
  <conditionalFormatting sqref="W81">
    <cfRule type="expression" dxfId="457" priority="612">
      <formula>W81&gt;W79</formula>
    </cfRule>
  </conditionalFormatting>
  <conditionalFormatting sqref="Y80">
    <cfRule type="expression" dxfId="456" priority="611">
      <formula>Y80&gt;Y78</formula>
    </cfRule>
  </conditionalFormatting>
  <conditionalFormatting sqref="Y78">
    <cfRule type="expression" dxfId="455" priority="610">
      <formula>Y80&gt;Y78</formula>
    </cfRule>
  </conditionalFormatting>
  <conditionalFormatting sqref="Y79">
    <cfRule type="expression" dxfId="454" priority="609">
      <formula>Y81&gt;Y79</formula>
    </cfRule>
  </conditionalFormatting>
  <conditionalFormatting sqref="Y81">
    <cfRule type="expression" dxfId="453" priority="608">
      <formula>Y81&gt;Y79</formula>
    </cfRule>
  </conditionalFormatting>
  <conditionalFormatting sqref="AA80">
    <cfRule type="expression" dxfId="452" priority="607">
      <formula>AA80&gt;AA78</formula>
    </cfRule>
  </conditionalFormatting>
  <conditionalFormatting sqref="AA78">
    <cfRule type="expression" dxfId="451" priority="606">
      <formula>AA80&gt;AA78</formula>
    </cfRule>
  </conditionalFormatting>
  <conditionalFormatting sqref="AA79">
    <cfRule type="expression" dxfId="450" priority="605">
      <formula>AA81&gt;AA79</formula>
    </cfRule>
  </conditionalFormatting>
  <conditionalFormatting sqref="AA81">
    <cfRule type="expression" dxfId="449" priority="604">
      <formula>AA81&gt;AA79</formula>
    </cfRule>
  </conditionalFormatting>
  <conditionalFormatting sqref="M84">
    <cfRule type="expression" dxfId="448" priority="603">
      <formula>M84&gt;M82</formula>
    </cfRule>
  </conditionalFormatting>
  <conditionalFormatting sqref="M82">
    <cfRule type="expression" dxfId="447" priority="602">
      <formula>M84&gt;M82</formula>
    </cfRule>
  </conditionalFormatting>
  <conditionalFormatting sqref="M83">
    <cfRule type="expression" dxfId="446" priority="601">
      <formula>M85&gt;M83</formula>
    </cfRule>
  </conditionalFormatting>
  <conditionalFormatting sqref="M85">
    <cfRule type="expression" dxfId="445" priority="600">
      <formula>M85&gt;M83</formula>
    </cfRule>
  </conditionalFormatting>
  <conditionalFormatting sqref="O84">
    <cfRule type="expression" dxfId="444" priority="599">
      <formula>O84&gt;O82</formula>
    </cfRule>
  </conditionalFormatting>
  <conditionalFormatting sqref="O82">
    <cfRule type="expression" dxfId="443" priority="598">
      <formula>O84&gt;O82</formula>
    </cfRule>
  </conditionalFormatting>
  <conditionalFormatting sqref="O83">
    <cfRule type="expression" dxfId="442" priority="597">
      <formula>O85&gt;O83</formula>
    </cfRule>
  </conditionalFormatting>
  <conditionalFormatting sqref="O85">
    <cfRule type="expression" dxfId="441" priority="596">
      <formula>O85&gt;O83</formula>
    </cfRule>
  </conditionalFormatting>
  <conditionalFormatting sqref="Q84">
    <cfRule type="expression" dxfId="440" priority="595">
      <formula>Q84&gt;Q82</formula>
    </cfRule>
  </conditionalFormatting>
  <conditionalFormatting sqref="Q82">
    <cfRule type="expression" dxfId="439" priority="594">
      <formula>Q84&gt;Q82</formula>
    </cfRule>
  </conditionalFormatting>
  <conditionalFormatting sqref="Q83">
    <cfRule type="expression" dxfId="438" priority="593">
      <formula>Q85&gt;Q83</formula>
    </cfRule>
  </conditionalFormatting>
  <conditionalFormatting sqref="Q85">
    <cfRule type="expression" dxfId="437" priority="592">
      <formula>Q85&gt;Q83</formula>
    </cfRule>
  </conditionalFormatting>
  <conditionalFormatting sqref="S84">
    <cfRule type="expression" dxfId="436" priority="591">
      <formula>S84&gt;S82</formula>
    </cfRule>
  </conditionalFormatting>
  <conditionalFormatting sqref="S82">
    <cfRule type="expression" dxfId="435" priority="590">
      <formula>S84&gt;S82</formula>
    </cfRule>
  </conditionalFormatting>
  <conditionalFormatting sqref="S83">
    <cfRule type="expression" dxfId="434" priority="589">
      <formula>S85&gt;S83</formula>
    </cfRule>
  </conditionalFormatting>
  <conditionalFormatting sqref="S85">
    <cfRule type="expression" dxfId="433" priority="588">
      <formula>S85&gt;S83</formula>
    </cfRule>
  </conditionalFormatting>
  <conditionalFormatting sqref="U84">
    <cfRule type="expression" dxfId="432" priority="587">
      <formula>U84&gt;U82</formula>
    </cfRule>
  </conditionalFormatting>
  <conditionalFormatting sqref="U82">
    <cfRule type="expression" dxfId="431" priority="586">
      <formula>U84&gt;U82</formula>
    </cfRule>
  </conditionalFormatting>
  <conditionalFormatting sqref="U83">
    <cfRule type="expression" dxfId="430" priority="585">
      <formula>U85&gt;U83</formula>
    </cfRule>
  </conditionalFormatting>
  <conditionalFormatting sqref="U85">
    <cfRule type="expression" dxfId="429" priority="584">
      <formula>U85&gt;U83</formula>
    </cfRule>
  </conditionalFormatting>
  <conditionalFormatting sqref="W84">
    <cfRule type="expression" dxfId="428" priority="583">
      <formula>W84&gt;W82</formula>
    </cfRule>
  </conditionalFormatting>
  <conditionalFormatting sqref="W82">
    <cfRule type="expression" dxfId="427" priority="582">
      <formula>W84&gt;W82</formula>
    </cfRule>
  </conditionalFormatting>
  <conditionalFormatting sqref="W83">
    <cfRule type="expression" dxfId="426" priority="581">
      <formula>W85&gt;W83</formula>
    </cfRule>
  </conditionalFormatting>
  <conditionalFormatting sqref="W85">
    <cfRule type="expression" dxfId="425" priority="580">
      <formula>W85&gt;W83</formula>
    </cfRule>
  </conditionalFormatting>
  <conditionalFormatting sqref="Y84">
    <cfRule type="expression" dxfId="424" priority="579">
      <formula>Y84&gt;Y82</formula>
    </cfRule>
  </conditionalFormatting>
  <conditionalFormatting sqref="Y82">
    <cfRule type="expression" dxfId="423" priority="578">
      <formula>Y84&gt;Y82</formula>
    </cfRule>
  </conditionalFormatting>
  <conditionalFormatting sqref="Y83">
    <cfRule type="expression" dxfId="422" priority="577">
      <formula>Y85&gt;Y83</formula>
    </cfRule>
  </conditionalFormatting>
  <conditionalFormatting sqref="Y85">
    <cfRule type="expression" dxfId="421" priority="576">
      <formula>Y85&gt;Y83</formula>
    </cfRule>
  </conditionalFormatting>
  <conditionalFormatting sqref="AA84">
    <cfRule type="expression" dxfId="420" priority="575">
      <formula>AA84&gt;AA82</formula>
    </cfRule>
  </conditionalFormatting>
  <conditionalFormatting sqref="AA82">
    <cfRule type="expression" dxfId="419" priority="574">
      <formula>AA84&gt;AA82</formula>
    </cfRule>
  </conditionalFormatting>
  <conditionalFormatting sqref="AA83">
    <cfRule type="expression" dxfId="418" priority="573">
      <formula>AA85&gt;AA83</formula>
    </cfRule>
  </conditionalFormatting>
  <conditionalFormatting sqref="AA85">
    <cfRule type="expression" dxfId="417" priority="572">
      <formula>AA85&gt;AA83</formula>
    </cfRule>
  </conditionalFormatting>
  <conditionalFormatting sqref="L88:AA88">
    <cfRule type="expression" dxfId="416" priority="571">
      <formula>L88&gt;L86</formula>
    </cfRule>
  </conditionalFormatting>
  <conditionalFormatting sqref="L86:AA86">
    <cfRule type="expression" dxfId="415" priority="570">
      <formula>L88&gt;L86</formula>
    </cfRule>
  </conditionalFormatting>
  <conditionalFormatting sqref="L87:AA87">
    <cfRule type="expression" dxfId="414" priority="569">
      <formula>L89&gt;L87</formula>
    </cfRule>
  </conditionalFormatting>
  <conditionalFormatting sqref="L89:AA89">
    <cfRule type="expression" dxfId="413" priority="568">
      <formula>L89&gt;L87</formula>
    </cfRule>
  </conditionalFormatting>
  <conditionalFormatting sqref="L92:AA92">
    <cfRule type="expression" dxfId="412" priority="567">
      <formula>L92&gt;L90</formula>
    </cfRule>
  </conditionalFormatting>
  <conditionalFormatting sqref="L90:AA90">
    <cfRule type="expression" dxfId="411" priority="566">
      <formula>L92&gt;L90</formula>
    </cfRule>
  </conditionalFormatting>
  <conditionalFormatting sqref="L91:AA91">
    <cfRule type="expression" dxfId="410" priority="565">
      <formula>L93&gt;L91</formula>
    </cfRule>
  </conditionalFormatting>
  <conditionalFormatting sqref="L93:AA93">
    <cfRule type="expression" dxfId="409" priority="564">
      <formula>L93&gt;L91</formula>
    </cfRule>
  </conditionalFormatting>
  <conditionalFormatting sqref="L96:AA96">
    <cfRule type="expression" dxfId="408" priority="563">
      <formula>L96&gt;L94</formula>
    </cfRule>
  </conditionalFormatting>
  <conditionalFormatting sqref="L94:AA94">
    <cfRule type="expression" dxfId="407" priority="562">
      <formula>L96&gt;L94</formula>
    </cfRule>
  </conditionalFormatting>
  <conditionalFormatting sqref="L95:AA95">
    <cfRule type="expression" dxfId="406" priority="561">
      <formula>L97&gt;L95</formula>
    </cfRule>
  </conditionalFormatting>
  <conditionalFormatting sqref="L97:AA97">
    <cfRule type="expression" dxfId="405" priority="560">
      <formula>L97&gt;L95</formula>
    </cfRule>
  </conditionalFormatting>
  <conditionalFormatting sqref="L100:AA100">
    <cfRule type="expression" dxfId="404" priority="559">
      <formula>L100&gt;L98</formula>
    </cfRule>
  </conditionalFormatting>
  <conditionalFormatting sqref="L98:AA98">
    <cfRule type="expression" dxfId="403" priority="558">
      <formula>L100&gt;L98</formula>
    </cfRule>
  </conditionalFormatting>
  <conditionalFormatting sqref="L99:AA99">
    <cfRule type="expression" dxfId="402" priority="557">
      <formula>L101&gt;L99</formula>
    </cfRule>
  </conditionalFormatting>
  <conditionalFormatting sqref="L101:AA101">
    <cfRule type="expression" dxfId="401" priority="556">
      <formula>L101&gt;L99</formula>
    </cfRule>
  </conditionalFormatting>
  <conditionalFormatting sqref="L104:AA104">
    <cfRule type="expression" dxfId="400" priority="555">
      <formula>L104&gt;L102</formula>
    </cfRule>
  </conditionalFormatting>
  <conditionalFormatting sqref="L102:AA102">
    <cfRule type="expression" dxfId="399" priority="554">
      <formula>L104&gt;L102</formula>
    </cfRule>
  </conditionalFormatting>
  <conditionalFormatting sqref="L103:AA103">
    <cfRule type="expression" dxfId="398" priority="553">
      <formula>L105&gt;L103</formula>
    </cfRule>
  </conditionalFormatting>
  <conditionalFormatting sqref="L105:AA105">
    <cfRule type="expression" dxfId="397" priority="552">
      <formula>L105&gt;L103</formula>
    </cfRule>
  </conditionalFormatting>
  <conditionalFormatting sqref="AK68:AK69">
    <cfRule type="notContainsBlanks" dxfId="396" priority="551">
      <formula>LEN(TRIM(AK68))&gt;0</formula>
    </cfRule>
  </conditionalFormatting>
  <conditionalFormatting sqref="AK70:AK71">
    <cfRule type="notContainsBlanks" dxfId="395" priority="550">
      <formula>LEN(TRIM(AK70))&gt;0</formula>
    </cfRule>
  </conditionalFormatting>
  <conditionalFormatting sqref="AK72:AK73">
    <cfRule type="notContainsBlanks" dxfId="394" priority="549">
      <formula>LEN(TRIM(AK72))&gt;0</formula>
    </cfRule>
  </conditionalFormatting>
  <conditionalFormatting sqref="AK74:AK75">
    <cfRule type="notContainsBlanks" dxfId="393" priority="548">
      <formula>LEN(TRIM(AK74))&gt;0</formula>
    </cfRule>
  </conditionalFormatting>
  <conditionalFormatting sqref="AK78:AK79">
    <cfRule type="notContainsBlanks" dxfId="392" priority="547">
      <formula>LEN(TRIM(AK78))&gt;0</formula>
    </cfRule>
  </conditionalFormatting>
  <conditionalFormatting sqref="AK82:AK83">
    <cfRule type="notContainsBlanks" dxfId="391" priority="546">
      <formula>LEN(TRIM(AK82))&gt;0</formula>
    </cfRule>
  </conditionalFormatting>
  <conditionalFormatting sqref="AK86:AK87">
    <cfRule type="notContainsBlanks" dxfId="390" priority="545">
      <formula>LEN(TRIM(AK86))&gt;0</formula>
    </cfRule>
  </conditionalFormatting>
  <conditionalFormatting sqref="AK90:AK91">
    <cfRule type="notContainsBlanks" dxfId="389" priority="544">
      <formula>LEN(TRIM(AK90))&gt;0</formula>
    </cfRule>
  </conditionalFormatting>
  <conditionalFormatting sqref="AK94:AK95">
    <cfRule type="notContainsBlanks" dxfId="388" priority="543">
      <formula>LEN(TRIM(AK94))&gt;0</formula>
    </cfRule>
  </conditionalFormatting>
  <conditionalFormatting sqref="AK98:AK99">
    <cfRule type="notContainsBlanks" dxfId="387" priority="542">
      <formula>LEN(TRIM(AK98))&gt;0</formula>
    </cfRule>
  </conditionalFormatting>
  <conditionalFormatting sqref="AK102:AK103">
    <cfRule type="notContainsBlanks" dxfId="386" priority="541">
      <formula>LEN(TRIM(AK102))&gt;0</formula>
    </cfRule>
  </conditionalFormatting>
  <conditionalFormatting sqref="K159 M159 O159 Q159 S159 U159 W159 Y159 AA159">
    <cfRule type="expression" dxfId="385" priority="3354">
      <formula>(K156+K157+K159)&gt;K149</formula>
    </cfRule>
  </conditionalFormatting>
  <conditionalFormatting sqref="F493">
    <cfRule type="cellIs" dxfId="384" priority="540" operator="equal">
      <formula>0</formula>
    </cfRule>
  </conditionalFormatting>
  <conditionalFormatting sqref="F488 L488 N488 P488 R488 T488 V488 X488 Z488 J488 H488 AB488 AD488 AF488 AH488">
    <cfRule type="cellIs" dxfId="383" priority="539" operator="equal">
      <formula>0</formula>
    </cfRule>
  </conditionalFormatting>
  <conditionalFormatting sqref="AJ128">
    <cfRule type="cellIs" dxfId="382" priority="538" operator="equal">
      <formula>0</formula>
    </cfRule>
  </conditionalFormatting>
  <conditionalFormatting sqref="J128:AA128">
    <cfRule type="cellIs" dxfId="381" priority="537" operator="equal">
      <formula>0</formula>
    </cfRule>
  </conditionalFormatting>
  <conditionalFormatting sqref="F439:Y439 AB439:AI439">
    <cfRule type="expression" dxfId="380" priority="530">
      <formula>F438&lt;&gt;F439+F440+F441+F442</formula>
    </cfRule>
  </conditionalFormatting>
  <conditionalFormatting sqref="F438:AI438">
    <cfRule type="expression" dxfId="379" priority="529">
      <formula>F438&lt;&gt;F439+F440+F441+F442</formula>
    </cfRule>
  </conditionalFormatting>
  <conditionalFormatting sqref="F440:Y440 AB440:AI440">
    <cfRule type="expression" dxfId="378" priority="528">
      <formula>F438&lt;&gt;F439+F440+F441+F442</formula>
    </cfRule>
  </conditionalFormatting>
  <conditionalFormatting sqref="F441:Y441 AB441:AI441">
    <cfRule type="expression" dxfId="377" priority="527">
      <formula>F438&lt;&gt;F439+F440+F441+F442</formula>
    </cfRule>
  </conditionalFormatting>
  <conditionalFormatting sqref="F442:Y442 AB442:AI442">
    <cfRule type="expression" dxfId="376" priority="526">
      <formula>F438&lt;&gt;F439+F440+F441+F442</formula>
    </cfRule>
  </conditionalFormatting>
  <conditionalFormatting sqref="F443:AI443">
    <cfRule type="cellIs" dxfId="375" priority="525" operator="equal">
      <formula>0</formula>
    </cfRule>
  </conditionalFormatting>
  <conditionalFormatting sqref="F444:Y444 AB444:AI444">
    <cfRule type="expression" dxfId="374" priority="524">
      <formula>F443&lt;&gt;F444+F445+F446+F447</formula>
    </cfRule>
  </conditionalFormatting>
  <conditionalFormatting sqref="F443:AI443">
    <cfRule type="expression" dxfId="373" priority="523">
      <formula>F443&lt;&gt;F444+F445+F446+F447</formula>
    </cfRule>
  </conditionalFormatting>
  <conditionalFormatting sqref="F445:Y445 AB445:AI445">
    <cfRule type="expression" dxfId="372" priority="522">
      <formula>F443&lt;&gt;F444+F445+F446+F447</formula>
    </cfRule>
  </conditionalFormatting>
  <conditionalFormatting sqref="F446:Y446 AB446:AI446">
    <cfRule type="expression" dxfId="371" priority="521">
      <formula>F443&lt;&gt;F444+F445+F446+F447</formula>
    </cfRule>
  </conditionalFormatting>
  <conditionalFormatting sqref="F447:Y447 AB447:AI447">
    <cfRule type="expression" dxfId="370" priority="520">
      <formula>F443&lt;&gt;F444+F445+F446+F447</formula>
    </cfRule>
  </conditionalFormatting>
  <conditionalFormatting sqref="F448:AI448">
    <cfRule type="cellIs" dxfId="369" priority="519" operator="equal">
      <formula>0</formula>
    </cfRule>
  </conditionalFormatting>
  <conditionalFormatting sqref="F449:Y449 AB449:AI449">
    <cfRule type="expression" dxfId="368" priority="518">
      <formula>F448&lt;&gt;F449+F450+F451+F452</formula>
    </cfRule>
  </conditionalFormatting>
  <conditionalFormatting sqref="F448:AI448">
    <cfRule type="expression" dxfId="367" priority="517">
      <formula>F448&lt;&gt;F449+F450+F451+F452</formula>
    </cfRule>
  </conditionalFormatting>
  <conditionalFormatting sqref="F450:Y450 AB450:AI450">
    <cfRule type="expression" dxfId="366" priority="516">
      <formula>F448&lt;&gt;F449+F450+F451+F452</formula>
    </cfRule>
  </conditionalFormatting>
  <conditionalFormatting sqref="F451:Y451 AB451:AI451">
    <cfRule type="expression" dxfId="365" priority="515">
      <formula>F448&lt;&gt;F449+F450+F451+F452</formula>
    </cfRule>
  </conditionalFormatting>
  <conditionalFormatting sqref="F452:Y452 AB452:AI452">
    <cfRule type="expression" dxfId="364" priority="514">
      <formula>F448&lt;&gt;F449+F450+F451+F452</formula>
    </cfRule>
  </conditionalFormatting>
  <conditionalFormatting sqref="F453:AI453">
    <cfRule type="cellIs" dxfId="363" priority="507" operator="equal">
      <formula>0</formula>
    </cfRule>
  </conditionalFormatting>
  <conditionalFormatting sqref="F454:Y454 AB454:AI454">
    <cfRule type="expression" dxfId="362" priority="506">
      <formula>F453&lt;&gt;F454+F455+F456+F457</formula>
    </cfRule>
  </conditionalFormatting>
  <conditionalFormatting sqref="F453:AI453">
    <cfRule type="expression" dxfId="361" priority="505">
      <formula>F453&lt;&gt;F454+F455+F456+F457</formula>
    </cfRule>
  </conditionalFormatting>
  <conditionalFormatting sqref="F455:Y455 AB455:AI455">
    <cfRule type="expression" dxfId="360" priority="504">
      <formula>F453&lt;&gt;F454+F455+F456+F457</formula>
    </cfRule>
  </conditionalFormatting>
  <conditionalFormatting sqref="F456:Y456 AB456:AI456">
    <cfRule type="expression" dxfId="359" priority="503">
      <formula>F453&lt;&gt;F454+F455+F456+F457</formula>
    </cfRule>
  </conditionalFormatting>
  <conditionalFormatting sqref="F457:Y457 AB457:AI457">
    <cfRule type="expression" dxfId="358" priority="502">
      <formula>F453&lt;&gt;F454+F455+F456+F457</formula>
    </cfRule>
  </conditionalFormatting>
  <conditionalFormatting sqref="F458:AI458">
    <cfRule type="cellIs" dxfId="357" priority="501" operator="equal">
      <formula>0</formula>
    </cfRule>
  </conditionalFormatting>
  <conditionalFormatting sqref="F459:Y459 AB459:AI459">
    <cfRule type="expression" dxfId="356" priority="500">
      <formula>F458&lt;&gt;F459+F460+F461+F462</formula>
    </cfRule>
  </conditionalFormatting>
  <conditionalFormatting sqref="F458:AI458">
    <cfRule type="expression" dxfId="355" priority="499">
      <formula>F458&lt;&gt;F459+F460+F461+F462</formula>
    </cfRule>
  </conditionalFormatting>
  <conditionalFormatting sqref="F460:Y460 AB460:AI460">
    <cfRule type="expression" dxfId="354" priority="498">
      <formula>F458&lt;&gt;F459+F460+F461+F462</formula>
    </cfRule>
  </conditionalFormatting>
  <conditionalFormatting sqref="F461:Y461 AB461:AI461">
    <cfRule type="expression" dxfId="353" priority="497">
      <formula>F458&lt;&gt;F459+F460+F461+F462</formula>
    </cfRule>
  </conditionalFormatting>
  <conditionalFormatting sqref="F462:Y462 AB462:AI462">
    <cfRule type="expression" dxfId="352" priority="496">
      <formula>F458&lt;&gt;F459+F460+F461+F462</formula>
    </cfRule>
  </conditionalFormatting>
  <conditionalFormatting sqref="F463:AI463">
    <cfRule type="cellIs" dxfId="351" priority="495" operator="equal">
      <formula>0</formula>
    </cfRule>
  </conditionalFormatting>
  <conditionalFormatting sqref="F464:Y464 AB464:AI464">
    <cfRule type="expression" dxfId="350" priority="494">
      <formula>F463&lt;&gt;F464+F465+F466+F467</formula>
    </cfRule>
  </conditionalFormatting>
  <conditionalFormatting sqref="F463:AI463">
    <cfRule type="expression" dxfId="349" priority="493">
      <formula>F463&lt;&gt;F464+F465+F466+F467</formula>
    </cfRule>
  </conditionalFormatting>
  <conditionalFormatting sqref="F465:Y465 AB465:AI465">
    <cfRule type="expression" dxfId="348" priority="492">
      <formula>F463&lt;&gt;F464+F465+F466+F467</formula>
    </cfRule>
  </conditionalFormatting>
  <conditionalFormatting sqref="F466:Y466 AB466:AI466">
    <cfRule type="expression" dxfId="347" priority="491">
      <formula>F463&lt;&gt;F464+F465+F466+F467</formula>
    </cfRule>
  </conditionalFormatting>
  <conditionalFormatting sqref="F467:Y467 AB467:AI467">
    <cfRule type="expression" dxfId="346" priority="490">
      <formula>F463&lt;&gt;F464+F465+F466+F467</formula>
    </cfRule>
  </conditionalFormatting>
  <conditionalFormatting sqref="F468:AI468">
    <cfRule type="cellIs" dxfId="345" priority="489" operator="equal">
      <formula>0</formula>
    </cfRule>
  </conditionalFormatting>
  <conditionalFormatting sqref="F469:Y469 AB469:AI469">
    <cfRule type="expression" dxfId="344" priority="488">
      <formula>F468&lt;&gt;F469+F470+F471+F472</formula>
    </cfRule>
  </conditionalFormatting>
  <conditionalFormatting sqref="F468:AI468">
    <cfRule type="expression" dxfId="343" priority="487">
      <formula>F468&lt;&gt;F469+F470+F471+F472</formula>
    </cfRule>
  </conditionalFormatting>
  <conditionalFormatting sqref="F470:Y470 AB470:AI470">
    <cfRule type="expression" dxfId="342" priority="486">
      <formula>F468&lt;&gt;F469+F470+F471+F472</formula>
    </cfRule>
  </conditionalFormatting>
  <conditionalFormatting sqref="F471:Y471 AB471:AI471">
    <cfRule type="expression" dxfId="341" priority="485">
      <formula>F468&lt;&gt;F469+F470+F471+F472</formula>
    </cfRule>
  </conditionalFormatting>
  <conditionalFormatting sqref="F472:Y472 AB472:AI472">
    <cfRule type="expression" dxfId="340" priority="484">
      <formula>F468&lt;&gt;F469+F470+F471+F472</formula>
    </cfRule>
  </conditionalFormatting>
  <conditionalFormatting sqref="F473:AI473">
    <cfRule type="cellIs" dxfId="339" priority="483" operator="equal">
      <formula>0</formula>
    </cfRule>
  </conditionalFormatting>
  <conditionalFormatting sqref="F474:Y474 AB474:AI474">
    <cfRule type="expression" dxfId="338" priority="482">
      <formula>F473&lt;&gt;F474+F475+F476+F477</formula>
    </cfRule>
  </conditionalFormatting>
  <conditionalFormatting sqref="F473:AI473">
    <cfRule type="expression" dxfId="337" priority="481">
      <formula>F473&lt;&gt;F474+F475+F476+F477</formula>
    </cfRule>
  </conditionalFormatting>
  <conditionalFormatting sqref="F475:Y475 AB475:AI475">
    <cfRule type="expression" dxfId="336" priority="480">
      <formula>F473&lt;&gt;F474+F475+F476+F477</formula>
    </cfRule>
  </conditionalFormatting>
  <conditionalFormatting sqref="F476:Y476 AB476:AI476">
    <cfRule type="expression" dxfId="335" priority="479">
      <formula>F473&lt;&gt;F474+F475+F476+F477</formula>
    </cfRule>
  </conditionalFormatting>
  <conditionalFormatting sqref="F477:Y477 AB477:AI477">
    <cfRule type="expression" dxfId="334" priority="478">
      <formula>F473&lt;&gt;F474+F475+F476+F477</formula>
    </cfRule>
  </conditionalFormatting>
  <conditionalFormatting sqref="L478:AI478">
    <cfRule type="cellIs" dxfId="333" priority="477" operator="equal">
      <formula>0</formula>
    </cfRule>
  </conditionalFormatting>
  <conditionalFormatting sqref="L479:Y479 AB479:AI479">
    <cfRule type="expression" dxfId="332" priority="476">
      <formula>L478&lt;&gt;L479+L480+L481+L482</formula>
    </cfRule>
  </conditionalFormatting>
  <conditionalFormatting sqref="L478:AI478">
    <cfRule type="expression" dxfId="331" priority="475">
      <formula>L478&lt;&gt;L479+L480+L481+L482</formula>
    </cfRule>
  </conditionalFormatting>
  <conditionalFormatting sqref="L480:Y480 AB480:AI480">
    <cfRule type="expression" dxfId="330" priority="474">
      <formula>L478&lt;&gt;L479+L480+L481+L482</formula>
    </cfRule>
  </conditionalFormatting>
  <conditionalFormatting sqref="L481:Y481 AB481:AI481">
    <cfRule type="expression" dxfId="329" priority="473">
      <formula>L478&lt;&gt;L479+L480+L481+L482</formula>
    </cfRule>
  </conditionalFormatting>
  <conditionalFormatting sqref="L482:Y482 AB482:AI482">
    <cfRule type="expression" dxfId="328" priority="472">
      <formula>L478&lt;&gt;L479+L480+L481+L482</formula>
    </cfRule>
  </conditionalFormatting>
  <conditionalFormatting sqref="F483:AI483">
    <cfRule type="cellIs" dxfId="327" priority="471" operator="equal">
      <formula>0</formula>
    </cfRule>
  </conditionalFormatting>
  <conditionalFormatting sqref="F484:Y484 AB484:AI484">
    <cfRule type="expression" dxfId="326" priority="470">
      <formula>F483&lt;&gt;F484+F485+F486+F487</formula>
    </cfRule>
  </conditionalFormatting>
  <conditionalFormatting sqref="F483:AI483">
    <cfRule type="expression" dxfId="325" priority="469">
      <formula>F483&lt;&gt;F484+F485+F486+F487</formula>
    </cfRule>
  </conditionalFormatting>
  <conditionalFormatting sqref="F485:Y485 AB485:AI485">
    <cfRule type="expression" dxfId="324" priority="468">
      <formula>F483&lt;&gt;F484+F485+F486+F487</formula>
    </cfRule>
  </conditionalFormatting>
  <conditionalFormatting sqref="F486:Y486 AB486:AI486">
    <cfRule type="expression" dxfId="323" priority="467">
      <formula>F483&lt;&gt;F484+F485+F486+F487</formula>
    </cfRule>
  </conditionalFormatting>
  <conditionalFormatting sqref="F487:Y487 AB487:AI487">
    <cfRule type="expression" dxfId="322" priority="466">
      <formula>F483&lt;&gt;F484+F485+F486+F487</formula>
    </cfRule>
  </conditionalFormatting>
  <conditionalFormatting sqref="K488">
    <cfRule type="cellIs" dxfId="321" priority="465" operator="equal">
      <formula>0</formula>
    </cfRule>
  </conditionalFormatting>
  <conditionalFormatting sqref="K489">
    <cfRule type="expression" dxfId="320" priority="464">
      <formula>K488&lt;&gt;K489+K490+K491+K492</formula>
    </cfRule>
  </conditionalFormatting>
  <conditionalFormatting sqref="K488">
    <cfRule type="expression" dxfId="319" priority="463">
      <formula>K488&lt;&gt;K489+K490+K491+K492</formula>
    </cfRule>
  </conditionalFormatting>
  <conditionalFormatting sqref="K490">
    <cfRule type="expression" dxfId="318" priority="462">
      <formula>K488&lt;&gt;K489+K490+K491+K492</formula>
    </cfRule>
  </conditionalFormatting>
  <conditionalFormatting sqref="K491">
    <cfRule type="expression" dxfId="317" priority="461">
      <formula>K488&lt;&gt;K489+K490+K491+K492</formula>
    </cfRule>
  </conditionalFormatting>
  <conditionalFormatting sqref="K492">
    <cfRule type="expression" dxfId="316" priority="460">
      <formula>K488&lt;&gt;K489+K490+K491+K492</formula>
    </cfRule>
  </conditionalFormatting>
  <conditionalFormatting sqref="M488">
    <cfRule type="cellIs" dxfId="315" priority="459" operator="equal">
      <formula>0</formula>
    </cfRule>
  </conditionalFormatting>
  <conditionalFormatting sqref="M489">
    <cfRule type="expression" dxfId="314" priority="458">
      <formula>M488&lt;&gt;M489+M490+M491+M492</formula>
    </cfRule>
  </conditionalFormatting>
  <conditionalFormatting sqref="M488">
    <cfRule type="expression" dxfId="313" priority="457">
      <formula>M488&lt;&gt;M489+M490+M491+M492</formula>
    </cfRule>
  </conditionalFormatting>
  <conditionalFormatting sqref="M490">
    <cfRule type="expression" dxfId="312" priority="456">
      <formula>M488&lt;&gt;M489+M490+M491+M492</formula>
    </cfRule>
  </conditionalFormatting>
  <conditionalFormatting sqref="M491">
    <cfRule type="expression" dxfId="311" priority="455">
      <formula>M488&lt;&gt;M489+M490+M491+M492</formula>
    </cfRule>
  </conditionalFormatting>
  <conditionalFormatting sqref="M492">
    <cfRule type="expression" dxfId="310" priority="454">
      <formula>M488&lt;&gt;M489+M490+M491+M492</formula>
    </cfRule>
  </conditionalFormatting>
  <conditionalFormatting sqref="O488">
    <cfRule type="cellIs" dxfId="309" priority="453" operator="equal">
      <formula>0</formula>
    </cfRule>
  </conditionalFormatting>
  <conditionalFormatting sqref="O489">
    <cfRule type="expression" dxfId="308" priority="452">
      <formula>O488&lt;&gt;O489+O490+O491+O492</formula>
    </cfRule>
  </conditionalFormatting>
  <conditionalFormatting sqref="O488">
    <cfRule type="expression" dxfId="307" priority="451">
      <formula>O488&lt;&gt;O489+O490+O491+O492</formula>
    </cfRule>
  </conditionalFormatting>
  <conditionalFormatting sqref="O490">
    <cfRule type="expression" dxfId="306" priority="450">
      <formula>O488&lt;&gt;O489+O490+O491+O492</formula>
    </cfRule>
  </conditionalFormatting>
  <conditionalFormatting sqref="O491">
    <cfRule type="expression" dxfId="305" priority="449">
      <formula>O488&lt;&gt;O489+O490+O491+O492</formula>
    </cfRule>
  </conditionalFormatting>
  <conditionalFormatting sqref="O492">
    <cfRule type="expression" dxfId="304" priority="448">
      <formula>O488&lt;&gt;O489+O490+O491+O492</formula>
    </cfRule>
  </conditionalFormatting>
  <conditionalFormatting sqref="Q488">
    <cfRule type="cellIs" dxfId="303" priority="447" operator="equal">
      <formula>0</formula>
    </cfRule>
  </conditionalFormatting>
  <conditionalFormatting sqref="Q489">
    <cfRule type="expression" dxfId="302" priority="446">
      <formula>Q488&lt;&gt;Q489+Q490+Q491+Q492</formula>
    </cfRule>
  </conditionalFormatting>
  <conditionalFormatting sqref="Q488">
    <cfRule type="expression" dxfId="301" priority="445">
      <formula>Q488&lt;&gt;Q489+Q490+Q491+Q492</formula>
    </cfRule>
  </conditionalFormatting>
  <conditionalFormatting sqref="Q490">
    <cfRule type="expression" dxfId="300" priority="444">
      <formula>Q488&lt;&gt;Q489+Q490+Q491+Q492</formula>
    </cfRule>
  </conditionalFormatting>
  <conditionalFormatting sqref="Q491">
    <cfRule type="expression" dxfId="299" priority="443">
      <formula>Q488&lt;&gt;Q489+Q490+Q491+Q492</formula>
    </cfRule>
  </conditionalFormatting>
  <conditionalFormatting sqref="Q492">
    <cfRule type="expression" dxfId="298" priority="442">
      <formula>Q488&lt;&gt;Q489+Q490+Q491+Q492</formula>
    </cfRule>
  </conditionalFormatting>
  <conditionalFormatting sqref="S488">
    <cfRule type="cellIs" dxfId="297" priority="441" operator="equal">
      <formula>0</formula>
    </cfRule>
  </conditionalFormatting>
  <conditionalFormatting sqref="S489">
    <cfRule type="expression" dxfId="296" priority="440">
      <formula>S488&lt;&gt;S489+S490+S491+S492</formula>
    </cfRule>
  </conditionalFormatting>
  <conditionalFormatting sqref="S488">
    <cfRule type="expression" dxfId="295" priority="439">
      <formula>S488&lt;&gt;S489+S490+S491+S492</formula>
    </cfRule>
  </conditionalFormatting>
  <conditionalFormatting sqref="S490">
    <cfRule type="expression" dxfId="294" priority="438">
      <formula>S488&lt;&gt;S489+S490+S491+S492</formula>
    </cfRule>
  </conditionalFormatting>
  <conditionalFormatting sqref="S491">
    <cfRule type="expression" dxfId="293" priority="437">
      <formula>S488&lt;&gt;S489+S490+S491+S492</formula>
    </cfRule>
  </conditionalFormatting>
  <conditionalFormatting sqref="S492">
    <cfRule type="expression" dxfId="292" priority="436">
      <formula>S488&lt;&gt;S489+S490+S491+S492</formula>
    </cfRule>
  </conditionalFormatting>
  <conditionalFormatting sqref="U488">
    <cfRule type="cellIs" dxfId="291" priority="435" operator="equal">
      <formula>0</formula>
    </cfRule>
  </conditionalFormatting>
  <conditionalFormatting sqref="U489">
    <cfRule type="expression" dxfId="290" priority="434">
      <formula>U488&lt;&gt;U489+U490+U491+U492</formula>
    </cfRule>
  </conditionalFormatting>
  <conditionalFormatting sqref="U488">
    <cfRule type="expression" dxfId="289" priority="433">
      <formula>U488&lt;&gt;U489+U490+U491+U492</formula>
    </cfRule>
  </conditionalFormatting>
  <conditionalFormatting sqref="U490">
    <cfRule type="expression" dxfId="288" priority="432">
      <formula>U488&lt;&gt;U489+U490+U491+U492</formula>
    </cfRule>
  </conditionalFormatting>
  <conditionalFormatting sqref="U491">
    <cfRule type="expression" dxfId="287" priority="431">
      <formula>U488&lt;&gt;U489+U490+U491+U492</formula>
    </cfRule>
  </conditionalFormatting>
  <conditionalFormatting sqref="U492">
    <cfRule type="expression" dxfId="286" priority="430">
      <formula>U488&lt;&gt;U489+U490+U491+U492</formula>
    </cfRule>
  </conditionalFormatting>
  <conditionalFormatting sqref="W488">
    <cfRule type="cellIs" dxfId="285" priority="429" operator="equal">
      <formula>0</formula>
    </cfRule>
  </conditionalFormatting>
  <conditionalFormatting sqref="W489">
    <cfRule type="expression" dxfId="284" priority="428">
      <formula>W488&lt;&gt;W489+W490+W491+W492</formula>
    </cfRule>
  </conditionalFormatting>
  <conditionalFormatting sqref="W488">
    <cfRule type="expression" dxfId="283" priority="427">
      <formula>W488&lt;&gt;W489+W490+W491+W492</formula>
    </cfRule>
  </conditionalFormatting>
  <conditionalFormatting sqref="W490">
    <cfRule type="expression" dxfId="282" priority="426">
      <formula>W488&lt;&gt;W489+W490+W491+W492</formula>
    </cfRule>
  </conditionalFormatting>
  <conditionalFormatting sqref="W491">
    <cfRule type="expression" dxfId="281" priority="425">
      <formula>W488&lt;&gt;W489+W490+W491+W492</formula>
    </cfRule>
  </conditionalFormatting>
  <conditionalFormatting sqref="W492">
    <cfRule type="expression" dxfId="280" priority="424">
      <formula>W488&lt;&gt;W489+W490+W491+W492</formula>
    </cfRule>
  </conditionalFormatting>
  <conditionalFormatting sqref="Y488">
    <cfRule type="cellIs" dxfId="279" priority="423" operator="equal">
      <formula>0</formula>
    </cfRule>
  </conditionalFormatting>
  <conditionalFormatting sqref="Y489">
    <cfRule type="expression" dxfId="278" priority="422">
      <formula>Y488&lt;&gt;Y489+Y490+Y491+Y492</formula>
    </cfRule>
  </conditionalFormatting>
  <conditionalFormatting sqref="Y488">
    <cfRule type="expression" dxfId="277" priority="421">
      <formula>Y488&lt;&gt;Y489+Y490+Y491+Y492</formula>
    </cfRule>
  </conditionalFormatting>
  <conditionalFormatting sqref="Y490">
    <cfRule type="expression" dxfId="276" priority="420">
      <formula>Y488&lt;&gt;Y489+Y490+Y491+Y492</formula>
    </cfRule>
  </conditionalFormatting>
  <conditionalFormatting sqref="Y491">
    <cfRule type="expression" dxfId="275" priority="419">
      <formula>Y488&lt;&gt;Y489+Y490+Y491+Y492</formula>
    </cfRule>
  </conditionalFormatting>
  <conditionalFormatting sqref="Y492">
    <cfRule type="expression" dxfId="274" priority="418">
      <formula>Y488&lt;&gt;Y489+Y490+Y491+Y492</formula>
    </cfRule>
  </conditionalFormatting>
  <conditionalFormatting sqref="AA488 AC488 AE488 AG488 AI488">
    <cfRule type="cellIs" dxfId="273" priority="417" operator="equal">
      <formula>0</formula>
    </cfRule>
  </conditionalFormatting>
  <conditionalFormatting sqref="AC489 AE489 AG489 AI489">
    <cfRule type="expression" dxfId="272" priority="416">
      <formula>AC488&lt;&gt;AC489+AC490+AC491+AC492</formula>
    </cfRule>
  </conditionalFormatting>
  <conditionalFormatting sqref="AA488 AC488 AE488 AG488 AI488">
    <cfRule type="expression" dxfId="271" priority="415">
      <formula>AA488&lt;&gt;AA489+AA490+AA491+AA492</formula>
    </cfRule>
  </conditionalFormatting>
  <conditionalFormatting sqref="AC490 AE490 AG490 AI490">
    <cfRule type="expression" dxfId="270" priority="414">
      <formula>AC488&lt;&gt;AC489+AC490+AC491+AC492</formula>
    </cfRule>
  </conditionalFormatting>
  <conditionalFormatting sqref="AC491 AE491 AG491 AI491">
    <cfRule type="expression" dxfId="269" priority="413">
      <formula>AC488&lt;&gt;AC489+AC490+AC491+AC492</formula>
    </cfRule>
  </conditionalFormatting>
  <conditionalFormatting sqref="AC492 AE492 AG492 AI492">
    <cfRule type="expression" dxfId="268" priority="412">
      <formula>AC488&lt;&gt;AC489+AC490+AC491+AC492</formula>
    </cfRule>
  </conditionalFormatting>
  <conditionalFormatting sqref="I488">
    <cfRule type="cellIs" dxfId="267" priority="411" operator="equal">
      <formula>0</formula>
    </cfRule>
  </conditionalFormatting>
  <conditionalFormatting sqref="I489">
    <cfRule type="expression" dxfId="266" priority="410">
      <formula>I488&lt;&gt;I489+I490+I491+I492</formula>
    </cfRule>
  </conditionalFormatting>
  <conditionalFormatting sqref="I488">
    <cfRule type="expression" dxfId="265" priority="409">
      <formula>I488&lt;&gt;I489+I490+I491+I492</formula>
    </cfRule>
  </conditionalFormatting>
  <conditionalFormatting sqref="I490">
    <cfRule type="expression" dxfId="264" priority="408">
      <formula>I488&lt;&gt;I489+I490+I491+I492</formula>
    </cfRule>
  </conditionalFormatting>
  <conditionalFormatting sqref="I491">
    <cfRule type="expression" dxfId="263" priority="407">
      <formula>I488&lt;&gt;I489+I490+I491+I492</formula>
    </cfRule>
  </conditionalFormatting>
  <conditionalFormatting sqref="I492">
    <cfRule type="expression" dxfId="262" priority="406">
      <formula>I488&lt;&gt;I489+I490+I491+I492</formula>
    </cfRule>
  </conditionalFormatting>
  <conditionalFormatting sqref="G488">
    <cfRule type="cellIs" dxfId="261" priority="405" operator="equal">
      <formula>0</formula>
    </cfRule>
  </conditionalFormatting>
  <conditionalFormatting sqref="G489">
    <cfRule type="expression" dxfId="260" priority="404">
      <formula>G488&lt;&gt;G489+G490+G491+G492</formula>
    </cfRule>
  </conditionalFormatting>
  <conditionalFormatting sqref="G488">
    <cfRule type="expression" dxfId="259" priority="403">
      <formula>G488&lt;&gt;G489+G490+G491+G492</formula>
    </cfRule>
  </conditionalFormatting>
  <conditionalFormatting sqref="G490">
    <cfRule type="expression" dxfId="258" priority="402">
      <formula>G488&lt;&gt;G489+G490+G491+G492</formula>
    </cfRule>
  </conditionalFormatting>
  <conditionalFormatting sqref="G491">
    <cfRule type="expression" dxfId="257" priority="401">
      <formula>G488&lt;&gt;G489+G490+G491+G492</formula>
    </cfRule>
  </conditionalFormatting>
  <conditionalFormatting sqref="G492">
    <cfRule type="expression" dxfId="256" priority="400">
      <formula>G488&lt;&gt;G489+G490+G491+G492</formula>
    </cfRule>
  </conditionalFormatting>
  <conditionalFormatting sqref="G493:AI493">
    <cfRule type="cellIs" dxfId="255" priority="399" operator="equal">
      <formula>0</formula>
    </cfRule>
  </conditionalFormatting>
  <conditionalFormatting sqref="G494">
    <cfRule type="expression" dxfId="254" priority="398">
      <formula>G493&lt;&gt;G494+G495+G496+G497</formula>
    </cfRule>
  </conditionalFormatting>
  <conditionalFormatting sqref="G493:AI493">
    <cfRule type="expression" dxfId="253" priority="397">
      <formula>G493&lt;&gt;G494+G495+G496+G497</formula>
    </cfRule>
  </conditionalFormatting>
  <conditionalFormatting sqref="G495">
    <cfRule type="expression" dxfId="252" priority="396">
      <formula>G493&lt;&gt;G494+G495+G496+G497</formula>
    </cfRule>
  </conditionalFormatting>
  <conditionalFormatting sqref="G496">
    <cfRule type="expression" dxfId="251" priority="395">
      <formula>G493&lt;&gt;G494+G495+G496+G497</formula>
    </cfRule>
  </conditionalFormatting>
  <conditionalFormatting sqref="G497">
    <cfRule type="expression" dxfId="250" priority="394">
      <formula>G493&lt;&gt;G494+G495+G496+G497</formula>
    </cfRule>
  </conditionalFormatting>
  <conditionalFormatting sqref="I494">
    <cfRule type="expression" dxfId="249" priority="392">
      <formula>I493&lt;&gt;I494+I495+I496+I497</formula>
    </cfRule>
  </conditionalFormatting>
  <conditionalFormatting sqref="I495">
    <cfRule type="expression" dxfId="248" priority="390">
      <formula>I493&lt;&gt;I494+I495+I496+I497</formula>
    </cfRule>
  </conditionalFormatting>
  <conditionalFormatting sqref="I496">
    <cfRule type="expression" dxfId="247" priority="389">
      <formula>I493&lt;&gt;I494+I495+I496+I497</formula>
    </cfRule>
  </conditionalFormatting>
  <conditionalFormatting sqref="I497">
    <cfRule type="expression" dxfId="246" priority="388">
      <formula>I493&lt;&gt;I494+I495+I496+I497</formula>
    </cfRule>
  </conditionalFormatting>
  <conditionalFormatting sqref="K494">
    <cfRule type="expression" dxfId="245" priority="386">
      <formula>K493&lt;&gt;K494+K495+K496+K497</formula>
    </cfRule>
  </conditionalFormatting>
  <conditionalFormatting sqref="K495">
    <cfRule type="expression" dxfId="244" priority="384">
      <formula>K493&lt;&gt;K494+K495+K496+K497</formula>
    </cfRule>
  </conditionalFormatting>
  <conditionalFormatting sqref="K496">
    <cfRule type="expression" dxfId="243" priority="383">
      <formula>K493&lt;&gt;K494+K495+K496+K497</formula>
    </cfRule>
  </conditionalFormatting>
  <conditionalFormatting sqref="K497">
    <cfRule type="expression" dxfId="242" priority="382">
      <formula>K493&lt;&gt;K494+K495+K496+K497</formula>
    </cfRule>
  </conditionalFormatting>
  <conditionalFormatting sqref="M494">
    <cfRule type="expression" dxfId="241" priority="380">
      <formula>M493&lt;&gt;M494+M495+M496+M497</formula>
    </cfRule>
  </conditionalFormatting>
  <conditionalFormatting sqref="M495">
    <cfRule type="expression" dxfId="240" priority="378">
      <formula>M493&lt;&gt;M494+M495+M496+M497</formula>
    </cfRule>
  </conditionalFormatting>
  <conditionalFormatting sqref="M496">
    <cfRule type="expression" dxfId="239" priority="377">
      <formula>M493&lt;&gt;M494+M495+M496+M497</formula>
    </cfRule>
  </conditionalFormatting>
  <conditionalFormatting sqref="M497">
    <cfRule type="expression" dxfId="238" priority="376">
      <formula>M493&lt;&gt;M494+M495+M496+M497</formula>
    </cfRule>
  </conditionalFormatting>
  <conditionalFormatting sqref="O494">
    <cfRule type="expression" dxfId="237" priority="374">
      <formula>O493&lt;&gt;O494+O495+O496+O497</formula>
    </cfRule>
  </conditionalFormatting>
  <conditionalFormatting sqref="O495">
    <cfRule type="expression" dxfId="236" priority="372">
      <formula>O493&lt;&gt;O494+O495+O496+O497</formula>
    </cfRule>
  </conditionalFormatting>
  <conditionalFormatting sqref="O496">
    <cfRule type="expression" dxfId="235" priority="371">
      <formula>O493&lt;&gt;O494+O495+O496+O497</formula>
    </cfRule>
  </conditionalFormatting>
  <conditionalFormatting sqref="O497">
    <cfRule type="expression" dxfId="234" priority="370">
      <formula>O493&lt;&gt;O494+O495+O496+O497</formula>
    </cfRule>
  </conditionalFormatting>
  <conditionalFormatting sqref="Q494">
    <cfRule type="expression" dxfId="233" priority="368">
      <formula>Q493&lt;&gt;Q494+Q495+Q496+Q497</formula>
    </cfRule>
  </conditionalFormatting>
  <conditionalFormatting sqref="Q495">
    <cfRule type="expression" dxfId="232" priority="366">
      <formula>Q493&lt;&gt;Q494+Q495+Q496+Q497</formula>
    </cfRule>
  </conditionalFormatting>
  <conditionalFormatting sqref="Q496">
    <cfRule type="expression" dxfId="231" priority="365">
      <formula>Q493&lt;&gt;Q494+Q495+Q496+Q497</formula>
    </cfRule>
  </conditionalFormatting>
  <conditionalFormatting sqref="Q497">
    <cfRule type="expression" dxfId="230" priority="364">
      <formula>Q493&lt;&gt;Q494+Q495+Q496+Q497</formula>
    </cfRule>
  </conditionalFormatting>
  <conditionalFormatting sqref="S494">
    <cfRule type="expression" dxfId="229" priority="362">
      <formula>S493&lt;&gt;S494+S495+S496+S497</formula>
    </cfRule>
  </conditionalFormatting>
  <conditionalFormatting sqref="S495">
    <cfRule type="expression" dxfId="228" priority="360">
      <formula>S493&lt;&gt;S494+S495+S496+S497</formula>
    </cfRule>
  </conditionalFormatting>
  <conditionalFormatting sqref="S496">
    <cfRule type="expression" dxfId="227" priority="359">
      <formula>S493&lt;&gt;S494+S495+S496+S497</formula>
    </cfRule>
  </conditionalFormatting>
  <conditionalFormatting sqref="S497">
    <cfRule type="expression" dxfId="226" priority="358">
      <formula>S493&lt;&gt;S494+S495+S496+S497</formula>
    </cfRule>
  </conditionalFormatting>
  <conditionalFormatting sqref="U494">
    <cfRule type="expression" dxfId="225" priority="356">
      <formula>U493&lt;&gt;U494+U495+U496+U497</formula>
    </cfRule>
  </conditionalFormatting>
  <conditionalFormatting sqref="U495">
    <cfRule type="expression" dxfId="224" priority="354">
      <formula>U493&lt;&gt;U494+U495+U496+U497</formula>
    </cfRule>
  </conditionalFormatting>
  <conditionalFormatting sqref="U496">
    <cfRule type="expression" dxfId="223" priority="353">
      <formula>U493&lt;&gt;U494+U495+U496+U497</formula>
    </cfRule>
  </conditionalFormatting>
  <conditionalFormatting sqref="U497">
    <cfRule type="expression" dxfId="222" priority="352">
      <formula>U493&lt;&gt;U494+U495+U496+U497</formula>
    </cfRule>
  </conditionalFormatting>
  <conditionalFormatting sqref="W494">
    <cfRule type="expression" dxfId="221" priority="350">
      <formula>W493&lt;&gt;W494+W495+W496+W497</formula>
    </cfRule>
  </conditionalFormatting>
  <conditionalFormatting sqref="W495">
    <cfRule type="expression" dxfId="220" priority="348">
      <formula>W493&lt;&gt;W494+W495+W496+W497</formula>
    </cfRule>
  </conditionalFormatting>
  <conditionalFormatting sqref="W496">
    <cfRule type="expression" dxfId="219" priority="347">
      <formula>W493&lt;&gt;W494+W495+W496+W497</formula>
    </cfRule>
  </conditionalFormatting>
  <conditionalFormatting sqref="W497">
    <cfRule type="expression" dxfId="218" priority="346">
      <formula>W493&lt;&gt;W494+W495+W496+W497</formula>
    </cfRule>
  </conditionalFormatting>
  <conditionalFormatting sqref="Y494">
    <cfRule type="expression" dxfId="217" priority="344">
      <formula>Y493&lt;&gt;Y494+Y495+Y496+Y497</formula>
    </cfRule>
  </conditionalFormatting>
  <conditionalFormatting sqref="Y495">
    <cfRule type="expression" dxfId="216" priority="342">
      <formula>Y493&lt;&gt;Y494+Y495+Y496+Y497</formula>
    </cfRule>
  </conditionalFormatting>
  <conditionalFormatting sqref="Y496">
    <cfRule type="expression" dxfId="215" priority="341">
      <formula>Y493&lt;&gt;Y494+Y495+Y496+Y497</formula>
    </cfRule>
  </conditionalFormatting>
  <conditionalFormatting sqref="Y497">
    <cfRule type="expression" dxfId="214" priority="340">
      <formula>Y493&lt;&gt;Y494+Y495+Y496+Y497</formula>
    </cfRule>
  </conditionalFormatting>
  <conditionalFormatting sqref="AC494 AE494 AG494 AI494">
    <cfRule type="expression" dxfId="213" priority="338">
      <formula>AC493&lt;&gt;AC494+AC495+AC496+AC497</formula>
    </cfRule>
  </conditionalFormatting>
  <conditionalFormatting sqref="AC495 AE495 AG495 AI495">
    <cfRule type="expression" dxfId="212" priority="336">
      <formula>AC493&lt;&gt;AC494+AC495+AC496+AC497</formula>
    </cfRule>
  </conditionalFormatting>
  <conditionalFormatting sqref="AC496 AE496 AG496 AI496">
    <cfRule type="expression" dxfId="211" priority="335">
      <formula>AC493&lt;&gt;AC494+AC495+AC496+AC497</formula>
    </cfRule>
  </conditionalFormatting>
  <conditionalFormatting sqref="AC497 AE497 AG497 AI497">
    <cfRule type="expression" dxfId="210" priority="334">
      <formula>AC493&lt;&gt;AC494+AC495+AC496+AC497</formula>
    </cfRule>
  </conditionalFormatting>
  <conditionalFormatting sqref="AK493">
    <cfRule type="notContainsBlanks" dxfId="209" priority="333">
      <formula>LEN(TRIM(AK493))&gt;0</formula>
    </cfRule>
  </conditionalFormatting>
  <conditionalFormatting sqref="AK488">
    <cfRule type="notContainsBlanks" dxfId="208" priority="332">
      <formula>LEN(TRIM(AK488))&gt;0</formula>
    </cfRule>
  </conditionalFormatting>
  <conditionalFormatting sqref="AK483">
    <cfRule type="notContainsBlanks" dxfId="207" priority="331">
      <formula>LEN(TRIM(AK483))&gt;0</formula>
    </cfRule>
  </conditionalFormatting>
  <conditionalFormatting sqref="AK478">
    <cfRule type="notContainsBlanks" dxfId="206" priority="330">
      <formula>LEN(TRIM(AK478))&gt;0</formula>
    </cfRule>
  </conditionalFormatting>
  <conditionalFormatting sqref="AK473">
    <cfRule type="notContainsBlanks" dxfId="205" priority="329">
      <formula>LEN(TRIM(AK473))&gt;0</formula>
    </cfRule>
  </conditionalFormatting>
  <conditionalFormatting sqref="AK468">
    <cfRule type="notContainsBlanks" dxfId="204" priority="328">
      <formula>LEN(TRIM(AK468))&gt;0</formula>
    </cfRule>
  </conditionalFormatting>
  <conditionalFormatting sqref="AK463">
    <cfRule type="notContainsBlanks" dxfId="203" priority="327">
      <formula>LEN(TRIM(AK463))&gt;0</formula>
    </cfRule>
  </conditionalFormatting>
  <conditionalFormatting sqref="AK458">
    <cfRule type="notContainsBlanks" dxfId="202" priority="326">
      <formula>LEN(TRIM(AK458))&gt;0</formula>
    </cfRule>
  </conditionalFormatting>
  <conditionalFormatting sqref="AK453">
    <cfRule type="notContainsBlanks" dxfId="201" priority="325">
      <formula>LEN(TRIM(AK453))&gt;0</formula>
    </cfRule>
  </conditionalFormatting>
  <conditionalFormatting sqref="AK448">
    <cfRule type="notContainsBlanks" dxfId="200" priority="324">
      <formula>LEN(TRIM(AK448))&gt;0</formula>
    </cfRule>
  </conditionalFormatting>
  <conditionalFormatting sqref="AK443">
    <cfRule type="notContainsBlanks" dxfId="199" priority="323">
      <formula>LEN(TRIM(AK443))&gt;0</formula>
    </cfRule>
  </conditionalFormatting>
  <conditionalFormatting sqref="AK438">
    <cfRule type="notContainsBlanks" dxfId="198" priority="322">
      <formula>LEN(TRIM(AK438))&gt;0</formula>
    </cfRule>
  </conditionalFormatting>
  <conditionalFormatting sqref="AK220">
    <cfRule type="notContainsBlanks" dxfId="197" priority="321">
      <formula>LEN(TRIM(AK220))&gt;0</formula>
    </cfRule>
  </conditionalFormatting>
  <conditionalFormatting sqref="AK228">
    <cfRule type="notContainsBlanks" dxfId="196" priority="320">
      <formula>LEN(TRIM(AK228))&gt;0</formula>
    </cfRule>
  </conditionalFormatting>
  <conditionalFormatting sqref="AA211:AA234">
    <cfRule type="cellIs" dxfId="195" priority="308" operator="equal">
      <formula>0</formula>
    </cfRule>
  </conditionalFormatting>
  <conditionalFormatting sqref="Z347:AA352">
    <cfRule type="cellIs" dxfId="194" priority="318" operator="equal">
      <formula>0</formula>
    </cfRule>
  </conditionalFormatting>
  <conditionalFormatting sqref="Z389:AA389">
    <cfRule type="cellIs" dxfId="193" priority="315" operator="equal">
      <formula>0</formula>
    </cfRule>
  </conditionalFormatting>
  <conditionalFormatting sqref="Z374:AA378 Z380:AA388">
    <cfRule type="cellIs" dxfId="192" priority="314" operator="equal">
      <formula>0</formula>
    </cfRule>
  </conditionalFormatting>
  <conditionalFormatting sqref="AM32">
    <cfRule type="notContainsBlanks" dxfId="191" priority="306">
      <formula>LEN(TRIM(AM32))&gt;0</formula>
    </cfRule>
  </conditionalFormatting>
  <conditionalFormatting sqref="AJ32">
    <cfRule type="cellIs" dxfId="190" priority="305" operator="equal">
      <formula>0</formula>
    </cfRule>
  </conditionalFormatting>
  <conditionalFormatting sqref="F27:Y27 AB27:AI27">
    <cfRule type="expression" dxfId="189" priority="301">
      <formula>(F32+F31+F30)&lt;&gt;F27</formula>
    </cfRule>
  </conditionalFormatting>
  <conditionalFormatting sqref="F51:Y51 AB51:AI51">
    <cfRule type="expression" dxfId="188" priority="299">
      <formula>F52&gt;F51</formula>
    </cfRule>
  </conditionalFormatting>
  <conditionalFormatting sqref="F51">
    <cfRule type="expression" dxfId="187" priority="298">
      <formula>F51&lt;F53</formula>
    </cfRule>
  </conditionalFormatting>
  <conditionalFormatting sqref="F52:Y52 AB52:AI52">
    <cfRule type="expression" dxfId="186" priority="297">
      <formula>F51&lt;F52</formula>
    </cfRule>
  </conditionalFormatting>
  <conditionalFormatting sqref="AM119:AM120">
    <cfRule type="notContainsBlanks" dxfId="185" priority="295">
      <formula>LEN(TRIM(AM119))&gt;0</formula>
    </cfRule>
  </conditionalFormatting>
  <conditionalFormatting sqref="J119:AA119">
    <cfRule type="expression" dxfId="184" priority="293">
      <formula>J120&gt;J119</formula>
    </cfRule>
  </conditionalFormatting>
  <conditionalFormatting sqref="AJ119:AJ120">
    <cfRule type="notContainsBlanks" dxfId="183" priority="289">
      <formula>LEN(TRIM(AJ119))&gt;0</formula>
    </cfRule>
  </conditionalFormatting>
  <conditionalFormatting sqref="AM56:AM57">
    <cfRule type="notContainsBlanks" dxfId="182" priority="288">
      <formula>LEN(TRIM(AM56))&gt;0</formula>
    </cfRule>
  </conditionalFormatting>
  <conditionalFormatting sqref="D56:AI57">
    <cfRule type="cellIs" dxfId="181" priority="287" operator="equal">
      <formula>0</formula>
    </cfRule>
  </conditionalFormatting>
  <conditionalFormatting sqref="AJ56">
    <cfRule type="cellIs" dxfId="180" priority="286" operator="equal">
      <formula>0</formula>
    </cfRule>
  </conditionalFormatting>
  <conditionalFormatting sqref="D56:AI57">
    <cfRule type="cellIs" dxfId="179" priority="285" operator="equal">
      <formula>0</formula>
    </cfRule>
  </conditionalFormatting>
  <conditionalFormatting sqref="AJ57">
    <cfRule type="cellIs" dxfId="178" priority="284" operator="equal">
      <formula>0</formula>
    </cfRule>
  </conditionalFormatting>
  <conditionalFormatting sqref="AJ57">
    <cfRule type="cellIs" dxfId="177" priority="283" operator="equal">
      <formula>0</formula>
    </cfRule>
  </conditionalFormatting>
  <conditionalFormatting sqref="D56:AI56">
    <cfRule type="expression" dxfId="176" priority="282">
      <formula>D56&gt;D16</formula>
    </cfRule>
  </conditionalFormatting>
  <conditionalFormatting sqref="AK313">
    <cfRule type="notContainsBlanks" dxfId="175" priority="277">
      <formula>LEN(TRIM(AK313))&gt;0</formula>
    </cfRule>
  </conditionalFormatting>
  <conditionalFormatting sqref="AM312:AM313">
    <cfRule type="notContainsBlanks" dxfId="174" priority="276">
      <formula>LEN(TRIM(AM312))&gt;0</formula>
    </cfRule>
  </conditionalFormatting>
  <conditionalFormatting sqref="AJ312:AJ313">
    <cfRule type="cellIs" dxfId="173" priority="275" operator="equal">
      <formula>0</formula>
    </cfRule>
  </conditionalFormatting>
  <conditionalFormatting sqref="K312">
    <cfRule type="expression" dxfId="172" priority="278">
      <formula>K341&gt;K312</formula>
    </cfRule>
  </conditionalFormatting>
  <conditionalFormatting sqref="K312">
    <cfRule type="expression" dxfId="171" priority="274">
      <formula>K313&gt;K312</formula>
    </cfRule>
  </conditionalFormatting>
  <conditionalFormatting sqref="M312">
    <cfRule type="expression" dxfId="170" priority="273">
      <formula>M313&gt;M312</formula>
    </cfRule>
  </conditionalFormatting>
  <conditionalFormatting sqref="O312">
    <cfRule type="expression" dxfId="169" priority="272">
      <formula>O313&gt;O312</formula>
    </cfRule>
  </conditionalFormatting>
  <conditionalFormatting sqref="Q312">
    <cfRule type="expression" dxfId="168" priority="271">
      <formula>Q313&gt;Q312</formula>
    </cfRule>
  </conditionalFormatting>
  <conditionalFormatting sqref="Q313">
    <cfRule type="expression" dxfId="167" priority="270">
      <formula>Q313&gt;Q312</formula>
    </cfRule>
  </conditionalFormatting>
  <conditionalFormatting sqref="AK312">
    <cfRule type="notContainsBlanks" dxfId="166" priority="269">
      <formula>LEN(TRIM(AK312))&gt;0</formula>
    </cfRule>
  </conditionalFormatting>
  <conditionalFormatting sqref="Q313">
    <cfRule type="expression" dxfId="165" priority="267">
      <formula>Q340&gt;Q313</formula>
    </cfRule>
  </conditionalFormatting>
  <conditionalFormatting sqref="Q313">
    <cfRule type="expression" dxfId="164" priority="268">
      <formula>Q313&gt;Q312</formula>
    </cfRule>
  </conditionalFormatting>
  <conditionalFormatting sqref="S312">
    <cfRule type="expression" dxfId="163" priority="266">
      <formula>S313&gt;S312</formula>
    </cfRule>
  </conditionalFormatting>
  <conditionalFormatting sqref="U312">
    <cfRule type="expression" dxfId="162" priority="265">
      <formula>U313&gt;U312</formula>
    </cfRule>
  </conditionalFormatting>
  <conditionalFormatting sqref="W312">
    <cfRule type="expression" dxfId="161" priority="264">
      <formula>W313&gt;W312</formula>
    </cfRule>
  </conditionalFormatting>
  <conditionalFormatting sqref="Y312">
    <cfRule type="expression" dxfId="160" priority="263">
      <formula>Y313&gt;Y312</formula>
    </cfRule>
  </conditionalFormatting>
  <conditionalFormatting sqref="O313">
    <cfRule type="expression" dxfId="159" priority="262">
      <formula>O313&gt;O312</formula>
    </cfRule>
  </conditionalFormatting>
  <conditionalFormatting sqref="O313">
    <cfRule type="expression" dxfId="158" priority="260">
      <formula>O340&gt;O313</formula>
    </cfRule>
  </conditionalFormatting>
  <conditionalFormatting sqref="O313">
    <cfRule type="expression" dxfId="157" priority="261">
      <formula>O313&gt;O312</formula>
    </cfRule>
  </conditionalFormatting>
  <conditionalFormatting sqref="M313">
    <cfRule type="expression" dxfId="156" priority="259">
      <formula>M313&gt;M312</formula>
    </cfRule>
  </conditionalFormatting>
  <conditionalFormatting sqref="M313">
    <cfRule type="expression" dxfId="155" priority="257">
      <formula>M340&gt;M313</formula>
    </cfRule>
  </conditionalFormatting>
  <conditionalFormatting sqref="M313">
    <cfRule type="expression" dxfId="154" priority="258">
      <formula>M313&gt;M312</formula>
    </cfRule>
  </conditionalFormatting>
  <conditionalFormatting sqref="K313">
    <cfRule type="expression" dxfId="153" priority="256">
      <formula>K313&gt;K312</formula>
    </cfRule>
  </conditionalFormatting>
  <conditionalFormatting sqref="K313">
    <cfRule type="expression" dxfId="152" priority="254">
      <formula>K340&gt;K313</formula>
    </cfRule>
  </conditionalFormatting>
  <conditionalFormatting sqref="K313">
    <cfRule type="expression" dxfId="151" priority="255">
      <formula>K313&gt;K312</formula>
    </cfRule>
  </conditionalFormatting>
  <conditionalFormatting sqref="S313">
    <cfRule type="expression" dxfId="150" priority="253">
      <formula>S313&gt;S312</formula>
    </cfRule>
  </conditionalFormatting>
  <conditionalFormatting sqref="S313">
    <cfRule type="expression" dxfId="149" priority="251">
      <formula>S340&gt;S313</formula>
    </cfRule>
  </conditionalFormatting>
  <conditionalFormatting sqref="S313">
    <cfRule type="expression" dxfId="148" priority="252">
      <formula>S313&gt;S312</formula>
    </cfRule>
  </conditionalFormatting>
  <conditionalFormatting sqref="U313">
    <cfRule type="expression" dxfId="147" priority="250">
      <formula>U313&gt;U312</formula>
    </cfRule>
  </conditionalFormatting>
  <conditionalFormatting sqref="U313">
    <cfRule type="expression" dxfId="146" priority="248">
      <formula>U340&gt;U313</formula>
    </cfRule>
  </conditionalFormatting>
  <conditionalFormatting sqref="U313">
    <cfRule type="expression" dxfId="145" priority="249">
      <formula>U313&gt;U312</formula>
    </cfRule>
  </conditionalFormatting>
  <conditionalFormatting sqref="W313">
    <cfRule type="expression" dxfId="144" priority="247">
      <formula>W313&gt;W312</formula>
    </cfRule>
  </conditionalFormatting>
  <conditionalFormatting sqref="W313">
    <cfRule type="expression" dxfId="143" priority="245">
      <formula>W340&gt;W313</formula>
    </cfRule>
  </conditionalFormatting>
  <conditionalFormatting sqref="W313">
    <cfRule type="expression" dxfId="142" priority="246">
      <formula>W313&gt;W312</formula>
    </cfRule>
  </conditionalFormatting>
  <conditionalFormatting sqref="Y313">
    <cfRule type="expression" dxfId="141" priority="244">
      <formula>Y313&gt;Y312</formula>
    </cfRule>
  </conditionalFormatting>
  <conditionalFormatting sqref="Y313">
    <cfRule type="expression" dxfId="140" priority="242">
      <formula>Y340&gt;Y313</formula>
    </cfRule>
  </conditionalFormatting>
  <conditionalFormatting sqref="Y313">
    <cfRule type="expression" dxfId="139" priority="243">
      <formula>Y313&gt;Y312</formula>
    </cfRule>
  </conditionalFormatting>
  <conditionalFormatting sqref="AK59:AK60">
    <cfRule type="notContainsBlanks" dxfId="138" priority="219">
      <formula>LEN(TRIM(AK59))&gt;0</formula>
    </cfRule>
  </conditionalFormatting>
  <conditionalFormatting sqref="AM59:AM60">
    <cfRule type="notContainsBlanks" dxfId="137" priority="218">
      <formula>LEN(TRIM(AM59))&gt;0</formula>
    </cfRule>
  </conditionalFormatting>
  <conditionalFormatting sqref="AM59">
    <cfRule type="notContainsBlanks" dxfId="136" priority="217">
      <formula>LEN(TRIM(AM59))&gt;0</formula>
    </cfRule>
  </conditionalFormatting>
  <conditionalFormatting sqref="AL59:AL60">
    <cfRule type="notContainsBlanks" dxfId="135" priority="220">
      <formula>LEN(TRIM(AL59))&gt;0</formula>
    </cfRule>
  </conditionalFormatting>
  <conditionalFormatting sqref="AJ59">
    <cfRule type="cellIs" dxfId="134" priority="216" operator="equal">
      <formula>0</formula>
    </cfRule>
  </conditionalFormatting>
  <conditionalFormatting sqref="AJ60">
    <cfRule type="cellIs" dxfId="133" priority="215" operator="equal">
      <formula>0</formula>
    </cfRule>
  </conditionalFormatting>
  <conditionalFormatting sqref="L59:AA59">
    <cfRule type="expression" dxfId="132" priority="214">
      <formula>L60&gt;L59</formula>
    </cfRule>
  </conditionalFormatting>
  <conditionalFormatting sqref="AK61:AK62">
    <cfRule type="notContainsBlanks" dxfId="131" priority="208">
      <formula>LEN(TRIM(AK61))&gt;0</formula>
    </cfRule>
  </conditionalFormatting>
  <conditionalFormatting sqref="AM61:AM62">
    <cfRule type="notContainsBlanks" dxfId="130" priority="207">
      <formula>LEN(TRIM(AM61))&gt;0</formula>
    </cfRule>
  </conditionalFormatting>
  <conditionalFormatting sqref="AM61">
    <cfRule type="notContainsBlanks" dxfId="129" priority="206">
      <formula>LEN(TRIM(AM61))&gt;0</formula>
    </cfRule>
  </conditionalFormatting>
  <conditionalFormatting sqref="AL61:AL62">
    <cfRule type="notContainsBlanks" dxfId="128" priority="209">
      <formula>LEN(TRIM(AL61))&gt;0</formula>
    </cfRule>
  </conditionalFormatting>
  <conditionalFormatting sqref="AJ61">
    <cfRule type="cellIs" dxfId="127" priority="205" operator="equal">
      <formula>0</formula>
    </cfRule>
  </conditionalFormatting>
  <conditionalFormatting sqref="AJ62">
    <cfRule type="cellIs" dxfId="126" priority="204" operator="equal">
      <formula>0</formula>
    </cfRule>
  </conditionalFormatting>
  <conditionalFormatting sqref="L61:AA61">
    <cfRule type="expression" dxfId="125" priority="203">
      <formula>L62&gt;L61</formula>
    </cfRule>
  </conditionalFormatting>
  <conditionalFormatting sqref="K169 M169 O169 Q169 S169 U169 W169 Y169 AA169">
    <cfRule type="expression" dxfId="124" priority="189">
      <formula>(K166+K167+K169)&gt;K159</formula>
    </cfRule>
  </conditionalFormatting>
  <conditionalFormatting sqref="J170 L170 N170 P170 R170 T170 V170 X170 Z170">
    <cfRule type="expression" dxfId="123" priority="188">
      <formula>(J167+J168+J170)&gt;J160</formula>
    </cfRule>
  </conditionalFormatting>
  <conditionalFormatting sqref="AK181">
    <cfRule type="notContainsBlanks" dxfId="122" priority="184">
      <formula>LEN(TRIM(AK181))&gt;0</formula>
    </cfRule>
  </conditionalFormatting>
  <conditionalFormatting sqref="AM181:AN181">
    <cfRule type="notContainsBlanks" dxfId="121" priority="182">
      <formula>LEN(TRIM(AM181))&gt;0</formula>
    </cfRule>
  </conditionalFormatting>
  <conditionalFormatting sqref="AJ181">
    <cfRule type="cellIs" dxfId="120" priority="181" operator="equal">
      <formula>0</formula>
    </cfRule>
  </conditionalFormatting>
  <conditionalFormatting sqref="AK338">
    <cfRule type="notContainsBlanks" dxfId="119" priority="171">
      <formula>LEN(TRIM(AK338))&gt;0</formula>
    </cfRule>
  </conditionalFormatting>
  <conditionalFormatting sqref="AM338">
    <cfRule type="notContainsBlanks" dxfId="118" priority="170">
      <formula>LEN(TRIM(AM338))&gt;0</formula>
    </cfRule>
  </conditionalFormatting>
  <conditionalFormatting sqref="AL338">
    <cfRule type="notContainsBlanks" dxfId="117" priority="172">
      <formula>LEN(TRIM(AL338))&gt;0</formula>
    </cfRule>
  </conditionalFormatting>
  <conditionalFormatting sqref="AJ338">
    <cfRule type="cellIs" dxfId="116" priority="169" operator="equal">
      <formula>0</formula>
    </cfRule>
  </conditionalFormatting>
  <conditionalFormatting sqref="K338">
    <cfRule type="expression" dxfId="115" priority="168">
      <formula>K338&gt;K312</formula>
    </cfRule>
  </conditionalFormatting>
  <conditionalFormatting sqref="M338">
    <cfRule type="expression" dxfId="114" priority="167">
      <formula>M338&gt;M312</formula>
    </cfRule>
  </conditionalFormatting>
  <conditionalFormatting sqref="O338">
    <cfRule type="expression" dxfId="113" priority="166">
      <formula>O338&gt;O312</formula>
    </cfRule>
  </conditionalFormatting>
  <conditionalFormatting sqref="Q338">
    <cfRule type="expression" dxfId="112" priority="165">
      <formula>Q338&gt;Q312</formula>
    </cfRule>
  </conditionalFormatting>
  <conditionalFormatting sqref="S338">
    <cfRule type="expression" dxfId="111" priority="164">
      <formula>S338&gt;S312</formula>
    </cfRule>
  </conditionalFormatting>
  <conditionalFormatting sqref="U338">
    <cfRule type="expression" dxfId="110" priority="163">
      <formula>U338&gt;U312</formula>
    </cfRule>
  </conditionalFormatting>
  <conditionalFormatting sqref="W338">
    <cfRule type="expression" dxfId="109" priority="162">
      <formula>W338&gt;W312</formula>
    </cfRule>
  </conditionalFormatting>
  <conditionalFormatting sqref="Y338">
    <cfRule type="expression" dxfId="108" priority="161">
      <formula>Y338&gt;Y312</formula>
    </cfRule>
  </conditionalFormatting>
  <conditionalFormatting sqref="AA328:AA338">
    <cfRule type="cellIs" dxfId="107" priority="153" operator="equal">
      <formula>0</formula>
    </cfRule>
  </conditionalFormatting>
  <conditionalFormatting sqref="AB330">
    <cfRule type="cellIs" dxfId="106" priority="152" operator="equal">
      <formula>0</formula>
    </cfRule>
  </conditionalFormatting>
  <conditionalFormatting sqref="AD330">
    <cfRule type="cellIs" dxfId="105" priority="149" operator="equal">
      <formula>0</formula>
    </cfRule>
  </conditionalFormatting>
  <conditionalFormatting sqref="AF330">
    <cfRule type="cellIs" dxfId="104" priority="148" operator="equal">
      <formula>0</formula>
    </cfRule>
  </conditionalFormatting>
  <conditionalFormatting sqref="AH330">
    <cfRule type="cellIs" dxfId="103" priority="147" operator="equal">
      <formula>0</formula>
    </cfRule>
  </conditionalFormatting>
  <conditionalFormatting sqref="D184:AA185">
    <cfRule type="expression" dxfId="102" priority="3396">
      <formula>D186&gt;D184</formula>
    </cfRule>
  </conditionalFormatting>
  <conditionalFormatting sqref="AK196">
    <cfRule type="notContainsBlanks" dxfId="101" priority="128">
      <formula>LEN(TRIM(AK196))&gt;0</formula>
    </cfRule>
  </conditionalFormatting>
  <conditionalFormatting sqref="AK197">
    <cfRule type="notContainsBlanks" dxfId="100" priority="127">
      <formula>LEN(TRIM(AK197))&gt;0</formula>
    </cfRule>
  </conditionalFormatting>
  <conditionalFormatting sqref="AK198">
    <cfRule type="notContainsBlanks" dxfId="99" priority="126">
      <formula>LEN(TRIM(AK198))&gt;0</formula>
    </cfRule>
  </conditionalFormatting>
  <conditionalFormatting sqref="AK199">
    <cfRule type="notContainsBlanks" dxfId="98" priority="125">
      <formula>LEN(TRIM(AK199))&gt;0</formula>
    </cfRule>
  </conditionalFormatting>
  <conditionalFormatting sqref="AM196:AN196 AM197:AM199">
    <cfRule type="notContainsBlanks" dxfId="97" priority="124">
      <formula>LEN(TRIM(AM196))&gt;0</formula>
    </cfRule>
  </conditionalFormatting>
  <conditionalFormatting sqref="AJ196:AJ199">
    <cfRule type="cellIs" dxfId="96" priority="123" operator="equal">
      <formula>0</formula>
    </cfRule>
  </conditionalFormatting>
  <conditionalFormatting sqref="D196:AA196">
    <cfRule type="expression" dxfId="95" priority="122">
      <formula>D198&gt;D196</formula>
    </cfRule>
  </conditionalFormatting>
  <conditionalFormatting sqref="D197:AA197">
    <cfRule type="expression" dxfId="94" priority="121">
      <formula>D199&gt;D197</formula>
    </cfRule>
  </conditionalFormatting>
  <conditionalFormatting sqref="D198:AA198">
    <cfRule type="expression" dxfId="93" priority="120">
      <formula>D198&gt;D196</formula>
    </cfRule>
  </conditionalFormatting>
  <conditionalFormatting sqref="D199:AA199">
    <cfRule type="expression" dxfId="92" priority="119">
      <formula>D199&gt;D197</formula>
    </cfRule>
  </conditionalFormatting>
  <conditionalFormatting sqref="D196:AA196">
    <cfRule type="expression" dxfId="91" priority="129">
      <formula>SUM(D196:D197)&gt;D375</formula>
    </cfRule>
  </conditionalFormatting>
  <conditionalFormatting sqref="D197:E197">
    <cfRule type="expression" dxfId="90" priority="130">
      <formula>SUM(D196:D197)&gt;D375</formula>
    </cfRule>
  </conditionalFormatting>
  <conditionalFormatting sqref="D198:AA199">
    <cfRule type="expression" dxfId="89" priority="131">
      <formula>D212&gt;D198</formula>
    </cfRule>
  </conditionalFormatting>
  <conditionalFormatting sqref="AM200:AM207">
    <cfRule type="notContainsBlanks" dxfId="88" priority="118">
      <formula>LEN(TRIM(AM200))&gt;0</formula>
    </cfRule>
  </conditionalFormatting>
  <conditionalFormatting sqref="AJ200:AJ207">
    <cfRule type="cellIs" dxfId="87" priority="117" operator="equal">
      <formula>0</formula>
    </cfRule>
  </conditionalFormatting>
  <conditionalFormatting sqref="D182:AA182">
    <cfRule type="expression" dxfId="86" priority="3398">
      <formula>SUM(D182:D183)&gt;D359</formula>
    </cfRule>
  </conditionalFormatting>
  <conditionalFormatting sqref="D183:E183">
    <cfRule type="expression" dxfId="85" priority="3399">
      <formula>SUM(D182:D183)&gt;D359</formula>
    </cfRule>
  </conditionalFormatting>
  <conditionalFormatting sqref="AK195">
    <cfRule type="notContainsBlanks" dxfId="84" priority="116">
      <formula>LEN(TRIM(AK195))&gt;0</formula>
    </cfRule>
  </conditionalFormatting>
  <conditionalFormatting sqref="AM195">
    <cfRule type="notContainsBlanks" dxfId="83" priority="115">
      <formula>LEN(TRIM(AM195))&gt;0</formula>
    </cfRule>
  </conditionalFormatting>
  <conditionalFormatting sqref="AJ195">
    <cfRule type="cellIs" dxfId="82" priority="114" operator="equal">
      <formula>0</formula>
    </cfRule>
  </conditionalFormatting>
  <conditionalFormatting sqref="AL195">
    <cfRule type="notContainsBlanks" dxfId="81" priority="113">
      <formula>LEN(TRIM(AL195))&gt;0</formula>
    </cfRule>
  </conditionalFormatting>
  <conditionalFormatting sqref="Z422:AA426 Z428:AA432">
    <cfRule type="cellIs" dxfId="80" priority="112" operator="equal">
      <formula>0</formula>
    </cfRule>
  </conditionalFormatting>
  <conditionalFormatting sqref="Z439:AA442">
    <cfRule type="cellIs" dxfId="79" priority="111" operator="equal">
      <formula>0</formula>
    </cfRule>
  </conditionalFormatting>
  <conditionalFormatting sqref="Z444:AA447">
    <cfRule type="cellIs" dxfId="78" priority="110" operator="equal">
      <formula>0</formula>
    </cfRule>
  </conditionalFormatting>
  <conditionalFormatting sqref="Z449:AA452">
    <cfRule type="cellIs" dxfId="77" priority="109" operator="equal">
      <formula>0</formula>
    </cfRule>
  </conditionalFormatting>
  <conditionalFormatting sqref="Z454:AA457">
    <cfRule type="cellIs" dxfId="76" priority="108" operator="equal">
      <formula>0</formula>
    </cfRule>
  </conditionalFormatting>
  <conditionalFormatting sqref="Z459:AA462">
    <cfRule type="cellIs" dxfId="75" priority="107" operator="equal">
      <formula>0</formula>
    </cfRule>
  </conditionalFormatting>
  <conditionalFormatting sqref="Z464:AA467">
    <cfRule type="cellIs" dxfId="74" priority="106" operator="equal">
      <formula>0</formula>
    </cfRule>
  </conditionalFormatting>
  <conditionalFormatting sqref="Z469:AA472">
    <cfRule type="cellIs" dxfId="73" priority="105" operator="equal">
      <formula>0</formula>
    </cfRule>
  </conditionalFormatting>
  <conditionalFormatting sqref="Z474:AA477">
    <cfRule type="cellIs" dxfId="72" priority="104" operator="equal">
      <formula>0</formula>
    </cfRule>
  </conditionalFormatting>
  <conditionalFormatting sqref="Z479:AA482">
    <cfRule type="cellIs" dxfId="71" priority="103" operator="equal">
      <formula>0</formula>
    </cfRule>
  </conditionalFormatting>
  <conditionalFormatting sqref="Z484:AA487">
    <cfRule type="cellIs" dxfId="70" priority="102" operator="equal">
      <formula>0</formula>
    </cfRule>
  </conditionalFormatting>
  <conditionalFormatting sqref="AA489:AA492">
    <cfRule type="cellIs" dxfId="69" priority="101" operator="equal">
      <formula>0</formula>
    </cfRule>
  </conditionalFormatting>
  <conditionalFormatting sqref="AA494:AA497">
    <cfRule type="cellIs" dxfId="68" priority="100" operator="equal">
      <formula>0</formula>
    </cfRule>
  </conditionalFormatting>
  <conditionalFormatting sqref="Z22:AA25">
    <cfRule type="cellIs" dxfId="67" priority="99" operator="equal">
      <formula>0</formula>
    </cfRule>
  </conditionalFormatting>
  <conditionalFormatting sqref="Z27:AA32">
    <cfRule type="cellIs" dxfId="66" priority="98" operator="equal">
      <formula>0</formula>
    </cfRule>
  </conditionalFormatting>
  <conditionalFormatting sqref="Z33:AA34">
    <cfRule type="cellIs" dxfId="65" priority="97" operator="equal">
      <formula>0</formula>
    </cfRule>
  </conditionalFormatting>
  <conditionalFormatting sqref="Z35:AA36">
    <cfRule type="cellIs" dxfId="64" priority="96" operator="equal">
      <formula>0</formula>
    </cfRule>
  </conditionalFormatting>
  <conditionalFormatting sqref="Z41:AA42">
    <cfRule type="cellIs" dxfId="63" priority="95" operator="equal">
      <formula>0</formula>
    </cfRule>
  </conditionalFormatting>
  <conditionalFormatting sqref="Z43:AA44">
    <cfRule type="cellIs" dxfId="62" priority="94" operator="equal">
      <formula>0</formula>
    </cfRule>
  </conditionalFormatting>
  <conditionalFormatting sqref="Z45:AA46">
    <cfRule type="cellIs" dxfId="61" priority="93" operator="equal">
      <formula>0</formula>
    </cfRule>
  </conditionalFormatting>
  <conditionalFormatting sqref="Z47:AA48">
    <cfRule type="cellIs" dxfId="60" priority="92" operator="equal">
      <formula>0</formula>
    </cfRule>
  </conditionalFormatting>
  <conditionalFormatting sqref="Z51:AA53">
    <cfRule type="cellIs" dxfId="59" priority="91" operator="equal">
      <formula>0</formula>
    </cfRule>
  </conditionalFormatting>
  <conditionalFormatting sqref="K137">
    <cfRule type="cellIs" dxfId="58" priority="90" operator="equal">
      <formula>0</formula>
    </cfRule>
  </conditionalFormatting>
  <conditionalFormatting sqref="M137">
    <cfRule type="cellIs" dxfId="57" priority="89" operator="equal">
      <formula>0</formula>
    </cfRule>
  </conditionalFormatting>
  <conditionalFormatting sqref="O137">
    <cfRule type="cellIs" dxfId="56" priority="88" operator="equal">
      <formula>0</formula>
    </cfRule>
  </conditionalFormatting>
  <conditionalFormatting sqref="Q137">
    <cfRule type="cellIs" dxfId="55" priority="87" operator="equal">
      <formula>0</formula>
    </cfRule>
  </conditionalFormatting>
  <conditionalFormatting sqref="S137">
    <cfRule type="cellIs" dxfId="54" priority="86" operator="equal">
      <formula>0</formula>
    </cfRule>
  </conditionalFormatting>
  <conditionalFormatting sqref="U137">
    <cfRule type="cellIs" dxfId="53" priority="85" operator="equal">
      <formula>0</formula>
    </cfRule>
  </conditionalFormatting>
  <conditionalFormatting sqref="W137">
    <cfRule type="cellIs" dxfId="52" priority="84" operator="equal">
      <formula>0</formula>
    </cfRule>
  </conditionalFormatting>
  <conditionalFormatting sqref="Y137">
    <cfRule type="cellIs" dxfId="51" priority="83" operator="equal">
      <formula>0</formula>
    </cfRule>
  </conditionalFormatting>
  <conditionalFormatting sqref="AA137">
    <cfRule type="cellIs" dxfId="50" priority="82" operator="equal">
      <formula>0</formula>
    </cfRule>
  </conditionalFormatting>
  <conditionalFormatting sqref="AM140:AM141">
    <cfRule type="notContainsBlanks" dxfId="49" priority="80">
      <formula>LEN(TRIM(AM140))&gt;0</formula>
    </cfRule>
  </conditionalFormatting>
  <conditionalFormatting sqref="AM142:AM144">
    <cfRule type="notContainsBlanks" dxfId="48" priority="77">
      <formula>LEN(TRIM(AM142))&gt;0</formula>
    </cfRule>
  </conditionalFormatting>
  <conditionalFormatting sqref="AM171:AM172">
    <cfRule type="notContainsBlanks" dxfId="47" priority="74">
      <formula>LEN(TRIM(AM171))&gt;0</formula>
    </cfRule>
  </conditionalFormatting>
  <conditionalFormatting sqref="AM173:AM175">
    <cfRule type="notContainsBlanks" dxfId="46" priority="71">
      <formula>LEN(TRIM(AM173))&gt;0</formula>
    </cfRule>
  </conditionalFormatting>
  <conditionalFormatting sqref="AM145">
    <cfRule type="notContainsBlanks" dxfId="45" priority="67">
      <formula>LEN(TRIM(AM145))&gt;0</formula>
    </cfRule>
  </conditionalFormatting>
  <conditionalFormatting sqref="AM176">
    <cfRule type="notContainsBlanks" dxfId="44" priority="63">
      <formula>LEN(TRIM(AM176))&gt;0</formula>
    </cfRule>
  </conditionalFormatting>
  <conditionalFormatting sqref="AB355:AI355">
    <cfRule type="expression" dxfId="43" priority="57">
      <formula>AB355&gt;AB368</formula>
    </cfRule>
  </conditionalFormatting>
  <conditionalFormatting sqref="Z354:AA355">
    <cfRule type="cellIs" dxfId="42" priority="55" operator="equal">
      <formula>0</formula>
    </cfRule>
  </conditionalFormatting>
  <conditionalFormatting sqref="AJ354:AJ356">
    <cfRule type="cellIs" dxfId="41" priority="51" operator="equal">
      <formula>0</formula>
    </cfRule>
  </conditionalFormatting>
  <conditionalFormatting sqref="AB356:AI356">
    <cfRule type="expression" dxfId="40" priority="50">
      <formula>AB356&gt;AB369</formula>
    </cfRule>
  </conditionalFormatting>
  <conditionalFormatting sqref="Z356:AA356">
    <cfRule type="cellIs" dxfId="39" priority="48" operator="equal">
      <formula>0</formula>
    </cfRule>
  </conditionalFormatting>
  <conditionalFormatting sqref="AJ357">
    <cfRule type="cellIs" dxfId="38" priority="44" operator="equal">
      <formula>0</formula>
    </cfRule>
  </conditionalFormatting>
  <conditionalFormatting sqref="AB357:AI357">
    <cfRule type="expression" dxfId="37" priority="43">
      <formula>AB357&gt;AB370</formula>
    </cfRule>
  </conditionalFormatting>
  <conditionalFormatting sqref="Z357:AA357">
    <cfRule type="cellIs" dxfId="36" priority="41" operator="equal">
      <formula>0</formula>
    </cfRule>
  </conditionalFormatting>
  <conditionalFormatting sqref="D354:Y354 AB354:AI354">
    <cfRule type="cellIs" dxfId="35" priority="37" operator="equal">
      <formula>0</formula>
    </cfRule>
  </conditionalFormatting>
  <conditionalFormatting sqref="D354:Y354 AB354:AI354">
    <cfRule type="cellIs" dxfId="34" priority="36" operator="equal">
      <formula>0</formula>
    </cfRule>
  </conditionalFormatting>
  <conditionalFormatting sqref="I346">
    <cfRule type="expression" dxfId="33" priority="3441">
      <formula>#REF!&gt;I346</formula>
    </cfRule>
  </conditionalFormatting>
  <conditionalFormatting sqref="D379:AI379">
    <cfRule type="expression" dxfId="32" priority="3442">
      <formula>D390&gt;D379</formula>
    </cfRule>
  </conditionalFormatting>
  <conditionalFormatting sqref="D387:Y387">
    <cfRule type="expression" dxfId="31" priority="3444">
      <formula>D387&gt;SUM(D381:D383)</formula>
    </cfRule>
  </conditionalFormatting>
  <conditionalFormatting sqref="AB384:AI384 D384:Y386">
    <cfRule type="expression" dxfId="30" priority="3445">
      <formula>D390&gt;D384</formula>
    </cfRule>
  </conditionalFormatting>
  <conditionalFormatting sqref="J140:AA140">
    <cfRule type="expression" dxfId="29" priority="30">
      <formula>(J141+J140)&lt;&gt;J128</formula>
    </cfRule>
  </conditionalFormatting>
  <conditionalFormatting sqref="J141:AA141">
    <cfRule type="expression" dxfId="28" priority="29">
      <formula>(J141+J140)&lt;&gt;J128</formula>
    </cfRule>
  </conditionalFormatting>
  <conditionalFormatting sqref="J128:AA128">
    <cfRule type="expression" dxfId="27" priority="28">
      <formula>(J141+J140)&lt;&gt;J128</formula>
    </cfRule>
  </conditionalFormatting>
  <conditionalFormatting sqref="J142:AA142">
    <cfRule type="expression" dxfId="26" priority="27">
      <formula>(J142+J143+J144)&lt;&gt;J128</formula>
    </cfRule>
  </conditionalFormatting>
  <conditionalFormatting sqref="J143:AA143">
    <cfRule type="expression" dxfId="25" priority="26">
      <formula>(J142+J143+J144)&lt;&gt;J128</formula>
    </cfRule>
  </conditionalFormatting>
  <conditionalFormatting sqref="J144:AA144">
    <cfRule type="expression" dxfId="24" priority="25">
      <formula>(J142+J143+J144)&lt;&gt;J128</formula>
    </cfRule>
  </conditionalFormatting>
  <conditionalFormatting sqref="J128:AA128">
    <cfRule type="expression" dxfId="23" priority="24">
      <formula>(J142+J143+J144)&lt;&gt;J128</formula>
    </cfRule>
  </conditionalFormatting>
  <conditionalFormatting sqref="J145:AA145">
    <cfRule type="expression" dxfId="22" priority="23">
      <formula>J145&gt;J128</formula>
    </cfRule>
  </conditionalFormatting>
  <conditionalFormatting sqref="J128:AA128">
    <cfRule type="expression" dxfId="21" priority="22">
      <formula>J145&gt;J128</formula>
    </cfRule>
  </conditionalFormatting>
  <conditionalFormatting sqref="J171:AA171">
    <cfRule type="expression" dxfId="20" priority="21">
      <formula>(J171+J172)&lt;&gt;J147</formula>
    </cfRule>
  </conditionalFormatting>
  <conditionalFormatting sqref="J172:AA172">
    <cfRule type="expression" dxfId="19" priority="20">
      <formula>(J171+J172)&lt;&gt;J147</formula>
    </cfRule>
  </conditionalFormatting>
  <conditionalFormatting sqref="J147:AA147">
    <cfRule type="expression" dxfId="18" priority="19">
      <formula>(J171+J172)&lt;&gt;J147</formula>
    </cfRule>
  </conditionalFormatting>
  <conditionalFormatting sqref="J173:AA173">
    <cfRule type="expression" dxfId="17" priority="18">
      <formula>(J173+J174+J175)&lt;&gt;J147</formula>
    </cfRule>
  </conditionalFormatting>
  <conditionalFormatting sqref="J174:AA174">
    <cfRule type="expression" dxfId="16" priority="17">
      <formula>(J173+J174+J175)&lt;&gt;J147</formula>
    </cfRule>
  </conditionalFormatting>
  <conditionalFormatting sqref="J175:AA175">
    <cfRule type="expression" dxfId="15" priority="16">
      <formula>(J173+J174+J175)&lt;&gt;J147</formula>
    </cfRule>
  </conditionalFormatting>
  <conditionalFormatting sqref="J147:AA147">
    <cfRule type="expression" dxfId="14" priority="15">
      <formula>(J173+J174+J175)&lt;&gt;J147</formula>
    </cfRule>
  </conditionalFormatting>
  <conditionalFormatting sqref="J176:AA176">
    <cfRule type="expression" dxfId="13" priority="14">
      <formula>J176&gt;J147</formula>
    </cfRule>
  </conditionalFormatting>
  <conditionalFormatting sqref="J147:AA147">
    <cfRule type="expression" dxfId="12" priority="13">
      <formula>J176&gt;J147</formula>
    </cfRule>
  </conditionalFormatting>
  <conditionalFormatting sqref="D354:Y354 AB354:AI354">
    <cfRule type="expression" dxfId="11" priority="12">
      <formula>D354&gt;D346</formula>
    </cfRule>
  </conditionalFormatting>
  <conditionalFormatting sqref="D385:Y385">
    <cfRule type="expression" dxfId="10" priority="11">
      <formula>(D385+D386+D387)&lt;&gt;D379</formula>
    </cfRule>
  </conditionalFormatting>
  <conditionalFormatting sqref="D386:Y386">
    <cfRule type="expression" dxfId="9" priority="10">
      <formula>(D385+D386+D387)&lt;&gt;D379</formula>
    </cfRule>
  </conditionalFormatting>
  <conditionalFormatting sqref="D387:Y387">
    <cfRule type="expression" dxfId="8" priority="9">
      <formula>(D385+D386+D387)&lt;&gt;D379</formula>
    </cfRule>
  </conditionalFormatting>
  <conditionalFormatting sqref="D379:AI379">
    <cfRule type="expression" dxfId="7" priority="8">
      <formula>(D385+D386+D387)&lt;&gt;D379</formula>
    </cfRule>
  </conditionalFormatting>
  <conditionalFormatting sqref="AB385:AI386">
    <cfRule type="expression" dxfId="6" priority="5">
      <formula>AB385&gt;SUM(AB381:AB383)</formula>
    </cfRule>
  </conditionalFormatting>
  <conditionalFormatting sqref="AB387:AI387">
    <cfRule type="expression" dxfId="5" priority="4">
      <formula>AB391&gt;AB387</formula>
    </cfRule>
  </conditionalFormatting>
  <conditionalFormatting sqref="AB387:AI387">
    <cfRule type="expression" dxfId="4" priority="6">
      <formula>AB387&gt;SUM(AB381:AB383)</formula>
    </cfRule>
  </conditionalFormatting>
  <conditionalFormatting sqref="AB385:AI386">
    <cfRule type="expression" dxfId="3" priority="7">
      <formula>AB391&gt;AB385</formula>
    </cfRule>
  </conditionalFormatting>
  <conditionalFormatting sqref="AB385:AI385">
    <cfRule type="expression" dxfId="2" priority="3">
      <formula>(AB385+AB386+AB387)&lt;&gt;AB379</formula>
    </cfRule>
  </conditionalFormatting>
  <conditionalFormatting sqref="AB386:AI386">
    <cfRule type="expression" dxfId="1" priority="2">
      <formula>(AB385+AB386+AB387)&lt;&gt;AB379</formula>
    </cfRule>
  </conditionalFormatting>
  <conditionalFormatting sqref="AB387:AI387">
    <cfRule type="expression" dxfId="0" priority="1">
      <formula>(AB385+AB386+AB387)&lt;&gt;AB379</formula>
    </cfRule>
  </conditionalFormatting>
  <dataValidations count="3">
    <dataValidation type="whole" allowBlank="1" showInputMessage="1" showErrorMessage="1" errorTitle="Non-Numeric or abnormal value" error="Enter Numbers only between 0 and 99999" sqref="D8:AI18 AJ128 Z346:AA346 D292:AI324 D408:D420 E414:AI420 G428:Y432 E408:AI412 E248:AI288 E238:AI246 AJ18 AJ238 D238:D288 E392:AI398 E358:Y390 D211:AI234 AJ11 AJ276 D111:AI120 G427:AI427 D181:AI193 I346:I354 Z353:AA353 D328:AI342 D434:AI434 D66:AI107 E247:AJ247 AB359:AJ359 E413:AJ413 E391:AJ391 D59:AI62 AA498:AA502 Z390:AA390 D195:AI207 Z49:AA50 D438:Y502 AB438:AI502 Z438:AA438 Z443:AA443 Z448:AA448 Z453:AA453 Z458:AA458 Z463:AA463 Z468:AA468 Z473:AA473 Z478:AA478 Z483:AA483 Z488:Z502 AA488 AA493 D22:Y53 AB22:AI53 Z26:AA26 Z37:AA40 D422:F432 G422:Y426 AB422:AI426 AB428:AI432 J346:Y357 I356:I357 D124:AI176 D346:D398 E346:H357 AB346:AI358 AB360:AI378 AB380:AI390 Z379:AI379">
      <formula1>0</formula1>
      <formula2>99999</formula2>
    </dataValidation>
    <dataValidation type="whole" allowBlank="1" showInputMessage="1" showErrorMessage="1" errorTitle="Numeric Characters Error" error="Enter Numeric Characters only between range 0 and 2000" sqref="D402:AI407">
      <formula1>0</formula1>
      <formula2>2000</formula2>
    </dataValidation>
    <dataValidation allowBlank="1" showInputMessage="1" showErrorMessage="1" errorTitle="Non-Numeric or abnormal value" error="Enter Numbers only between 0 and 99999" sqref="Z347:AA352 Z428:AA432 Z51:AA53 Z439:AA442 Z444:AA447 Z449:AA452 Z454:AA457 Z459:AA462 Z464:AA467 Z469:AA472 Z474:AA477 Z479:AA482 Z484:AA487 AA489:AA492 AA494:AA497 Z22:AA25 Z27:AA36 Z41:AA48 Z422:AA426 Z354:AA378 Z380:AA389"/>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07" max="16383" man="1"/>
  </rowBreaks>
  <ignoredErrors>
    <ignoredError sqref="J20 J109 J122 J178 J236 J344 J400 J326 J29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57ECA-E322-4B4F-A80B-F429838D8BF7}">
  <ds:schemaRefs>
    <ds:schemaRef ds:uri="http://purl.org/dc/terms/"/>
    <ds:schemaRef ds:uri="http://www.w3.org/XML/1998/namespace"/>
    <ds:schemaRef ds:uri="http://schemas.microsoft.com/office/infopath/2007/PartnerControls"/>
    <ds:schemaRef ds:uri="http://schemas.microsoft.com/office/2006/documentManagement/types"/>
    <ds:schemaRef ds:uri="1ed6e237-7a44-4d6d-bfbc-e270d277b5ad"/>
    <ds:schemaRef ds:uri="http://schemas.microsoft.com/office/2006/metadata/properties"/>
    <ds:schemaRef ds:uri="http://purl.org/dc/elements/1.1/"/>
    <ds:schemaRef ds:uri="http://schemas.microsoft.com/sharepoint/v3"/>
    <ds:schemaRef ds:uri="dac3fa0a-9923-49c3-b4ba-df6390fa58ea"/>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2023-10-30T14:59:53Z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