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Projects\InternalSystem\web\"/>
    </mc:Choice>
  </mc:AlternateContent>
  <xr:revisionPtr revIDLastSave="0" documentId="13_ncr:1_{445A7CF2-2FEB-442E-BFCC-CDB9CAA21EBE}" xr6:coauthVersionLast="45" xr6:coauthVersionMax="45" xr10:uidLastSave="{00000000-0000-0000-0000-000000000000}"/>
  <workbookProtection workbookAlgorithmName="SHA-512" workbookHashValue="cPvhaXs730mrgLzHt5Rl87o6TzeovzFhWmNUAlmhmXXOoA/7jjlnKrO4h1HZOmdgNoXk2ByVPDp9kWVjMEMH6Q==" workbookSaltValue="ZJmJdmlOFHPXNdFapbjhAQ==" workbookSpinCount="100000" lockStructure="1"/>
  <bookViews>
    <workbookView xWindow="-103" yWindow="-103" windowWidth="29006" windowHeight="15806" activeTab="1" xr2:uid="{1C7A72A4-46D5-4130-84F6-E2BF1F1A15D0}"/>
  </bookViews>
  <sheets>
    <sheet name="InstructionsForm1A" sheetId="4" r:id="rId1"/>
    <sheet name="Feb" sheetId="1" r:id="rId2"/>
  </sheets>
  <definedNames>
    <definedName name="_xlnm._FilterDatabase" localSheetId="0" hidden="1">InstructionsForm1A!$B$2:$F$293</definedName>
    <definedName name="_xlnm.Print_Area" localSheetId="1">Feb!$A$1:$AB$322</definedName>
    <definedName name="_xlnm.Print_Area" localSheetId="0">InstructionsForm1A!$B$1:$F$293</definedName>
    <definedName name="_xlnm.Print_Titles" localSheetId="1">Feb!$1:$6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8" i="1" l="1"/>
  <c r="AC9" i="1"/>
  <c r="G316" i="1" l="1"/>
  <c r="H316" i="1"/>
  <c r="I316" i="1"/>
  <c r="J316" i="1"/>
  <c r="K316" i="1"/>
  <c r="L316" i="1"/>
  <c r="M316" i="1"/>
  <c r="N316" i="1"/>
  <c r="O316" i="1"/>
  <c r="P316" i="1"/>
  <c r="Q316" i="1"/>
  <c r="R316" i="1"/>
  <c r="S316" i="1"/>
  <c r="T316" i="1"/>
  <c r="U316" i="1"/>
  <c r="V316" i="1"/>
  <c r="W316" i="1"/>
  <c r="X316" i="1"/>
  <c r="Y316" i="1"/>
  <c r="Z316" i="1"/>
  <c r="AA316" i="1"/>
  <c r="W318" i="1"/>
  <c r="AB284" i="1"/>
  <c r="AB285" i="1"/>
  <c r="AB286" i="1"/>
  <c r="AB287" i="1"/>
  <c r="AB288" i="1"/>
  <c r="E281" i="1"/>
  <c r="F281" i="1"/>
  <c r="G281" i="1"/>
  <c r="H281" i="1"/>
  <c r="I281" i="1"/>
  <c r="J281" i="1"/>
  <c r="K281" i="1"/>
  <c r="L281" i="1"/>
  <c r="M281" i="1"/>
  <c r="N281" i="1"/>
  <c r="O281" i="1"/>
  <c r="P281" i="1"/>
  <c r="Q281" i="1"/>
  <c r="R281" i="1"/>
  <c r="S281" i="1"/>
  <c r="T281" i="1"/>
  <c r="U281" i="1"/>
  <c r="V281" i="1"/>
  <c r="W281" i="1"/>
  <c r="X281" i="1"/>
  <c r="Y281" i="1"/>
  <c r="Z281" i="1"/>
  <c r="AA281" i="1"/>
  <c r="D281" i="1"/>
  <c r="AB232" i="1"/>
  <c r="AB231" i="1"/>
  <c r="AB235" i="1"/>
  <c r="AB234" i="1"/>
  <c r="AB229" i="1"/>
  <c r="AB230" i="1"/>
  <c r="AB228" i="1"/>
  <c r="AB204" i="1"/>
  <c r="AB205" i="1"/>
  <c r="AB80" i="1"/>
  <c r="AB81" i="1"/>
  <c r="AB82" i="1"/>
  <c r="AB83" i="1"/>
  <c r="AB79" i="1"/>
  <c r="AB78" i="1"/>
  <c r="AB77" i="1"/>
  <c r="AB73" i="1"/>
  <c r="AB75" i="1"/>
  <c r="AB76" i="1"/>
  <c r="AB74" i="1"/>
  <c r="AB67" i="1"/>
  <c r="AB68" i="1"/>
  <c r="AB69" i="1"/>
  <c r="AB70" i="1"/>
  <c r="AB71" i="1"/>
  <c r="AB72" i="1"/>
  <c r="AB64" i="1"/>
  <c r="AB63" i="1"/>
  <c r="D222" i="1" l="1"/>
  <c r="E243" i="1"/>
  <c r="E222" i="1"/>
  <c r="E280" i="1"/>
  <c r="F280" i="1"/>
  <c r="G280" i="1"/>
  <c r="H280" i="1"/>
  <c r="I280" i="1"/>
  <c r="J280" i="1"/>
  <c r="K280" i="1"/>
  <c r="L280" i="1"/>
  <c r="M280" i="1"/>
  <c r="N280" i="1"/>
  <c r="O280" i="1"/>
  <c r="P280" i="1"/>
  <c r="Q280" i="1"/>
  <c r="R280" i="1"/>
  <c r="AC279" i="1" s="1"/>
  <c r="S280" i="1"/>
  <c r="T280" i="1"/>
  <c r="U280" i="1"/>
  <c r="V280" i="1"/>
  <c r="W280" i="1"/>
  <c r="X280" i="1"/>
  <c r="Y280" i="1"/>
  <c r="Z280" i="1"/>
  <c r="AA280" i="1"/>
  <c r="AF281" i="1"/>
  <c r="AD281" i="1"/>
  <c r="E276" i="1"/>
  <c r="F276" i="1"/>
  <c r="G276" i="1"/>
  <c r="H276" i="1"/>
  <c r="I276" i="1"/>
  <c r="J276" i="1"/>
  <c r="K276" i="1"/>
  <c r="L276" i="1"/>
  <c r="M276" i="1"/>
  <c r="N276" i="1"/>
  <c r="O276" i="1"/>
  <c r="P276" i="1"/>
  <c r="Q276" i="1"/>
  <c r="R276" i="1"/>
  <c r="S276" i="1"/>
  <c r="T276" i="1"/>
  <c r="U276" i="1"/>
  <c r="V276" i="1"/>
  <c r="W276" i="1"/>
  <c r="X276" i="1"/>
  <c r="Y276" i="1"/>
  <c r="Z276" i="1"/>
  <c r="AA276" i="1"/>
  <c r="D276" i="1"/>
  <c r="AC181" i="1" l="1"/>
  <c r="AC182" i="1"/>
  <c r="AC179" i="1"/>
  <c r="AC170" i="1"/>
  <c r="AC161" i="1"/>
  <c r="AC159" i="1"/>
  <c r="AC156" i="1"/>
  <c r="AC152" i="1"/>
  <c r="AC150" i="1"/>
  <c r="E165" i="1"/>
  <c r="F165" i="1"/>
  <c r="G165" i="1"/>
  <c r="H165" i="1"/>
  <c r="I165" i="1"/>
  <c r="J165" i="1"/>
  <c r="K165" i="1"/>
  <c r="L165" i="1"/>
  <c r="M165" i="1"/>
  <c r="N165" i="1"/>
  <c r="O165" i="1"/>
  <c r="P165" i="1"/>
  <c r="Q165" i="1"/>
  <c r="R165" i="1"/>
  <c r="S165" i="1"/>
  <c r="T165" i="1"/>
  <c r="U165" i="1"/>
  <c r="V165" i="1"/>
  <c r="W165" i="1"/>
  <c r="X165" i="1"/>
  <c r="Y165" i="1"/>
  <c r="Z165" i="1"/>
  <c r="AA165" i="1"/>
  <c r="D165" i="1"/>
  <c r="E147" i="1"/>
  <c r="F147" i="1"/>
  <c r="G147" i="1"/>
  <c r="H147" i="1"/>
  <c r="I147" i="1"/>
  <c r="J147" i="1"/>
  <c r="K147" i="1"/>
  <c r="L147" i="1"/>
  <c r="M147" i="1"/>
  <c r="N147" i="1"/>
  <c r="O147" i="1"/>
  <c r="P147" i="1"/>
  <c r="Q147" i="1"/>
  <c r="R147" i="1"/>
  <c r="S147" i="1"/>
  <c r="T147" i="1"/>
  <c r="U147" i="1"/>
  <c r="V147" i="1"/>
  <c r="W147" i="1"/>
  <c r="X147" i="1"/>
  <c r="Y147" i="1"/>
  <c r="Z147" i="1"/>
  <c r="AA147" i="1"/>
  <c r="D147" i="1"/>
  <c r="AA167" i="1"/>
  <c r="Z167" i="1"/>
  <c r="Y167" i="1"/>
  <c r="X167" i="1"/>
  <c r="W167" i="1"/>
  <c r="V167" i="1"/>
  <c r="U167" i="1"/>
  <c r="T167" i="1"/>
  <c r="S167" i="1"/>
  <c r="R167" i="1"/>
  <c r="Q167" i="1"/>
  <c r="P167" i="1"/>
  <c r="O167" i="1"/>
  <c r="N167" i="1"/>
  <c r="M167" i="1"/>
  <c r="L167" i="1"/>
  <c r="K167" i="1"/>
  <c r="J167" i="1"/>
  <c r="I167" i="1"/>
  <c r="H167" i="1"/>
  <c r="G167" i="1"/>
  <c r="F167" i="1"/>
  <c r="E167" i="1"/>
  <c r="D167" i="1"/>
  <c r="AB167" i="1" s="1"/>
  <c r="AA158" i="1"/>
  <c r="Z158" i="1"/>
  <c r="Y158" i="1"/>
  <c r="X158" i="1"/>
  <c r="W158" i="1"/>
  <c r="V158" i="1"/>
  <c r="U158" i="1"/>
  <c r="T158" i="1"/>
  <c r="S158" i="1"/>
  <c r="R158" i="1"/>
  <c r="Q158" i="1"/>
  <c r="P158" i="1"/>
  <c r="O158" i="1"/>
  <c r="N158" i="1"/>
  <c r="M158" i="1"/>
  <c r="L158" i="1"/>
  <c r="K158" i="1"/>
  <c r="J158" i="1"/>
  <c r="I158" i="1"/>
  <c r="H158" i="1"/>
  <c r="G158" i="1"/>
  <c r="F158" i="1"/>
  <c r="E158" i="1"/>
  <c r="D158" i="1"/>
  <c r="AB158" i="1" s="1"/>
  <c r="AB156" i="1"/>
  <c r="AA149" i="1"/>
  <c r="Z149" i="1"/>
  <c r="Y149" i="1"/>
  <c r="X149" i="1"/>
  <c r="W149" i="1"/>
  <c r="V149" i="1"/>
  <c r="U149" i="1"/>
  <c r="T149" i="1"/>
  <c r="S149" i="1"/>
  <c r="R149" i="1"/>
  <c r="Q149" i="1"/>
  <c r="P149" i="1"/>
  <c r="O149" i="1"/>
  <c r="N149" i="1"/>
  <c r="M149" i="1"/>
  <c r="L149" i="1"/>
  <c r="K149" i="1"/>
  <c r="J149" i="1"/>
  <c r="I149" i="1"/>
  <c r="H149" i="1"/>
  <c r="G149" i="1"/>
  <c r="F149" i="1"/>
  <c r="E149" i="1"/>
  <c r="D149" i="1"/>
  <c r="AC168" i="1"/>
  <c r="AC143" i="1"/>
  <c r="AC141" i="1"/>
  <c r="E140" i="1"/>
  <c r="F140" i="1"/>
  <c r="G140" i="1"/>
  <c r="H140" i="1"/>
  <c r="I140" i="1"/>
  <c r="J140" i="1"/>
  <c r="K140" i="1"/>
  <c r="L140" i="1"/>
  <c r="M140" i="1"/>
  <c r="N140" i="1"/>
  <c r="O140" i="1"/>
  <c r="P140" i="1"/>
  <c r="Q140" i="1"/>
  <c r="R140" i="1"/>
  <c r="S140" i="1"/>
  <c r="T140" i="1"/>
  <c r="U140" i="1"/>
  <c r="V140" i="1"/>
  <c r="W140" i="1"/>
  <c r="X140" i="1"/>
  <c r="Y140" i="1"/>
  <c r="Z140" i="1"/>
  <c r="AA140" i="1"/>
  <c r="E138" i="1"/>
  <c r="F138" i="1"/>
  <c r="G138" i="1"/>
  <c r="H138" i="1"/>
  <c r="I138" i="1"/>
  <c r="J138" i="1"/>
  <c r="K138" i="1"/>
  <c r="L138" i="1"/>
  <c r="M138" i="1"/>
  <c r="N138" i="1"/>
  <c r="O138" i="1"/>
  <c r="P138" i="1"/>
  <c r="Q138" i="1"/>
  <c r="R138" i="1"/>
  <c r="S138" i="1"/>
  <c r="T138" i="1"/>
  <c r="U138" i="1"/>
  <c r="V138" i="1"/>
  <c r="W138" i="1"/>
  <c r="X138" i="1"/>
  <c r="Y138" i="1"/>
  <c r="Z138" i="1"/>
  <c r="AA138" i="1"/>
  <c r="D18" i="1"/>
  <c r="E18" i="1"/>
  <c r="AB16" i="1"/>
  <c r="AB17" i="1"/>
  <c r="AB18" i="1" s="1"/>
  <c r="AB15" i="1"/>
  <c r="AB12" i="1"/>
  <c r="AB13" i="1"/>
  <c r="AB138" i="1"/>
  <c r="D138" i="1"/>
  <c r="D14" i="1"/>
  <c r="E14" i="1"/>
  <c r="AB176" i="1"/>
  <c r="AB157" i="1"/>
  <c r="AB159" i="1"/>
  <c r="AB160" i="1"/>
  <c r="AB161" i="1"/>
  <c r="AB162" i="1"/>
  <c r="AB163" i="1"/>
  <c r="AB164" i="1"/>
  <c r="AB166" i="1"/>
  <c r="AB168" i="1"/>
  <c r="AB169" i="1"/>
  <c r="AB170" i="1"/>
  <c r="AB171" i="1"/>
  <c r="AB172" i="1"/>
  <c r="AB173" i="1"/>
  <c r="AB155" i="1"/>
  <c r="AB148" i="1"/>
  <c r="AB150" i="1"/>
  <c r="AB151" i="1"/>
  <c r="AB152" i="1"/>
  <c r="AB153" i="1"/>
  <c r="AB154" i="1"/>
  <c r="AB146" i="1"/>
  <c r="D140" i="1"/>
  <c r="AB141" i="1"/>
  <c r="AB142" i="1"/>
  <c r="AB143" i="1"/>
  <c r="AB144" i="1"/>
  <c r="AB145" i="1"/>
  <c r="E49" i="1"/>
  <c r="F49" i="1"/>
  <c r="G49" i="1"/>
  <c r="H49" i="1"/>
  <c r="I49" i="1"/>
  <c r="J49" i="1"/>
  <c r="K49" i="1"/>
  <c r="L49" i="1"/>
  <c r="M49" i="1"/>
  <c r="N49" i="1"/>
  <c r="O49" i="1"/>
  <c r="P49" i="1"/>
  <c r="Q49" i="1"/>
  <c r="R49" i="1"/>
  <c r="S49" i="1"/>
  <c r="T49" i="1"/>
  <c r="U49" i="1"/>
  <c r="V49" i="1"/>
  <c r="W49" i="1"/>
  <c r="X49" i="1"/>
  <c r="Y49" i="1"/>
  <c r="Z49" i="1"/>
  <c r="AA49" i="1"/>
  <c r="D49" i="1"/>
  <c r="G14" i="1"/>
  <c r="H14" i="1"/>
  <c r="I14" i="1"/>
  <c r="J14" i="1"/>
  <c r="K14" i="1"/>
  <c r="L14" i="1"/>
  <c r="M14" i="1"/>
  <c r="N14" i="1"/>
  <c r="O14" i="1"/>
  <c r="P14" i="1"/>
  <c r="Q14" i="1"/>
  <c r="R14" i="1"/>
  <c r="S14" i="1"/>
  <c r="T14" i="1"/>
  <c r="U14" i="1"/>
  <c r="V14" i="1"/>
  <c r="W14" i="1"/>
  <c r="X14" i="1"/>
  <c r="Y14" i="1"/>
  <c r="Z14" i="1"/>
  <c r="AA14" i="1"/>
  <c r="AA131" i="1"/>
  <c r="Y131" i="1"/>
  <c r="W131" i="1"/>
  <c r="U131" i="1"/>
  <c r="S131" i="1"/>
  <c r="Q131" i="1"/>
  <c r="O131" i="1"/>
  <c r="M131" i="1"/>
  <c r="AA117" i="1"/>
  <c r="Y117" i="1"/>
  <c r="W117" i="1"/>
  <c r="U117" i="1"/>
  <c r="S117" i="1"/>
  <c r="Q117" i="1"/>
  <c r="O117" i="1"/>
  <c r="M117" i="1"/>
  <c r="AA124" i="1"/>
  <c r="Y124" i="1"/>
  <c r="W124" i="1"/>
  <c r="U124" i="1"/>
  <c r="S124" i="1"/>
  <c r="Q124" i="1"/>
  <c r="O124" i="1"/>
  <c r="M124" i="1"/>
  <c r="AC122" i="1" s="1"/>
  <c r="F14" i="1"/>
  <c r="AB149" i="1" l="1"/>
  <c r="AC165" i="1"/>
  <c r="AD165" i="1" s="1"/>
  <c r="AB147" i="1"/>
  <c r="AB281" i="1"/>
  <c r="AC147" i="1"/>
  <c r="AD147" i="1" s="1"/>
  <c r="AB14" i="1"/>
  <c r="AC138" i="1"/>
  <c r="AD138" i="1" s="1"/>
  <c r="AB165" i="1"/>
  <c r="AD156" i="1"/>
  <c r="AC176" i="1"/>
  <c r="AC174" i="1"/>
  <c r="AB140" i="1"/>
  <c r="AC129" i="1"/>
  <c r="AC115" i="1"/>
  <c r="AB131" i="1"/>
  <c r="AB117" i="1"/>
  <c r="AB124" i="1"/>
  <c r="AC16" i="1"/>
  <c r="AC15" i="1"/>
  <c r="AC12" i="1"/>
  <c r="AC11" i="1"/>
  <c r="G18" i="1"/>
  <c r="H18" i="1"/>
  <c r="I18" i="1"/>
  <c r="J18" i="1"/>
  <c r="K18" i="1"/>
  <c r="L18" i="1"/>
  <c r="M18" i="1"/>
  <c r="N18" i="1"/>
  <c r="O18" i="1"/>
  <c r="P18" i="1"/>
  <c r="Q18" i="1"/>
  <c r="R18" i="1"/>
  <c r="S18" i="1"/>
  <c r="T18" i="1"/>
  <c r="U18" i="1"/>
  <c r="V18" i="1"/>
  <c r="W18" i="1"/>
  <c r="X18" i="1"/>
  <c r="Y18" i="1"/>
  <c r="Z18" i="1"/>
  <c r="AA18" i="1"/>
  <c r="F18" i="1"/>
  <c r="AE230" i="1" l="1"/>
  <c r="AC210" i="1"/>
  <c r="F314" i="1" l="1"/>
  <c r="G314" i="1"/>
  <c r="H314" i="1"/>
  <c r="I314" i="1"/>
  <c r="J314" i="1"/>
  <c r="K314" i="1"/>
  <c r="L314" i="1"/>
  <c r="M314" i="1"/>
  <c r="O314" i="1"/>
  <c r="P314" i="1"/>
  <c r="Q314" i="1"/>
  <c r="R314" i="1"/>
  <c r="S314" i="1"/>
  <c r="T314" i="1"/>
  <c r="U314" i="1"/>
  <c r="V314" i="1"/>
  <c r="W314" i="1"/>
  <c r="X314" i="1"/>
  <c r="Y314" i="1"/>
  <c r="Z314" i="1"/>
  <c r="AA314" i="1"/>
  <c r="AC320" i="1"/>
  <c r="AC99" i="1"/>
  <c r="AE319" i="1"/>
  <c r="AC317" i="1"/>
  <c r="AC315" i="1"/>
  <c r="AC312" i="1"/>
  <c r="AC298" i="1"/>
  <c r="F250" i="4"/>
  <c r="AE237" i="1"/>
  <c r="AC237" i="1"/>
  <c r="E252" i="1"/>
  <c r="F252" i="1"/>
  <c r="G252" i="1"/>
  <c r="H252" i="1"/>
  <c r="I252" i="1"/>
  <c r="J252" i="1"/>
  <c r="K252" i="1"/>
  <c r="L252" i="1"/>
  <c r="M252" i="1"/>
  <c r="N252" i="1"/>
  <c r="O252" i="1"/>
  <c r="P252" i="1"/>
  <c r="Q252" i="1"/>
  <c r="R252" i="1"/>
  <c r="S252" i="1"/>
  <c r="T252" i="1"/>
  <c r="U252" i="1"/>
  <c r="V252" i="1"/>
  <c r="W252" i="1"/>
  <c r="X252" i="1"/>
  <c r="Y252" i="1"/>
  <c r="Z252" i="1"/>
  <c r="AA252" i="1"/>
  <c r="AC268" i="1"/>
  <c r="AC267" i="1"/>
  <c r="AB270" i="1" l="1"/>
  <c r="AB271" i="1"/>
  <c r="AB273" i="1"/>
  <c r="AB274" i="1"/>
  <c r="AB275" i="1"/>
  <c r="AB277" i="1"/>
  <c r="AB266" i="1"/>
  <c r="AB267" i="1"/>
  <c r="AB268" i="1"/>
  <c r="AB276" i="1" l="1"/>
  <c r="AC276" i="1"/>
  <c r="E265" i="1" l="1"/>
  <c r="F265" i="1"/>
  <c r="G265" i="1"/>
  <c r="H265" i="1"/>
  <c r="I265" i="1"/>
  <c r="J265" i="1"/>
  <c r="K265" i="1"/>
  <c r="L265" i="1"/>
  <c r="M265" i="1"/>
  <c r="N265" i="1"/>
  <c r="O265" i="1"/>
  <c r="P265" i="1"/>
  <c r="Q265" i="1"/>
  <c r="R265" i="1"/>
  <c r="S265" i="1"/>
  <c r="T265" i="1"/>
  <c r="U265" i="1"/>
  <c r="V265" i="1"/>
  <c r="W265" i="1"/>
  <c r="X265" i="1"/>
  <c r="Y265" i="1"/>
  <c r="Z265" i="1"/>
  <c r="AA265" i="1"/>
  <c r="D252" i="1"/>
  <c r="AC103" i="1" s="1"/>
  <c r="AB244" i="1"/>
  <c r="AB245" i="1"/>
  <c r="AB246" i="1"/>
  <c r="AB247" i="1"/>
  <c r="AB248" i="1"/>
  <c r="AB249" i="1"/>
  <c r="F243" i="1"/>
  <c r="G243" i="1"/>
  <c r="H243" i="1"/>
  <c r="I243" i="1"/>
  <c r="J243" i="1"/>
  <c r="K243" i="1"/>
  <c r="L243" i="1"/>
  <c r="M243" i="1"/>
  <c r="N243" i="1"/>
  <c r="O243" i="1"/>
  <c r="P243" i="1"/>
  <c r="Q243" i="1"/>
  <c r="R243" i="1"/>
  <c r="S243" i="1"/>
  <c r="T243" i="1"/>
  <c r="U243" i="1"/>
  <c r="V243" i="1"/>
  <c r="W243" i="1"/>
  <c r="X243" i="1"/>
  <c r="Y243" i="1"/>
  <c r="Z243" i="1"/>
  <c r="AA243" i="1"/>
  <c r="AC251" i="1" l="1"/>
  <c r="AC235" i="1"/>
  <c r="AC234" i="1"/>
  <c r="AC232" i="1"/>
  <c r="AC231" i="1"/>
  <c r="AE231" i="1"/>
  <c r="AE229" i="1"/>
  <c r="AE227" i="1" l="1"/>
  <c r="AE226" i="1"/>
  <c r="AC193" i="1"/>
  <c r="D216" i="1"/>
  <c r="D219" i="1"/>
  <c r="AE218" i="1"/>
  <c r="AE217" i="1"/>
  <c r="AC217" i="1"/>
  <c r="AC218" i="1"/>
  <c r="AC215" i="1"/>
  <c r="AC214" i="1"/>
  <c r="AC212" i="1"/>
  <c r="E219" i="1"/>
  <c r="E216" i="1"/>
  <c r="AC208" i="1"/>
  <c r="AC206" i="1"/>
  <c r="AC204" i="1"/>
  <c r="AC219" i="1" l="1"/>
  <c r="AE219" i="1"/>
  <c r="AF214" i="1" s="1"/>
  <c r="AB219" i="1"/>
  <c r="AE193" i="1" l="1"/>
  <c r="AF192" i="1" s="1"/>
  <c r="AC200" i="1"/>
  <c r="AC198" i="1"/>
  <c r="AC101" i="1"/>
  <c r="AC100" i="1"/>
  <c r="K77" i="1"/>
  <c r="L77" i="1"/>
  <c r="M77" i="1"/>
  <c r="N77" i="1"/>
  <c r="O77" i="1"/>
  <c r="P77" i="1"/>
  <c r="Q77" i="1"/>
  <c r="R77" i="1"/>
  <c r="S77" i="1"/>
  <c r="T77" i="1"/>
  <c r="U77" i="1"/>
  <c r="V77" i="1"/>
  <c r="W77" i="1"/>
  <c r="X77" i="1"/>
  <c r="Y77" i="1"/>
  <c r="Z77" i="1"/>
  <c r="AA77" i="1"/>
  <c r="J77" i="1"/>
  <c r="K66" i="1"/>
  <c r="L66" i="1"/>
  <c r="M66" i="1"/>
  <c r="N66" i="1"/>
  <c r="O66" i="1"/>
  <c r="P66" i="1"/>
  <c r="Q66" i="1"/>
  <c r="R66" i="1"/>
  <c r="S66" i="1"/>
  <c r="T66" i="1"/>
  <c r="U66" i="1"/>
  <c r="V66" i="1"/>
  <c r="W66" i="1"/>
  <c r="X66" i="1"/>
  <c r="Y66" i="1"/>
  <c r="Z66" i="1"/>
  <c r="AA66" i="1"/>
  <c r="AC63" i="1"/>
  <c r="AC62" i="1"/>
  <c r="AC47" i="1"/>
  <c r="AC45" i="1"/>
  <c r="AC43" i="1"/>
  <c r="AC41" i="1"/>
  <c r="AC39" i="1"/>
  <c r="AC37" i="1"/>
  <c r="AC35" i="1"/>
  <c r="AC33" i="1"/>
  <c r="AC26" i="1"/>
  <c r="AE24" i="1"/>
  <c r="AC22" i="1"/>
  <c r="AC86" i="1" l="1"/>
  <c r="AC76" i="1"/>
  <c r="AC73" i="1"/>
  <c r="AB282" i="1" l="1"/>
  <c r="D280" i="1"/>
  <c r="AB278" i="1"/>
  <c r="E269" i="1"/>
  <c r="E272" i="1" s="1"/>
  <c r="F269" i="1"/>
  <c r="F272" i="1" s="1"/>
  <c r="G269" i="1"/>
  <c r="G272" i="1" s="1"/>
  <c r="H269" i="1"/>
  <c r="H272" i="1" s="1"/>
  <c r="I269" i="1"/>
  <c r="J269" i="1"/>
  <c r="J272" i="1" s="1"/>
  <c r="K269" i="1"/>
  <c r="K272" i="1" s="1"/>
  <c r="L269" i="1"/>
  <c r="L272" i="1" s="1"/>
  <c r="M269" i="1"/>
  <c r="M272" i="1" s="1"/>
  <c r="N269" i="1"/>
  <c r="N272" i="1" s="1"/>
  <c r="O269" i="1"/>
  <c r="O272" i="1" s="1"/>
  <c r="P269" i="1"/>
  <c r="P272" i="1" s="1"/>
  <c r="Q269" i="1"/>
  <c r="Q272" i="1" s="1"/>
  <c r="R269" i="1"/>
  <c r="R272" i="1" s="1"/>
  <c r="S269" i="1"/>
  <c r="S272" i="1" s="1"/>
  <c r="T269" i="1"/>
  <c r="T272" i="1" s="1"/>
  <c r="U269" i="1"/>
  <c r="U272" i="1" s="1"/>
  <c r="V269" i="1"/>
  <c r="V272" i="1" s="1"/>
  <c r="W269" i="1"/>
  <c r="W272" i="1" s="1"/>
  <c r="X269" i="1"/>
  <c r="X272" i="1" s="1"/>
  <c r="Y269" i="1"/>
  <c r="Y272" i="1" s="1"/>
  <c r="Z269" i="1"/>
  <c r="Z272" i="1" s="1"/>
  <c r="AA269" i="1"/>
  <c r="AA272" i="1" s="1"/>
  <c r="D269" i="1"/>
  <c r="AB279" i="1"/>
  <c r="J66" i="1"/>
  <c r="AC66" i="1" s="1"/>
  <c r="D243" i="1"/>
  <c r="AC222" i="1" s="1"/>
  <c r="AB251" i="1"/>
  <c r="AC77" i="1" l="1"/>
  <c r="I272" i="1"/>
  <c r="D272" i="1"/>
  <c r="AB269" i="1"/>
  <c r="AB283" i="1"/>
  <c r="AB280" i="1"/>
  <c r="AB272" i="1" l="1"/>
  <c r="AC272" i="1"/>
  <c r="AC280" i="1"/>
  <c r="AC277" i="1"/>
  <c r="AE272" i="1"/>
  <c r="AF267" i="1" s="1"/>
  <c r="AB315" i="1"/>
  <c r="AB317" i="1"/>
  <c r="AB319" i="1"/>
  <c r="AB320" i="1"/>
  <c r="F321" i="1"/>
  <c r="G321" i="1"/>
  <c r="H321" i="1"/>
  <c r="I321" i="1"/>
  <c r="J321" i="1"/>
  <c r="K321" i="1"/>
  <c r="L321" i="1"/>
  <c r="M321" i="1"/>
  <c r="N321" i="1"/>
  <c r="O321" i="1"/>
  <c r="P321" i="1"/>
  <c r="Q321" i="1"/>
  <c r="R321" i="1"/>
  <c r="S321" i="1"/>
  <c r="T321" i="1"/>
  <c r="U321" i="1"/>
  <c r="V321" i="1"/>
  <c r="W321" i="1"/>
  <c r="X321" i="1"/>
  <c r="Y321" i="1"/>
  <c r="Z321" i="1"/>
  <c r="AA321" i="1"/>
  <c r="F318" i="1"/>
  <c r="G318" i="1"/>
  <c r="H318" i="1"/>
  <c r="I318" i="1"/>
  <c r="J318" i="1"/>
  <c r="K318" i="1"/>
  <c r="L318" i="1"/>
  <c r="M318" i="1"/>
  <c r="N318" i="1"/>
  <c r="O318" i="1"/>
  <c r="P318" i="1"/>
  <c r="Q318" i="1"/>
  <c r="R318" i="1"/>
  <c r="S318" i="1"/>
  <c r="T318" i="1"/>
  <c r="U318" i="1"/>
  <c r="V318" i="1"/>
  <c r="X318" i="1"/>
  <c r="Y318" i="1"/>
  <c r="Z318" i="1"/>
  <c r="AA318" i="1"/>
  <c r="F316" i="1"/>
  <c r="AC316" i="1" s="1"/>
  <c r="N314" i="1"/>
  <c r="AE314" i="1" s="1"/>
  <c r="AB313" i="1"/>
  <c r="AB312" i="1"/>
  <c r="AB139" i="1"/>
  <c r="AB174" i="1"/>
  <c r="AB222" i="1"/>
  <c r="AB211" i="1"/>
  <c r="AB212" i="1"/>
  <c r="AB213" i="1"/>
  <c r="AB214" i="1"/>
  <c r="AB215" i="1"/>
  <c r="AB217" i="1"/>
  <c r="AB218" i="1"/>
  <c r="AB220" i="1"/>
  <c r="AB221" i="1"/>
  <c r="AB200" i="1"/>
  <c r="AB201" i="1"/>
  <c r="AB202" i="1"/>
  <c r="AB203" i="1"/>
  <c r="AB206" i="1"/>
  <c r="AB207" i="1"/>
  <c r="AB208" i="1"/>
  <c r="AB209" i="1"/>
  <c r="AB210" i="1"/>
  <c r="AB198" i="1"/>
  <c r="AB216" i="1"/>
  <c r="AD267" i="1" l="1"/>
  <c r="AF312" i="1"/>
  <c r="AC321" i="1"/>
  <c r="AD312" i="1" s="1"/>
  <c r="AB314" i="1"/>
  <c r="AB316" i="1"/>
  <c r="AB321" i="1"/>
  <c r="AB318" i="1"/>
  <c r="Y228" i="1"/>
  <c r="W228" i="1"/>
  <c r="U228" i="1"/>
  <c r="S228" i="1"/>
  <c r="Q228" i="1"/>
  <c r="O228" i="1"/>
  <c r="M228" i="1"/>
  <c r="K228" i="1"/>
  <c r="Y197" i="1" l="1"/>
  <c r="W197" i="1"/>
  <c r="U197" i="1"/>
  <c r="S197" i="1"/>
  <c r="Q197" i="1"/>
  <c r="O197" i="1"/>
  <c r="M197" i="1"/>
  <c r="K197" i="1"/>
  <c r="Y196" i="1"/>
  <c r="W196" i="1"/>
  <c r="U196" i="1"/>
  <c r="S196" i="1"/>
  <c r="Q196" i="1"/>
  <c r="O196" i="1"/>
  <c r="M196" i="1"/>
  <c r="K196" i="1"/>
  <c r="AB196" i="1" l="1"/>
  <c r="AB197" i="1"/>
  <c r="F50" i="1"/>
  <c r="AB299" i="1" l="1"/>
  <c r="AB300" i="1"/>
  <c r="AB301" i="1"/>
  <c r="AB302" i="1"/>
  <c r="D303" i="1" l="1"/>
  <c r="E303" i="1"/>
  <c r="F303" i="1"/>
  <c r="G303" i="1"/>
  <c r="H303" i="1"/>
  <c r="I303" i="1"/>
  <c r="J303" i="1"/>
  <c r="K303" i="1"/>
  <c r="L303" i="1"/>
  <c r="M303" i="1"/>
  <c r="N303" i="1"/>
  <c r="O303" i="1"/>
  <c r="P303" i="1"/>
  <c r="Q303" i="1"/>
  <c r="R303" i="1"/>
  <c r="S303" i="1"/>
  <c r="T303" i="1"/>
  <c r="U303" i="1"/>
  <c r="V303" i="1"/>
  <c r="W303" i="1"/>
  <c r="X303" i="1"/>
  <c r="Y303" i="1"/>
  <c r="Z303" i="1"/>
  <c r="AA303" i="1"/>
  <c r="AF292" i="1" l="1"/>
  <c r="AB250" i="1" l="1"/>
  <c r="AB253" i="1"/>
  <c r="AB254" i="1"/>
  <c r="AB255" i="1"/>
  <c r="AB256" i="1"/>
  <c r="AB257" i="1"/>
  <c r="AB258" i="1"/>
  <c r="AB259" i="1"/>
  <c r="AB260" i="1"/>
  <c r="AB261" i="1"/>
  <c r="AB262" i="1"/>
  <c r="AB263" i="1"/>
  <c r="AB264" i="1"/>
  <c r="AB292" i="1"/>
  <c r="AB293" i="1"/>
  <c r="AB294" i="1"/>
  <c r="AB295" i="1"/>
  <c r="AB296" i="1"/>
  <c r="AB297" i="1"/>
  <c r="AB298" i="1"/>
  <c r="D265" i="1"/>
  <c r="AC252" i="1" l="1"/>
  <c r="AB265" i="1"/>
  <c r="AB252" i="1"/>
  <c r="AC243" i="1"/>
  <c r="AF54" i="1" l="1"/>
  <c r="AF99" i="1"/>
  <c r="AF114" i="1"/>
  <c r="AF138" i="1"/>
  <c r="AE34" i="1"/>
  <c r="AD54" i="1"/>
  <c r="AB243" i="1"/>
  <c r="AB303" i="1"/>
  <c r="AB304" i="1"/>
  <c r="AB305" i="1"/>
  <c r="AB306" i="1"/>
  <c r="AB307" i="1"/>
  <c r="AB308" i="1"/>
  <c r="AB309" i="1"/>
  <c r="AB310" i="1"/>
  <c r="AB227" i="1"/>
  <c r="AB233" i="1"/>
  <c r="AB236" i="1"/>
  <c r="AB237" i="1"/>
  <c r="AB238" i="1"/>
  <c r="AB239" i="1"/>
  <c r="AB226" i="1"/>
  <c r="AB193" i="1"/>
  <c r="AB194" i="1"/>
  <c r="AB195" i="1"/>
  <c r="AB199" i="1"/>
  <c r="AB192" i="1"/>
  <c r="AB175" i="1"/>
  <c r="AB177" i="1"/>
  <c r="AB178" i="1"/>
  <c r="AC178" i="1" s="1"/>
  <c r="AB179" i="1"/>
  <c r="AC180" i="1" s="1"/>
  <c r="AB180" i="1"/>
  <c r="AB181" i="1"/>
  <c r="AB182" i="1"/>
  <c r="AB183" i="1"/>
  <c r="AB184" i="1"/>
  <c r="AB185" i="1"/>
  <c r="AB186" i="1"/>
  <c r="AB187" i="1"/>
  <c r="AB188" i="1"/>
  <c r="AB115" i="1"/>
  <c r="AB116" i="1"/>
  <c r="AB118" i="1"/>
  <c r="AB119" i="1"/>
  <c r="AB120" i="1"/>
  <c r="AB121" i="1"/>
  <c r="AB122" i="1"/>
  <c r="AB123" i="1"/>
  <c r="AB125" i="1"/>
  <c r="AB126" i="1"/>
  <c r="AB127" i="1"/>
  <c r="AB128" i="1"/>
  <c r="AB129" i="1"/>
  <c r="AB130" i="1"/>
  <c r="AB132" i="1"/>
  <c r="AB133" i="1"/>
  <c r="AB134" i="1"/>
  <c r="AB114" i="1"/>
  <c r="AB58" i="1"/>
  <c r="AB55" i="1"/>
  <c r="AB56" i="1"/>
  <c r="AB57" i="1"/>
  <c r="AB54" i="1"/>
  <c r="AB65" i="1"/>
  <c r="AB66" i="1"/>
  <c r="AB84" i="1"/>
  <c r="AB85" i="1"/>
  <c r="AB86" i="1"/>
  <c r="AB87" i="1"/>
  <c r="AB88" i="1"/>
  <c r="AB89" i="1"/>
  <c r="AB90" i="1"/>
  <c r="AB91" i="1"/>
  <c r="AB92" i="1"/>
  <c r="AB93" i="1"/>
  <c r="AB62" i="1"/>
  <c r="AB100" i="1"/>
  <c r="AB101" i="1"/>
  <c r="AB102" i="1"/>
  <c r="AB103" i="1"/>
  <c r="AB104" i="1"/>
  <c r="AB105" i="1"/>
  <c r="AB106" i="1"/>
  <c r="AB107" i="1"/>
  <c r="AB108" i="1"/>
  <c r="AB109" i="1"/>
  <c r="AB110" i="1"/>
  <c r="AB99" i="1"/>
  <c r="AA50" i="1"/>
  <c r="E50" i="1"/>
  <c r="G50" i="1"/>
  <c r="H50" i="1"/>
  <c r="I50" i="1"/>
  <c r="J50" i="1"/>
  <c r="K50" i="1"/>
  <c r="L50" i="1"/>
  <c r="M50" i="1"/>
  <c r="N50" i="1"/>
  <c r="O50" i="1"/>
  <c r="P50" i="1"/>
  <c r="Q50" i="1"/>
  <c r="R50" i="1"/>
  <c r="S50" i="1"/>
  <c r="T50" i="1"/>
  <c r="U50" i="1"/>
  <c r="V50" i="1"/>
  <c r="W50" i="1"/>
  <c r="X50" i="1"/>
  <c r="Y50" i="1"/>
  <c r="Z50" i="1"/>
  <c r="D50" i="1"/>
  <c r="AB28" i="1"/>
  <c r="AB29" i="1"/>
  <c r="AB30" i="1"/>
  <c r="AB31" i="1"/>
  <c r="AB32" i="1"/>
  <c r="AB33" i="1"/>
  <c r="AB34" i="1"/>
  <c r="AB35" i="1"/>
  <c r="AB36" i="1"/>
  <c r="AB37" i="1"/>
  <c r="AB38" i="1"/>
  <c r="AB39" i="1"/>
  <c r="AB40" i="1"/>
  <c r="AB41" i="1"/>
  <c r="AB42" i="1"/>
  <c r="AB43" i="1"/>
  <c r="AB44" i="1"/>
  <c r="AB45" i="1"/>
  <c r="AB46" i="1"/>
  <c r="AB47" i="1"/>
  <c r="AB48" i="1"/>
  <c r="AB22" i="1"/>
  <c r="AB23" i="1"/>
  <c r="AB24" i="1"/>
  <c r="AB25" i="1"/>
  <c r="AB26" i="1"/>
  <c r="AB27" i="1"/>
  <c r="AD8" i="1" l="1"/>
  <c r="AC216" i="1"/>
  <c r="AD214" i="1" s="1"/>
  <c r="AC227" i="1"/>
  <c r="AC192" i="1"/>
  <c r="AD192" i="1" s="1"/>
  <c r="AE66" i="1"/>
  <c r="AF62" i="1" s="1"/>
  <c r="AC195" i="1"/>
  <c r="AC49" i="1"/>
  <c r="AC188" i="1"/>
  <c r="AE47" i="1"/>
  <c r="AC84" i="1"/>
  <c r="AD62" i="1" s="1"/>
  <c r="AE31" i="1"/>
  <c r="AC250" i="1"/>
  <c r="AD243" i="1" s="1"/>
  <c r="AE45" i="1"/>
  <c r="AE41" i="1"/>
  <c r="AE37" i="1"/>
  <c r="AC183" i="1"/>
  <c r="AC238" i="1"/>
  <c r="AC187" i="1"/>
  <c r="AC31" i="1"/>
  <c r="AD292" i="1"/>
  <c r="AE43" i="1"/>
  <c r="AE35" i="1"/>
  <c r="AB50" i="1"/>
  <c r="AB49" i="1"/>
  <c r="AE14" i="1" s="1"/>
  <c r="AF8" i="1" s="1"/>
  <c r="AC185" i="1"/>
  <c r="AC202" i="1"/>
  <c r="AC239" i="1"/>
  <c r="AE233" i="1"/>
  <c r="AC194" i="1"/>
  <c r="AE33" i="1"/>
  <c r="AC102" i="1"/>
  <c r="AD99" i="1" s="1"/>
  <c r="AE50" i="1"/>
  <c r="AE26" i="1"/>
  <c r="AE238" i="1"/>
  <c r="AE39" i="1"/>
  <c r="AE49" i="1"/>
  <c r="AE250" i="1"/>
  <c r="AF243" i="1" s="1"/>
  <c r="AE239" i="1"/>
  <c r="AC233" i="1"/>
  <c r="AD174" i="1" l="1"/>
  <c r="AF226" i="1"/>
  <c r="AD226" i="1"/>
  <c r="AD22" i="1"/>
  <c r="AD114" i="1"/>
  <c r="AF22" i="1"/>
  <c r="A348" i="1" s="1"/>
  <c r="AF6" i="1" s="1"/>
  <c r="A326" i="1" l="1"/>
  <c r="AD6" i="1" s="1"/>
  <c r="M326" i="1" l="1"/>
</calcChain>
</file>

<file path=xl/sharedStrings.xml><?xml version="1.0" encoding="utf-8"?>
<sst xmlns="http://schemas.openxmlformats.org/spreadsheetml/2006/main" count="2288" uniqueCount="1055">
  <si>
    <t>&lt; 1</t>
  </si>
  <si>
    <t>1-4</t>
  </si>
  <si>
    <t>5-9</t>
  </si>
  <si>
    <t>10-14</t>
  </si>
  <si>
    <t>15-19</t>
  </si>
  <si>
    <t>20-24</t>
  </si>
  <si>
    <t>25-29</t>
  </si>
  <si>
    <t>30-34</t>
  </si>
  <si>
    <t>35-39</t>
  </si>
  <si>
    <t>50+</t>
  </si>
  <si>
    <t>M</t>
  </si>
  <si>
    <t>F</t>
  </si>
  <si>
    <t>1.1 HIV Testing</t>
  </si>
  <si>
    <t>PITC-Emergency</t>
  </si>
  <si>
    <t>PITC-Inpatient</t>
  </si>
  <si>
    <t>PITC-Malnutrition</t>
  </si>
  <si>
    <t>PITC-STI</t>
  </si>
  <si>
    <t xml:space="preserve">PITC-TB </t>
  </si>
  <si>
    <t>VCT</t>
  </si>
  <si>
    <t>Sub Total</t>
  </si>
  <si>
    <t>Test kits distributed</t>
  </si>
  <si>
    <t>Other</t>
  </si>
  <si>
    <t>Other PITC</t>
  </si>
  <si>
    <t>40-44</t>
  </si>
  <si>
    <t>45-49</t>
  </si>
  <si>
    <t>Post Treatment follow-up</t>
  </si>
  <si>
    <t>Others</t>
  </si>
  <si>
    <t>Outcomes for LTFU</t>
  </si>
  <si>
    <t>Three month test result</t>
  </si>
  <si>
    <t>Number discontinued</t>
  </si>
  <si>
    <t>Number lost to follow-up</t>
  </si>
  <si>
    <t>Number died</t>
  </si>
  <si>
    <t>Number transferred out</t>
  </si>
  <si>
    <t>First time screening &amp; treatment</t>
  </si>
  <si>
    <t>Sexual violence</t>
  </si>
  <si>
    <t>Physical &amp; emotional</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</si>
  <si>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</si>
  <si>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</si>
  <si>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</si>
  <si>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</si>
  <si>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</si>
  <si>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</si>
  <si>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</si>
  <si>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</si>
  <si>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</si>
  <si>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</si>
  <si>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</si>
  <si>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</si>
  <si>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</si>
  <si>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</si>
  <si>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This is a count of all clients by sex, age and population type, who have had stopped using PrEP and they are re-initiated in the reporting month</t>
  </si>
  <si>
    <t>This is a count of HIV testing results received by those individuals who present for their three-month follow-up PrEP visit</t>
  </si>
  <si>
    <t>This is a count of HIV positive results received by those individuals who present for their three-month follow-up PrEP visit</t>
  </si>
  <si>
    <t>This is a count of individuals who take an HIV test when they were initiated on PrEP less than three months previously (Positive/negative/Less than three months since PrEP initiation).</t>
  </si>
  <si>
    <t>This are clients on PrEP who have been diagnosed to have STI during the reporting month</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</si>
  <si>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</si>
  <si>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</si>
  <si>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</si>
  <si>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</si>
  <si>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</si>
  <si>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</si>
  <si>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</si>
  <si>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</si>
  <si>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</si>
  <si>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</si>
  <si>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</si>
  <si>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</si>
  <si>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</si>
  <si>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</si>
  <si>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</si>
  <si>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</si>
  <si>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</si>
  <si>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women newly started ART for treatment and were breastfeeding at initiation of ART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</si>
  <si>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</si>
  <si>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</si>
  <si>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</si>
  <si>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</si>
  <si>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</si>
  <si>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</si>
  <si>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</si>
  <si>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</si>
  <si>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PLHIV newly enrolled in HIV clinical care who start IPT and receive at least one dose six months ago when newly starting ART while they were previously receiving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</si>
  <si>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</si>
  <si>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</si>
  <si>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</si>
  <si>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</si>
  <si>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all clients who discontinued PrEP during the reporting period.</t>
  </si>
  <si>
    <t>This is a count of all clients who had a drug resistance test done during the reporting period.</t>
  </si>
  <si>
    <t>This is a count of all clients who were referred to other facilities before or after PrEP initiation during the reporting period.</t>
  </si>
  <si>
    <t>This is a count of all clients who were still being prepared for PrEP initiation during the reporting period.</t>
  </si>
  <si>
    <t>This is the a count of all clients who were provided with condoms during the reporting period.</t>
  </si>
  <si>
    <t>This is a count of all clients who declined PrEP initiation.</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</si>
  <si>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</si>
  <si>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</si>
  <si>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</si>
  <si>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</si>
  <si>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</si>
  <si>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</si>
  <si>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</si>
  <si>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</si>
  <si>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</si>
  <si>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</si>
  <si>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</si>
  <si>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</si>
  <si>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</si>
  <si>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</si>
  <si>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</si>
  <si>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</si>
  <si>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</si>
  <si>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</si>
  <si>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</si>
  <si>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</si>
  <si>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</si>
  <si>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</si>
  <si>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</si>
  <si>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</si>
  <si>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</si>
  <si>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</si>
  <si>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</si>
  <si>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</si>
  <si>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</si>
  <si>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</si>
  <si>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</si>
  <si>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FINER AGE AND SEX DISAGGREGATION REPORTING FORM (FORM1A)</t>
  </si>
  <si>
    <t>Partner testing</t>
  </si>
  <si>
    <t>2.0  PrEP NEW &amp; CURRENT</t>
  </si>
  <si>
    <t>3.0  IPT Outcomes</t>
  </si>
  <si>
    <t xml:space="preserve">4.0  CERVICAL CANCER SCREENING &amp; TREATMENT </t>
  </si>
  <si>
    <t>5.0 GEND_GBV</t>
  </si>
  <si>
    <t xml:space="preserve">6.2 MATERNAL HAART </t>
  </si>
  <si>
    <t xml:space="preserve">6.1  PMTCT TESTING </t>
  </si>
  <si>
    <t>7.0  HIV &amp; TB SCREENING</t>
  </si>
  <si>
    <t>Total HTS</t>
  </si>
  <si>
    <t>8.0 ACCOUNTING FOR ART PATIENTS WITH NO CLINICAL CONTACT</t>
  </si>
  <si>
    <t>Data source</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</si>
  <si>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</si>
  <si>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</si>
  <si>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</si>
  <si>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</si>
  <si>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This is a count of clients who initiated on PEP three months ago, e.g reporting in January 2019, those initiated on PEP in Nov 2018</t>
  </si>
  <si>
    <t>This is a count of women who had not been on HAART before but were commenced on HAART at  L&amp;D during this pregnancy.</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</si>
  <si>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</si>
  <si>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</si>
  <si>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MFL Code</t>
  </si>
  <si>
    <t>F01-01</t>
  </si>
  <si>
    <t>codes</t>
  </si>
  <si>
    <t>F01-02</t>
  </si>
  <si>
    <t>Contacts elicited</t>
  </si>
  <si>
    <t>Known Positive</t>
  </si>
  <si>
    <t>F01-04</t>
  </si>
  <si>
    <t>F01-05</t>
  </si>
  <si>
    <t>This is account of contacts of an index client, tested through index testing services and received results</t>
  </si>
  <si>
    <t>F01-06</t>
  </si>
  <si>
    <t>Positive</t>
  </si>
  <si>
    <t>Linked</t>
  </si>
  <si>
    <t>F01-07</t>
  </si>
  <si>
    <t>F01-08</t>
  </si>
  <si>
    <t>Not tested - Other reasons</t>
  </si>
  <si>
    <t>F01-09</t>
  </si>
  <si>
    <t>Index testing register, colm "Y"</t>
  </si>
  <si>
    <t>F01-10</t>
  </si>
  <si>
    <t>Tested</t>
  </si>
  <si>
    <t>F01-11</t>
  </si>
  <si>
    <t>F01-12</t>
  </si>
  <si>
    <t>F01-13</t>
  </si>
  <si>
    <t>F01-14</t>
  </si>
  <si>
    <t>F01-15</t>
  </si>
  <si>
    <t>F01-16</t>
  </si>
  <si>
    <t>F01-17</t>
  </si>
  <si>
    <t>F01-18</t>
  </si>
  <si>
    <t>F01-19</t>
  </si>
  <si>
    <t>F01-21</t>
  </si>
  <si>
    <t>F01-22</t>
  </si>
  <si>
    <t>F01-23</t>
  </si>
  <si>
    <t>F01-24</t>
  </si>
  <si>
    <t>F01-25</t>
  </si>
  <si>
    <t>F01-27</t>
  </si>
  <si>
    <t>F01-30</t>
  </si>
  <si>
    <t xml:space="preserve">Unassisted                                   </t>
  </si>
  <si>
    <t>F01-31</t>
  </si>
  <si>
    <t>F01-32</t>
  </si>
  <si>
    <t>F01-33</t>
  </si>
  <si>
    <t>F01-34</t>
  </si>
  <si>
    <t>FCDRR- MOH 643</t>
  </si>
  <si>
    <t xml:space="preserve">Rape survivors                         </t>
  </si>
  <si>
    <t>F05-02</t>
  </si>
  <si>
    <t>F05-01</t>
  </si>
  <si>
    <t>F02-01</t>
  </si>
  <si>
    <t>F02-02</t>
  </si>
  <si>
    <t>F02-03</t>
  </si>
  <si>
    <t>F02-05</t>
  </si>
  <si>
    <t xml:space="preserve">Tested for HIV while on PrEP       </t>
  </si>
  <si>
    <t>F02-06</t>
  </si>
  <si>
    <t>F02-07</t>
  </si>
  <si>
    <t xml:space="preserve">Drug resistance tests done       </t>
  </si>
  <si>
    <t>F02-11</t>
  </si>
  <si>
    <t>F02-12</t>
  </si>
  <si>
    <t>F02-13</t>
  </si>
  <si>
    <t>F02-14</t>
  </si>
  <si>
    <t>F02-15</t>
  </si>
  <si>
    <t>PrEP register      colm "Q"</t>
  </si>
  <si>
    <t>PrEP register      colm "H"</t>
  </si>
  <si>
    <t>PrEP register      colm "I"</t>
  </si>
  <si>
    <t>PrEP register      colm "Y"</t>
  </si>
  <si>
    <t>PrEP register      colm "P"</t>
  </si>
  <si>
    <t>PrEP register      colm "W"</t>
  </si>
  <si>
    <t>Under "remarks" colm</t>
  </si>
  <si>
    <t>PrEP register      colm "</t>
  </si>
  <si>
    <t>PrEP register      colm "U"</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</si>
  <si>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</si>
  <si>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</si>
  <si>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</si>
  <si>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</si>
  <si>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</si>
  <si>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</si>
  <si>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</si>
  <si>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</si>
  <si>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</si>
  <si>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</si>
  <si>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</si>
  <si>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</si>
  <si>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</si>
  <si>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</si>
  <si>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</si>
  <si>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</si>
  <si>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F04-02</t>
  </si>
  <si>
    <t xml:space="preserve">Positive                                     </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</si>
  <si>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</si>
  <si>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</si>
  <si>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</si>
  <si>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</si>
  <si>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</si>
  <si>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</si>
  <si>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</si>
  <si>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</si>
  <si>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</si>
  <si>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</si>
  <si>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</si>
  <si>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Negative                                   </t>
  </si>
  <si>
    <t xml:space="preserve">Suspected cancer                     </t>
  </si>
  <si>
    <t>F04-09</t>
  </si>
  <si>
    <t>F04-10</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</si>
  <si>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</si>
  <si>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</si>
  <si>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</si>
  <si>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</si>
  <si>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</si>
  <si>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</si>
  <si>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</si>
  <si>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</si>
  <si>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</si>
  <si>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F04-16</t>
  </si>
  <si>
    <t>F05-03</t>
  </si>
  <si>
    <t>SGBV register colm "F"</t>
  </si>
  <si>
    <t>SGBV register colm "AF"</t>
  </si>
  <si>
    <t xml:space="preserve">Initiated PEP                            </t>
  </si>
  <si>
    <t>F05-04</t>
  </si>
  <si>
    <t>F05-05</t>
  </si>
  <si>
    <t>F05-06</t>
  </si>
  <si>
    <t>F05-07</t>
  </si>
  <si>
    <t>F05-08</t>
  </si>
  <si>
    <t>F05-09</t>
  </si>
  <si>
    <t>F05-10</t>
  </si>
  <si>
    <t>F05-11</t>
  </si>
  <si>
    <t>F05-12</t>
  </si>
  <si>
    <t>F05-13</t>
  </si>
  <si>
    <t>SGBV register colm "W, "X", "Y", "Z", "AC", "AD"</t>
  </si>
  <si>
    <t>SGBV register colm "AG"</t>
  </si>
  <si>
    <t>SGBV register colm "AE"</t>
  </si>
  <si>
    <t xml:space="preserve">SGBV register colm "AE" </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</si>
  <si>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</si>
  <si>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</si>
  <si>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</si>
  <si>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</si>
  <si>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</si>
  <si>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</si>
  <si>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F06-02</t>
  </si>
  <si>
    <t>F06-03</t>
  </si>
  <si>
    <t>ANC Rgister colm "d"</t>
  </si>
  <si>
    <t>ANC Rgister colm "x"</t>
  </si>
  <si>
    <t>ANC Rgister colm "y"</t>
  </si>
  <si>
    <t>ANC Rgister colm "d", "y", "z"</t>
  </si>
  <si>
    <t>F06-05</t>
  </si>
  <si>
    <t>F06-06</t>
  </si>
  <si>
    <t>F06-09</t>
  </si>
  <si>
    <t>PNC register colm "v", "w", 'x", "z"</t>
  </si>
  <si>
    <t>F06-10</t>
  </si>
  <si>
    <t>F06-11</t>
  </si>
  <si>
    <t>F06-12</t>
  </si>
  <si>
    <t>ANC Register colm "as", "at"</t>
  </si>
  <si>
    <t>Current on ART (PMTCT)</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</si>
  <si>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</si>
  <si>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</si>
  <si>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</si>
  <si>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</si>
  <si>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</si>
  <si>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Maternity register colm "aj"</t>
  </si>
  <si>
    <t>PNC register colm "ab"</t>
  </si>
  <si>
    <t>Starting ART</t>
  </si>
  <si>
    <t>F07-01</t>
  </si>
  <si>
    <t>F07-02</t>
  </si>
  <si>
    <t>This is a count of  all PLHIV who are active on ART at the reporting period</t>
  </si>
  <si>
    <t>F07-03</t>
  </si>
  <si>
    <t>DAR MOH 366/EMR</t>
  </si>
  <si>
    <t>F07-04</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</si>
  <si>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</si>
  <si>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</si>
  <si>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</si>
  <si>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</si>
  <si>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</si>
  <si>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</si>
  <si>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</si>
  <si>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</si>
  <si>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</si>
  <si>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</si>
  <si>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</si>
  <si>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</si>
  <si>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</si>
  <si>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</si>
  <si>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</si>
  <si>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</si>
  <si>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 xml:space="preserve">This is a count of clients that have had serious and minor assault, deprivation of liberty, manslaughter, </t>
  </si>
  <si>
    <t>F05-14</t>
  </si>
  <si>
    <t>F05-15</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</si>
  <si>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</si>
  <si>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</si>
  <si>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</si>
  <si>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</si>
  <si>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t>Code</t>
  </si>
  <si>
    <t xml:space="preserve">Unassisted: Self                           </t>
  </si>
  <si>
    <t xml:space="preserve">Unassisted : Other                      </t>
  </si>
  <si>
    <t xml:space="preserve">Tested HIV Positive while on PrEP  </t>
  </si>
  <si>
    <t xml:space="preserve">Less than three months since PrEP initiation      </t>
  </si>
  <si>
    <t xml:space="preserve">Using condoms                         </t>
  </si>
  <si>
    <t xml:space="preserve">Discordant couples at  HTS       </t>
  </si>
  <si>
    <t xml:space="preserve">New on ART                               </t>
  </si>
  <si>
    <t xml:space="preserve">Previously on ART                     </t>
  </si>
  <si>
    <t xml:space="preserve">Previously on ART                      </t>
  </si>
  <si>
    <t xml:space="preserve">Cryotherapy                             </t>
  </si>
  <si>
    <t xml:space="preserve">Tested for STI                          </t>
  </si>
  <si>
    <t xml:space="preserve">Eligible for Emergency Contraceptive  </t>
  </si>
  <si>
    <t xml:space="preserve">Given Emergency Contraceptive Pill  </t>
  </si>
  <si>
    <t xml:space="preserve">Initial test at  L&amp;D                     </t>
  </si>
  <si>
    <t xml:space="preserve">Male partners tested HIV+ at ANC </t>
  </si>
  <si>
    <t xml:space="preserve">Infant Prophylaxis_ L&amp;D            </t>
  </si>
  <si>
    <t xml:space="preserve">Died (confirmed) </t>
  </si>
  <si>
    <t xml:space="preserve">HIV disease resulting in cancer      </t>
  </si>
  <si>
    <t>Sub-Indicator</t>
  </si>
  <si>
    <t>F01-03</t>
  </si>
  <si>
    <t>F01-20</t>
  </si>
  <si>
    <t>F01-26</t>
  </si>
  <si>
    <t>F01-28</t>
  </si>
  <si>
    <t>F01-29</t>
  </si>
  <si>
    <t>F02-04</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</si>
  <si>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</si>
  <si>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</si>
  <si>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</si>
  <si>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</si>
  <si>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</si>
  <si>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</si>
  <si>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</si>
  <si>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</si>
  <si>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</si>
  <si>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</si>
  <si>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</si>
  <si>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</si>
  <si>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</si>
  <si>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</si>
  <si>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</si>
  <si>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</si>
  <si>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</si>
  <si>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</si>
  <si>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</si>
  <si>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</si>
  <si>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</si>
  <si>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</si>
  <si>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</si>
  <si>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</si>
  <si>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</si>
  <si>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</si>
  <si>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</si>
  <si>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</si>
  <si>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</si>
  <si>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</si>
  <si>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</si>
  <si>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</si>
  <si>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t>WARNINGS &amp; ERRORS</t>
  </si>
  <si>
    <t>Errors per Section</t>
  </si>
  <si>
    <t>Early Warning Service Quality</t>
  </si>
  <si>
    <t>County</t>
  </si>
  <si>
    <t>LTFU returning to care</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</si>
  <si>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</si>
  <si>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</si>
  <si>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</si>
  <si>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</si>
  <si>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</si>
  <si>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</si>
  <si>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</si>
  <si>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</si>
  <si>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</si>
  <si>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</si>
  <si>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</si>
  <si>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</si>
  <si>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Number of ART patients from the general population with no clinical contact (or ARV drug pick-up) for greater than 28 days since their last expected contact who restarted ARVs within the reporting period</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</si>
  <si>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</si>
  <si>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</si>
  <si>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</si>
  <si>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</si>
  <si>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</si>
  <si>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Defaulter tracing register colm "y"</t>
  </si>
  <si>
    <t>F07-05</t>
  </si>
  <si>
    <t>F07-06</t>
  </si>
  <si>
    <t>F07-07</t>
  </si>
  <si>
    <t>F07-08</t>
  </si>
  <si>
    <t>F07-09</t>
  </si>
  <si>
    <t>F07-10</t>
  </si>
  <si>
    <t>2 months of ARVs dispensed to patient</t>
  </si>
  <si>
    <t>3 months of ARVs dispensed to patient</t>
  </si>
  <si>
    <t>4 months of ARVs dispensed to patient</t>
  </si>
  <si>
    <t>5 months of ARVs dispensed to patient</t>
  </si>
  <si>
    <t>6 months of ARVs dispensed to patient</t>
  </si>
  <si>
    <t>F07-11</t>
  </si>
  <si>
    <t>F07-12</t>
  </si>
  <si>
    <t>F07-13</t>
  </si>
  <si>
    <t>F07-14</t>
  </si>
  <si>
    <t>F07-15</t>
  </si>
  <si>
    <t>F07-16</t>
  </si>
  <si>
    <t>This is a count of  all PLHIV from the general population who are active on ART at the reporting period</t>
  </si>
  <si>
    <t>This is a count of  all PLHIV who inject drugs who are active on ART at the reporting period</t>
  </si>
  <si>
    <t>This is a count of  all PLHIV from Men who have sex with Men who are active on ART at the reporting period</t>
  </si>
  <si>
    <t>This is a count of  all PLHIV from the Transgender population who are active on ART at the reporting period</t>
  </si>
  <si>
    <t>This is a count of  all PLHIV Female Sex Workers (FSW) who are active on ART at the reporting period</t>
  </si>
  <si>
    <t>This is a count of  all PLHIV from People in prison and other closed settings who are active on ART at the reporting period</t>
  </si>
  <si>
    <t>This is a count of all active clients dispensed for drugs for 1 month</t>
  </si>
  <si>
    <t>This is a count of all active clients dispensed for drugs for 2 month</t>
  </si>
  <si>
    <t>This is a count of all active clients dispensed for drugs for 3 month</t>
  </si>
  <si>
    <t>This is a count of all active clients dispensed for drugs for 4 month</t>
  </si>
  <si>
    <t>This is a count of all active clients dispensed for drugs for 5 month</t>
  </si>
  <si>
    <t>This is a count of all active clients dispensed for drugs for 6 month</t>
  </si>
  <si>
    <t>DAR Pharmacy/ADT</t>
  </si>
  <si>
    <t>Total ARVs dispensed</t>
  </si>
  <si>
    <t>Currently on ART (All) 
by Population type</t>
  </si>
  <si>
    <t>Currently on ART (All)
by Multi-Month Dispensing</t>
  </si>
  <si>
    <t xml:space="preserve">PITC-Pediatric 
(&lt;5 Yrs) </t>
  </si>
  <si>
    <t>F07-17</t>
  </si>
  <si>
    <t>1 month of ARVs dispensed to patient</t>
  </si>
  <si>
    <t>F07-18</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</si>
  <si>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</si>
  <si>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</si>
  <si>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</si>
  <si>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</si>
  <si>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</si>
  <si>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</si>
  <si>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</si>
  <si>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Lost to Follow-up After being on Treatment for more than  3 months</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</si>
  <si>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</si>
  <si>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</si>
  <si>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</si>
  <si>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</si>
  <si>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</si>
  <si>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a count of patients who have been given 2 prescriptions to last them for 6 months</t>
  </si>
  <si>
    <t>Total LTFU Oucomes</t>
  </si>
  <si>
    <t>Multi Month Scripting (MMS)</t>
  </si>
  <si>
    <t xml:space="preserve">Positive          </t>
  </si>
  <si>
    <t>Likii Dispensary</t>
  </si>
  <si>
    <t>15035</t>
  </si>
  <si>
    <t>Laikipia East</t>
  </si>
  <si>
    <t>Laikipia</t>
  </si>
  <si>
    <t>02</t>
  </si>
  <si>
    <t>Rescreened and treatment 
after previous negative or suspected cancer</t>
  </si>
  <si>
    <t>Prepared By:</t>
  </si>
  <si>
    <t>1.0 HTS eligibility screening at OPD, IPD &amp; MCH</t>
  </si>
  <si>
    <t>No. eligible for HTS testing</t>
  </si>
  <si>
    <t>F00-01</t>
  </si>
  <si>
    <t>F00-02</t>
  </si>
  <si>
    <t>F00-03</t>
  </si>
  <si>
    <t xml:space="preserve">Known Positive at ANC1 (PMTCT_STAT_KP)    </t>
  </si>
  <si>
    <t>ANC1 clients with known HIV status (PMTCT_STAT_Num)</t>
  </si>
  <si>
    <t xml:space="preserve">Positive test at ANC1 (PMTCT_STAT_New Pos)            </t>
  </si>
  <si>
    <t>Initial positive results at ANC 2 and above</t>
  </si>
  <si>
    <t xml:space="preserve">Initial test at PNC &lt;= 6wks           </t>
  </si>
  <si>
    <t>F06-041</t>
  </si>
  <si>
    <t>Total Positives at ANC1 (PMTCT_STAT_Pos)</t>
  </si>
  <si>
    <t>1st ANC Visit</t>
  </si>
  <si>
    <t>Retesting at ANC 2 and above</t>
  </si>
  <si>
    <t>Retesting positive result at ANC 2 and above</t>
  </si>
  <si>
    <t>F06-061</t>
  </si>
  <si>
    <t>F06-062</t>
  </si>
  <si>
    <t>L&amp;D (Maternity)</t>
  </si>
  <si>
    <t>Retesting at PNC &lt; = 6 weeks</t>
  </si>
  <si>
    <t>Retesting positive result at PNC &lt; = 6 weeks</t>
  </si>
  <si>
    <t>Tested at PNC &gt; 6 weeks to 6 months</t>
  </si>
  <si>
    <t>Tested positive at PNC &gt; 6 weeks to 6 months</t>
  </si>
  <si>
    <t>PNC</t>
  </si>
  <si>
    <t>F06-101</t>
  </si>
  <si>
    <t>F06-102</t>
  </si>
  <si>
    <t>F06-103</t>
  </si>
  <si>
    <t>F06-104</t>
  </si>
  <si>
    <t>F06-042</t>
  </si>
  <si>
    <t>On HAART at ANC1 (PMTCT_ART_Already on ART)</t>
  </si>
  <si>
    <t>Start HAART at ANC1 (PMTCT_ART_New on ART)</t>
  </si>
  <si>
    <t>Total on HAART at ANC1 (PMTCT_ART_Num)</t>
  </si>
  <si>
    <t xml:space="preserve">Initial Start HAART at ANC 2 and above </t>
  </si>
  <si>
    <t>Retest Start HAART ANC 2 and above</t>
  </si>
  <si>
    <t>Start HAART at L&amp;D</t>
  </si>
  <si>
    <t>Start HAART at PNC &gt; 6 weeks to 6 months</t>
  </si>
  <si>
    <t>Initial Start HAART at PNC &lt; = 6 weeks</t>
  </si>
  <si>
    <t>Retest Start HAART at PNC &lt; = 6 weeks</t>
  </si>
  <si>
    <t>F06-141</t>
  </si>
  <si>
    <t>F06-142</t>
  </si>
  <si>
    <t>F06-143</t>
  </si>
  <si>
    <t>F06-161</t>
  </si>
  <si>
    <t>F06-162</t>
  </si>
  <si>
    <t>PMTCT_EID Testing</t>
  </si>
  <si>
    <t>PMTCT_HEI POS ART</t>
  </si>
  <si>
    <t xml:space="preserve">Infants of 2-12 Months who had a first virologic HIV test </t>
  </si>
  <si>
    <t xml:space="preserve">Infants of 0-12 Months who had a first virologic HIV test </t>
  </si>
  <si>
    <t>PMTCT_HEI Positive</t>
  </si>
  <si>
    <t>Infants of 2-12 Months HIV +ve</t>
  </si>
  <si>
    <t>Infants of 0-12 Months HIV +Ve</t>
  </si>
  <si>
    <t xml:space="preserve">Infants of 0-2 Months who had a first virologic HIV test </t>
  </si>
  <si>
    <t>Infants of 0-2 Months HIV +ve</t>
  </si>
  <si>
    <t xml:space="preserve">Clients seen at OPD (monthly workload)                   </t>
  </si>
  <si>
    <t>F05-001</t>
  </si>
  <si>
    <t>F05-002</t>
  </si>
  <si>
    <t>HIV testing in TB clinic</t>
  </si>
  <si>
    <t>Total TB cases (new and relapsed) reported in the month (TB_STAT_Den)</t>
  </si>
  <si>
    <t>TB cases eligible for HIV testing</t>
  </si>
  <si>
    <t>TB cases with documented HIV status (TB_STAT_Num)</t>
  </si>
  <si>
    <t>F09-01</t>
  </si>
  <si>
    <t>F06-121</t>
  </si>
  <si>
    <t>F06-122</t>
  </si>
  <si>
    <t>F06-123</t>
  </si>
  <si>
    <t>F06-124</t>
  </si>
  <si>
    <t>F06-125</t>
  </si>
  <si>
    <t>F06-126</t>
  </si>
  <si>
    <t>F06-127</t>
  </si>
  <si>
    <t>F06-128</t>
  </si>
  <si>
    <t>F06-129</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</si>
  <si>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</si>
  <si>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</si>
  <si>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</si>
  <si>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</si>
  <si>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</si>
  <si>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</si>
  <si>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</si>
  <si>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</si>
  <si>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</si>
  <si>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</si>
  <si>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</si>
  <si>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</si>
  <si>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</si>
  <si>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</si>
  <si>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</si>
  <si>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</si>
  <si>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</si>
  <si>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</si>
  <si>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F07-041</t>
  </si>
  <si>
    <t>F07-042</t>
  </si>
  <si>
    <t>F07-043</t>
  </si>
  <si>
    <t>F07-044</t>
  </si>
  <si>
    <t>F07-031</t>
  </si>
  <si>
    <t>1-28 Days Defaulters</t>
  </si>
  <si>
    <t>Continuing (Refills) PrEP</t>
  </si>
  <si>
    <t>Clients HIV tested for PrEP initiation</t>
  </si>
  <si>
    <t>F02-011</t>
  </si>
  <si>
    <t>F02-012</t>
  </si>
  <si>
    <t>clients returning for 1 month (initial) follow up visit</t>
  </si>
  <si>
    <t>clients returning for any subsequent follow up visits</t>
  </si>
  <si>
    <t>F02-041</t>
  </si>
  <si>
    <t>F02-042</t>
  </si>
  <si>
    <t>Current on PREP (unique clients that received PrEP from October to Date)</t>
  </si>
  <si>
    <t>F02-051</t>
  </si>
  <si>
    <t>F07-011</t>
  </si>
  <si>
    <t>F07-012</t>
  </si>
  <si>
    <t>F07-013</t>
  </si>
  <si>
    <t>F07-014</t>
  </si>
  <si>
    <t>F07-015</t>
  </si>
  <si>
    <t>F07-016</t>
  </si>
  <si>
    <t>Starting ART by Population type</t>
  </si>
  <si>
    <t>Starting ART Breastfeeding</t>
  </si>
  <si>
    <t>Current on ART (All)</t>
  </si>
  <si>
    <t>9.0 HIV testing in TB clinic</t>
  </si>
  <si>
    <t>Current on PREP by Population Type</t>
  </si>
  <si>
    <t>Initiated (new) on PrEP by population type</t>
  </si>
  <si>
    <t>F02-031</t>
  </si>
  <si>
    <t>F02-032</t>
  </si>
  <si>
    <t>F02-033</t>
  </si>
  <si>
    <t>F02-034</t>
  </si>
  <si>
    <t>F02-035</t>
  </si>
  <si>
    <t>F02-036</t>
  </si>
  <si>
    <t>Prep Screening and Eligibility</t>
  </si>
  <si>
    <t>Prep New</t>
  </si>
  <si>
    <t>Current  and Restarted On Prep</t>
  </si>
  <si>
    <t>F02-052</t>
  </si>
  <si>
    <t>F02-053</t>
  </si>
  <si>
    <t>F02-054</t>
  </si>
  <si>
    <t>F02-055</t>
  </si>
  <si>
    <t>F02-056</t>
  </si>
  <si>
    <t>F02-057</t>
  </si>
  <si>
    <t>Lost to Follow-up After being on Treatment for less than  or equal to 3 months</t>
  </si>
  <si>
    <t>Screening positive for TB (presumptive TB clients)</t>
  </si>
  <si>
    <t>F07-045</t>
  </si>
  <si>
    <t>F07-046</t>
  </si>
  <si>
    <t>F07-047</t>
  </si>
  <si>
    <t>F07-048</t>
  </si>
  <si>
    <t>Screening positive for TB Newly enrolled on ART</t>
  </si>
  <si>
    <t>Screening positive for TB Previously enrolled on ART</t>
  </si>
  <si>
    <t>Screening negative for TB Newly enrolled on ART</t>
  </si>
  <si>
    <t>Screening negative for TB Previously enrolled on ART</t>
  </si>
  <si>
    <t>No. of ART patients who had a positive result returned for bacteriologic diagnosis of active TB disease</t>
  </si>
  <si>
    <t>No. of confirmed TB positive newly started on TB treatment</t>
  </si>
  <si>
    <t>F07-049</t>
  </si>
  <si>
    <t>F07-050</t>
  </si>
  <si>
    <t>TB screening in CCC (ICF)</t>
  </si>
  <si>
    <t>TB screening in non CCC settings (OPD, IPD &amp; MCH); Active Case Finding</t>
  </si>
  <si>
    <t>F07-051</t>
  </si>
  <si>
    <t>F07-052</t>
  </si>
  <si>
    <t>F07-053</t>
  </si>
  <si>
    <t>F07-054</t>
  </si>
  <si>
    <t>F07-055</t>
  </si>
  <si>
    <t>F07-056</t>
  </si>
  <si>
    <t>F07-057</t>
  </si>
  <si>
    <t>F07-058</t>
  </si>
  <si>
    <t>F07-059</t>
  </si>
  <si>
    <t>F07-060</t>
  </si>
  <si>
    <t>This is a count of contacts provided by the index client as a result of accepting index testing services.  Note: contacts are only sexual partners, biological children/parents, and anyone with whom a needle was shared.</t>
  </si>
  <si>
    <t>This is a count of VMMC clients who received HIV positive results at the facility after the HIV test. It is a subset of F01-26 above</t>
  </si>
  <si>
    <t>This is a count of those who were intiated on PEP three months ago and have completed the prophylaxis. It is a subset of F05-12 above</t>
  </si>
  <si>
    <t>This is a count of pregnant women who take first HIV test in the pregnancy either during 2nd, 3rd , 4th visit etc. It excludes repeat test during pregnancy for those women who could have tested negative earlier in the pregnancy.</t>
  </si>
  <si>
    <t>Counts all women who first knew their HIV positive status at any time during the pregnancy post 1st ANC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</si>
  <si>
    <t>This is a count of breastfeeding women who tested for HIV and knew their HIV positive results first within six weeks postnatal. The count includes women who could have taken the test during antenatal, labour &amp; delivery (and results were negative) but tested HIV positive within 6 weeks of post natal period.</t>
  </si>
  <si>
    <t>This is a count of all male clients, who receive HIV positive result for the first time during the spouse's pregnacy at the ANC in the company of their spouses.  It is a sub set of F06-11 above</t>
  </si>
  <si>
    <t>Index testing register, colm "d"</t>
  </si>
  <si>
    <t>Index testing register, colm "d" vs "I"</t>
  </si>
  <si>
    <t>Index testing register, colm "I"</t>
  </si>
  <si>
    <t>Index testing register, colm "0"</t>
  </si>
  <si>
    <t>Index testing register, colm "u"</t>
  </si>
  <si>
    <t>Index testing register, colm "v"</t>
  </si>
  <si>
    <t>Index testing register, colm "s"</t>
  </si>
  <si>
    <t>HTS Lab register colm "Y"</t>
  </si>
  <si>
    <t>PrEP register      colm "I" (count of blanks)</t>
  </si>
  <si>
    <t>PrEP register      colm "I", count of declined</t>
  </si>
  <si>
    <t>Index clients offered index testing services</t>
  </si>
  <si>
    <t>Index accepted index testing services</t>
  </si>
  <si>
    <t xml:space="preserve">Not tested - Due to IPV   </t>
  </si>
  <si>
    <t>Initiated (new) on PrEP</t>
  </si>
  <si>
    <t xml:space="preserve"> Total HTS Tested ( Excludes Tests at PMTCT)</t>
  </si>
  <si>
    <t>Retest Start HAART at L&amp;D</t>
  </si>
  <si>
    <t>F06-151</t>
  </si>
  <si>
    <t xml:space="preserve">Retesting at L&amp;D                     </t>
  </si>
  <si>
    <t>F06-081</t>
  </si>
  <si>
    <t>F06-082</t>
  </si>
  <si>
    <t xml:space="preserve">No. of clients seen at OPD (monthly workload)         </t>
  </si>
  <si>
    <t>No. screened for HTS eligibility</t>
  </si>
  <si>
    <t>Not tested - Due to IPV</t>
  </si>
  <si>
    <t xml:space="preserve">Total HTS Positive ( Excludes Positives at PMTCT) </t>
  </si>
  <si>
    <r>
      <t>Directly Assisted</t>
    </r>
    <r>
      <rPr>
        <b/>
        <sz val="22"/>
        <color theme="1"/>
        <rFont val="Browallia New"/>
        <family val="2"/>
        <charset val="222"/>
      </rPr>
      <t xml:space="preserve">  </t>
    </r>
  </si>
  <si>
    <t xml:space="preserve">Unassisted                         </t>
  </si>
  <si>
    <t>Unassisted: Self</t>
  </si>
  <si>
    <t>Unassisted : Sex partner</t>
  </si>
  <si>
    <t>Unassisted : Other</t>
  </si>
  <si>
    <t>Assessed for HIV risk</t>
  </si>
  <si>
    <t>Clients screened for Prep initiation testing positive</t>
  </si>
  <si>
    <t>Eligible for PrEP</t>
  </si>
  <si>
    <t>Restarting PrEP</t>
  </si>
  <si>
    <t>Tested for HIV while on PrEP</t>
  </si>
  <si>
    <t>Tested HIV Positive while on PrEP</t>
  </si>
  <si>
    <t>Less than three months since PrEP initiation</t>
  </si>
  <si>
    <t>Diagnosed with STI</t>
  </si>
  <si>
    <r>
      <t>Discontinued PrEP</t>
    </r>
    <r>
      <rPr>
        <b/>
        <sz val="22"/>
        <color theme="1"/>
        <rFont val="Browallia New"/>
        <family val="2"/>
        <charset val="222"/>
      </rPr>
      <t xml:space="preserve">   </t>
    </r>
  </si>
  <si>
    <t>Drug resistance tests done</t>
  </si>
  <si>
    <t>Referred to other facilities</t>
  </si>
  <si>
    <t>Still on preparation</t>
  </si>
  <si>
    <t>Using condoms</t>
  </si>
  <si>
    <t>Declined</t>
  </si>
  <si>
    <t>Discordant couples at PMTCT</t>
  </si>
  <si>
    <t>Discordant couples at  HTS</t>
  </si>
  <si>
    <r>
      <t>New on ART (IPT)</t>
    </r>
    <r>
      <rPr>
        <b/>
        <sz val="22"/>
        <color theme="1"/>
        <rFont val="Browallia New"/>
        <family val="2"/>
        <charset val="222"/>
      </rPr>
      <t xml:space="preserve"> </t>
    </r>
  </si>
  <si>
    <t>Already on ART (IPT)</t>
  </si>
  <si>
    <t>New on ART (IPT)</t>
  </si>
  <si>
    <t>New on ART</t>
  </si>
  <si>
    <t>Previously on ART</t>
  </si>
  <si>
    <t>Negative</t>
  </si>
  <si>
    <t>Suspected cancer</t>
  </si>
  <si>
    <t>Cryotherapy</t>
  </si>
  <si>
    <t>LEEP</t>
  </si>
  <si>
    <t>Thermocoagulation</t>
  </si>
  <si>
    <t>Clients seen at OPD (monthly workload)</t>
  </si>
  <si>
    <t>Initiated PEP</t>
  </si>
  <si>
    <t>No. of clients</t>
  </si>
  <si>
    <t>Screened for STI</t>
  </si>
  <si>
    <t>Tested for STI</t>
  </si>
  <si>
    <t>Treated for STI</t>
  </si>
  <si>
    <t>Eligible for Emergency Contraceptive</t>
  </si>
  <si>
    <t>Given Emergency Contraceptive Pill</t>
  </si>
  <si>
    <t>Tested for HIV</t>
  </si>
  <si>
    <r>
      <t>HIV positive at 1</t>
    </r>
    <r>
      <rPr>
        <vertAlign val="superscript"/>
        <sz val="22"/>
        <color theme="1"/>
        <rFont val="Browallia New"/>
        <family val="2"/>
        <charset val="222"/>
      </rPr>
      <t>st</t>
    </r>
    <r>
      <rPr>
        <sz val="22"/>
        <color theme="1"/>
        <rFont val="Browallia New"/>
        <family val="2"/>
        <charset val="222"/>
      </rPr>
      <t xml:space="preserve"> visit</t>
    </r>
  </si>
  <si>
    <t>Initiated PEP 3 months ago</t>
  </si>
  <si>
    <t>No. completed PEP</t>
  </si>
  <si>
    <t>No. seroconverted</t>
  </si>
  <si>
    <t>No. pregnant</t>
  </si>
  <si>
    <t>New (1st) ANC clients (PMTCT_STAT_Den)</t>
  </si>
  <si>
    <t>Known Positive at ANC1 (PMTCT_STAT_KP)</t>
  </si>
  <si>
    <t>Initial test at ANC 1</t>
  </si>
  <si>
    <t>Positive test at ANC1 (PMTCT_STAT_New Pos)</t>
  </si>
  <si>
    <t>Initial test at ANC 2 and above</t>
  </si>
  <si>
    <t>Initial test at  L&amp;D</t>
  </si>
  <si>
    <t>Positive result at L&amp;D</t>
  </si>
  <si>
    <t>Retesting at L&amp;D</t>
  </si>
  <si>
    <t>Retesting Positive result at L&amp;D</t>
  </si>
  <si>
    <t>Initial test at PNC &lt;= 6wks</t>
  </si>
  <si>
    <t>Positive at PNC &lt;=6wks</t>
  </si>
  <si>
    <t>Male partners tested for HIV at ANC</t>
  </si>
  <si>
    <t>Male partners tested HIV+ at ANC</t>
  </si>
  <si>
    <t>Infants of 2-12 Months who had a first virologic HIV test</t>
  </si>
  <si>
    <t>Infants of 0-2 Months who had a first virologic HIV test</t>
  </si>
  <si>
    <t>Initial Start HAART at ANC 2 and above</t>
  </si>
  <si>
    <t>Infant Prophylaxis_ANC</t>
  </si>
  <si>
    <t>Infant Prophylaxis_ L&amp;D</t>
  </si>
  <si>
    <t>Infant Prophylaxis_PNC&lt; 6wks</t>
  </si>
  <si>
    <t>Breastfeeding at initiation of ART</t>
  </si>
  <si>
    <t>Died (confirmed)</t>
  </si>
  <si>
    <t>Transferred Out</t>
  </si>
  <si>
    <t>HIV disease resulting in cancer</t>
  </si>
  <si>
    <t>Facility Details</t>
  </si>
  <si>
    <t xml:space="preserve">Clients seen at OPD (monthly workload)                                    </t>
  </si>
  <si>
    <t xml:space="preserve">This is a count of clients attending OPD clinic in a particular month </t>
  </si>
  <si>
    <t>OPD Register (for under 5 abd over 5)</t>
  </si>
  <si>
    <t xml:space="preserve">Screened for HTS eligibility </t>
  </si>
  <si>
    <t xml:space="preserve">This is a count of clients attending OPD clinic who were screened for HIV risk </t>
  </si>
  <si>
    <t xml:space="preserve">HIV Screening register/tally sheet </t>
  </si>
  <si>
    <t>Eligible for HTS testing</t>
  </si>
  <si>
    <t>This is a count of clients who were eligible for HIV testing based on the screening creteria</t>
  </si>
  <si>
    <t>Clients tested for HIV before PrEP initiation</t>
  </si>
  <si>
    <t>This is a count of clients who were tested for HIV before initiation to PrEP</t>
  </si>
  <si>
    <t xml:space="preserve">PrEP register Colmn "G" </t>
  </si>
  <si>
    <t xml:space="preserve">Clients testing Positive </t>
  </si>
  <si>
    <t>This is a count of clients who were tested for HIV before initiation to PrEP and had a positive result</t>
  </si>
  <si>
    <t xml:space="preserve">This is a count of clients catergorised as general population who were initiated on PrEP in a particular month </t>
  </si>
  <si>
    <t xml:space="preserve">PrEP register Colmn "F" </t>
  </si>
  <si>
    <t xml:space="preserve">This is a count of clients catergorised as PWID who were initiated on PrEP in a particular month </t>
  </si>
  <si>
    <t xml:space="preserve">This is a count of clients catergorised as MSM who were initiated on PrEP in a particular month </t>
  </si>
  <si>
    <t xml:space="preserve">This is a count of clients catergorised as TG who were initiated on PrEP in a particular month </t>
  </si>
  <si>
    <t xml:space="preserve">This is a count of clients catergorised as FSW who were initiated on PrEP in a particular month </t>
  </si>
  <si>
    <t xml:space="preserve">This is a count of clients in prisons who were initiated on PrEP in a particular month </t>
  </si>
  <si>
    <t xml:space="preserve">This is a count of clients on PrEP who came back for refills with in the reporting period. </t>
  </si>
  <si>
    <t>PrEP DAR Colmn "V to CC"</t>
  </si>
  <si>
    <t>Clients returning for 1 month (initial) follow up visit</t>
  </si>
  <si>
    <t xml:space="preserve">This is a count of clients newly initiated on PrEP in the previous month who came back for a follow-up visit in this month. </t>
  </si>
  <si>
    <t>PrEP Register Colmn "N"</t>
  </si>
  <si>
    <t xml:space="preserve">clients returning for any subsequent follow up visits </t>
  </si>
  <si>
    <t xml:space="preserve">This is a count of clients on PrEP returning for subsequent visit (inclusive of contiuning and those restarting PrEP)  </t>
  </si>
  <si>
    <t>PrEP Register Colmn "V to KK"</t>
  </si>
  <si>
    <t xml:space="preserve">Number of individuals, inclusive of those newly enrolled, that received oral antiretroviral pre-exposure prophylaxis (PrEP) to prevent HIV during the reporting period </t>
  </si>
  <si>
    <t>PrEP DAR Clomn "N to KK"</t>
  </si>
  <si>
    <t xml:space="preserve">Number of individuals catergorised as general population, inclusive of those newly enrolled, that received oral antiretroviral pre-exposure prophylaxis (PrEP) to prevent HIV during the reporting period </t>
  </si>
  <si>
    <t xml:space="preserve">Number of individuals catergorised as PWIDs, inclusive of those newly enrolled, that received oral antiretroviral pre-exposure prophylaxis (PrEP) to prevent HIV during the reporting period </t>
  </si>
  <si>
    <t xml:space="preserve">Number of individuals catergorised as general MSM, inclusive of those newly enrolled, that received oral antiretroviral pre-exposure prophylaxis (PrEP) to prevent HIV during the reporting period </t>
  </si>
  <si>
    <t xml:space="preserve">Number of individuals catergorised as TG, inclusive of those newly enrolled, that received oral antiretroviral pre-exposure prophylaxis (PrEP) to prevent HIV during the reporting period </t>
  </si>
  <si>
    <t xml:space="preserve">Number of individuals catergorised as general FSW, inclusive of those newly enrolled, that received oral antiretroviral pre-exposure prophylaxis (PrEP) to prevent HIV during the reporting period </t>
  </si>
  <si>
    <t xml:space="preserve">Number of individuals in prison and other closed settings, inclusive of those newly enrolled, that received oral antiretroviral pre-exposure prophylaxis (PrEP) to prevent HIV during the reporting period </t>
  </si>
  <si>
    <t xml:space="preserve">OPD Register </t>
  </si>
  <si>
    <t xml:space="preserve">This is a count of clients attending OPD clinic who were screened for any form of gender based violence </t>
  </si>
  <si>
    <t xml:space="preserve">Screening Register </t>
  </si>
  <si>
    <t xml:space="preserve">Known Positive status refers to all women who at the time of making this first visit to the ANC had documented evidence of posivive status. As such these women are not required to take a test at ANC, L&amp;D,or PNC </t>
  </si>
  <si>
    <t xml:space="preserve">Counts all women who first learnt their HIV status at 1st visit during pregnancy. Note: it does not matter at what stage in pregnancy.  What matters is that the woman learnt of her HIV positive status during their first antenatal visit period. </t>
  </si>
  <si>
    <t>This is a count of all women who had a second and above HIV retest done during ANC visit after ANC 1</t>
  </si>
  <si>
    <t xml:space="preserve">ANC Register colm "Y and AA" </t>
  </si>
  <si>
    <t xml:space="preserve">This is a count of women who could have taken the test during an earlier antenatal care visit (and results were negative) but testing HIV positive following a retest in ANC during the reporting month. </t>
  </si>
  <si>
    <t>Maternity register colm "af, ag"</t>
  </si>
  <si>
    <t>This is a count of women who tested positive at L&amp;D include those who were retested and result turned positive</t>
  </si>
  <si>
    <t>Maternity register colm "ah"</t>
  </si>
  <si>
    <t>This counts all women, who took a retest at labour and delivery</t>
  </si>
  <si>
    <t>This counts all women, who were retested at labour and delivery and result turned positive.</t>
  </si>
  <si>
    <t>This is a count of all women who had tested HIV negative at any time during ANC and or labour &amp; delivery who undergo another HIV test within 6 weeks postnatal</t>
  </si>
  <si>
    <t>PNC register colm "X, Y"</t>
  </si>
  <si>
    <t xml:space="preserve">This is a count of all women who had tested HIV negative as any time during ANC and or labour &amp; delivery who undergo another HIV test within 6 weeks at postnatal and resut turn out to be positive. </t>
  </si>
  <si>
    <t>PNC register colm "Z"</t>
  </si>
  <si>
    <t>This is a count of all women who were tested for HIV between 6 weeks to 6 months postnatal</t>
  </si>
  <si>
    <t>PNC register colm "AA"</t>
  </si>
  <si>
    <t xml:space="preserve">This is a count of all women who were tested for HIV between 6 weeks to 6 months postnatal and received a positive result </t>
  </si>
  <si>
    <t xml:space="preserve">This is a count of HEI aged 0-2 months who had a first PCR test done during the reporting month </t>
  </si>
  <si>
    <t>HEI register Clomn "M, N"</t>
  </si>
  <si>
    <t xml:space="preserve">This is a count of HEI aged 2-12 months who had a first PCR test done during the reporting month </t>
  </si>
  <si>
    <t xml:space="preserve">This is a count of HEI aged 0-12 months who had a first PCR test done during the reporting month </t>
  </si>
  <si>
    <t xml:space="preserve">This is a count of HEI aged 0-2 months who had Positive PCR test result during the reporting month </t>
  </si>
  <si>
    <t>HEI register Clomn "Q"</t>
  </si>
  <si>
    <t xml:space="preserve">This is a count of HEI aged 2-12 months who had Positive PCR test result during the reporting month </t>
  </si>
  <si>
    <t xml:space="preserve">This is a count of HEI aged 0-12 months who had Positive PCR test result during the reporting month </t>
  </si>
  <si>
    <t xml:space="preserve">This is a count of HEI aged 0-2 months with a positive PCR results started on ART during the reporting month </t>
  </si>
  <si>
    <t>HEI register Clomn "BE"</t>
  </si>
  <si>
    <t xml:space="preserve">This is a count of HEI aged 2-12 months with a positive PCR results started on ART during the reporting month </t>
  </si>
  <si>
    <t xml:space="preserve">This is a count of HEI aged 0-12 months with a positive PCR results started on ART during the reporting month </t>
  </si>
  <si>
    <t>ANC Rgister colm "ae"</t>
  </si>
  <si>
    <t xml:space="preserve">Counts all women who first knew their HIV positive status at any time during the pregnancy post ANC 1 visit, e.g during 2nd, 3rd visit etc and started on ART.  </t>
  </si>
  <si>
    <t>This is a count of pregnant women started ART after retesting positive during 2nd ANC visit and above</t>
  </si>
  <si>
    <t>This is a count of women who were started on HAART at L&amp;D after a positive HIV retest</t>
  </si>
  <si>
    <t xml:space="preserve">This is a count of women who had an initial test within 6 weeks postnatal, turned HIV positive and were started on HAART </t>
  </si>
  <si>
    <t>PNC register  Column (ac)</t>
  </si>
  <si>
    <t>This is a count of women who had a HIV retest within 6 weeks postnatal turned positive, and were started on HAART</t>
  </si>
  <si>
    <t>This is a count of women who had a HIV test between 6 week to 6 months postnatal, turned HIV positive and were started on HAART</t>
  </si>
  <si>
    <t>PNC register  Column (ae)</t>
  </si>
  <si>
    <t xml:space="preserve">This is a count of individuals starting HAART treatment disaggregated by the age and sex within the reporting month. </t>
  </si>
  <si>
    <t>ART register/EMR</t>
  </si>
  <si>
    <t xml:space="preserve">This is a count of individuals caterogized as general population starting HAART treatment disaggregated by the age and sex within the reporting month. </t>
  </si>
  <si>
    <t xml:space="preserve">This is a count of individuals caterogized as PWIDs starting HAART treatment disaggregated by the age and sex within the reporting month. </t>
  </si>
  <si>
    <t xml:space="preserve">This is a count of individuals caterogized as MSM starting HAART treatment disaggregated by the age and sex within the reporting month. </t>
  </si>
  <si>
    <t xml:space="preserve">This is a count of individuals caterogized as TG starting HAART treatment disaggregated by the age and sex within the reporting month. </t>
  </si>
  <si>
    <t xml:space="preserve">This is a count of individuals caterogized as FSW starting HAART treatment disaggregated by the age and sex within the reporting month. </t>
  </si>
  <si>
    <t xml:space="preserve">This is a count of individuals in prison and other closed settings starting HAART treatment disaggregated by the age and sex within the reporting month. </t>
  </si>
  <si>
    <t xml:space="preserve">This is a count of clients who missed their appointments between 1 and 28 days. </t>
  </si>
  <si>
    <t>Defaulter tracing register column "B" (EMR)</t>
  </si>
  <si>
    <t>This is a count of all HIV infected persons currently on Treatment preparation or on ART who were screened for TB the last time they were seen at the clinic during a scheduled visit within the reporting period.</t>
  </si>
  <si>
    <t>This is a count of all HIV infected persons newly enrolled on ART who screened TB postive the last time they were seen at the clinic during a scheduled visit within the reporting period.</t>
  </si>
  <si>
    <t>CCC DAR Column "AY, Q to Z"/ EMR</t>
  </si>
  <si>
    <t>This is a count of all HIV infected persons who have been on treatment follow-up who screened TB postive the last time they were seen at the clinic during a scheduled visit within the reporting period.</t>
  </si>
  <si>
    <t>This is a count of all HIV infected persons newly enrolled on ART who screened TB negative the last time they were seen at the clinic during a scheduled visit within the reporting period.</t>
  </si>
  <si>
    <t>This is a count of all HIV infected persons who have been on treatment follow-up who screened TB negative the last time they were seen at the clinic during a scheduled visit within the reporting period.</t>
  </si>
  <si>
    <t>This is a count of PLHIV who screened TB postive whose specimes were sent for Smear test</t>
  </si>
  <si>
    <t>Presumptive DRTB register Column "M"</t>
  </si>
  <si>
    <t>This is a count of PLHIV who screened TB postive whose specimes were sent for Gene Xpert MTB /R</t>
  </si>
  <si>
    <t>Presumptive DRTB register Column "L"</t>
  </si>
  <si>
    <t>This is a count of PLHIV who screened TB postive whose specimes were sent for Other (No Xpert)</t>
  </si>
  <si>
    <t xml:space="preserve">Presumptive DRTB register Column "N and O" </t>
  </si>
  <si>
    <t>This is a count of PLHIV who had a positive result returned for bacteriologic diagnosis of active TB disease</t>
  </si>
  <si>
    <t xml:space="preserve">Presumptive DRTB register Column "P" </t>
  </si>
  <si>
    <t>This a count of  Confirmed TB positive started on TB treatment (TX_TB_Num)</t>
  </si>
  <si>
    <t xml:space="preserve">Presumptive DRTB register Column "Q" </t>
  </si>
  <si>
    <t>No. of confirmed TB positive newly started on ART started on TB Treatment</t>
  </si>
  <si>
    <t>This is a count of confirmed TB positive newly started on ART who startedTB treatment</t>
  </si>
  <si>
    <t>Presumptive DRTB register Column "Q" CCC DAR Column "AY, Q to Z"/ EMR</t>
  </si>
  <si>
    <t>No. of confirmed TB positive already on ART strated on TB treatment</t>
  </si>
  <si>
    <t>This is a count of confirmed TB positive already on ART started on TB treatment</t>
  </si>
  <si>
    <t>OPD Register (under 5 and over 5 Years)</t>
  </si>
  <si>
    <t xml:space="preserve">This is a count of individuals screened TB positive at OPD </t>
  </si>
  <si>
    <t>Presumptive DRTB Register Clomn "B"</t>
  </si>
  <si>
    <t>This is a count of IPD,OPD, and MCH clients who screened TB postive whose specimes were sent for Smear test</t>
  </si>
  <si>
    <t>This is a count of IPD,OPD, and MCH clients who screened TB postive whose specimes were sent for Gene Xpert MTB /R</t>
  </si>
  <si>
    <t>This is a count of IPD,OPD, and MCH clients who screened TB postive whose specimes were sent for Other (No Xpert)</t>
  </si>
  <si>
    <t>This is a count of IPD,OPD, and MCH clients who had a positive result returned for bacteriologic diagnosis of active TB disease</t>
  </si>
  <si>
    <t xml:space="preserve">This is a count of Confirmed TB positive started on TB treatment (TX_TB_Num) from IPD,OPD, and MCH. </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</si>
  <si>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</si>
  <si>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</si>
  <si>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</si>
  <si>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</si>
  <si>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</si>
  <si>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</si>
  <si>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</si>
  <si>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</si>
  <si>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</si>
  <si>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</si>
  <si>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</si>
  <si>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</si>
  <si>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</si>
  <si>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Total Screening positive for TB (presumptive TB clients)</t>
  </si>
  <si>
    <t>Total Screened for TB at last clinic visit (TX_TB_Den)</t>
  </si>
  <si>
    <t>Total No. of patients whose specimens were sent</t>
  </si>
  <si>
    <t>No. of  Confirmed ART Patients TB positive started on TB treatment (TX_TB_Num)</t>
  </si>
  <si>
    <t>No. of  Confirmed ART Patients TB positive and started on TB treatment (TX_TB_Num)</t>
  </si>
  <si>
    <t>No. of confirmed TB positive already on ART and on TB treatment</t>
  </si>
  <si>
    <t>ART Patients started on TB Treatment</t>
  </si>
  <si>
    <t>F07-061</t>
  </si>
  <si>
    <t>ART</t>
  </si>
  <si>
    <t>HTS</t>
  </si>
  <si>
    <t>PMTCT</t>
  </si>
  <si>
    <t>This is a count of PLHIV who screened TB postive whose specimes were sent</t>
  </si>
  <si>
    <r>
      <t>Male partners tested for HIV at ANC</t>
    </r>
    <r>
      <rPr>
        <b/>
        <sz val="26"/>
        <color theme="1"/>
        <rFont val="Browallia New"/>
        <family val="2"/>
      </rPr>
      <t xml:space="preserve">  </t>
    </r>
  </si>
  <si>
    <r>
      <rPr>
        <b/>
        <sz val="26"/>
        <color theme="1"/>
        <rFont val="Browallia New"/>
        <family val="2"/>
      </rPr>
      <t xml:space="preserve">ANC 2 and above 
</t>
    </r>
    <r>
      <rPr>
        <i/>
        <sz val="26"/>
        <color theme="1"/>
        <rFont val="Browallia New"/>
        <family val="2"/>
      </rPr>
      <t>(includes 2nd, 3rd, 4th ANC visits etc)</t>
    </r>
  </si>
  <si>
    <r>
      <t xml:space="preserve">Current on ART (PMTCT)       </t>
    </r>
    <r>
      <rPr>
        <b/>
        <sz val="26"/>
        <color theme="1"/>
        <rFont val="Browallia New"/>
        <family val="2"/>
      </rPr>
      <t xml:space="preserve">    </t>
    </r>
  </si>
  <si>
    <r>
      <t>Infant Prophylaxis</t>
    </r>
    <r>
      <rPr>
        <b/>
        <i/>
        <sz val="26"/>
        <color theme="1"/>
        <rFont val="Browallia New"/>
        <family val="2"/>
      </rPr>
      <t xml:space="preserve"> 
</t>
    </r>
    <r>
      <rPr>
        <i/>
        <sz val="26"/>
        <color theme="1"/>
        <rFont val="Browallia New"/>
        <family val="2"/>
      </rPr>
      <t>(use  mother's age for reporting)</t>
    </r>
  </si>
  <si>
    <r>
      <t>Infant Prophylaxis_PNC&lt; 6wks</t>
    </r>
    <r>
      <rPr>
        <b/>
        <sz val="26"/>
        <color theme="1"/>
        <rFont val="Browallia New"/>
        <family val="2"/>
      </rPr>
      <t xml:space="preserve">  </t>
    </r>
  </si>
  <si>
    <t>Current On PREP</t>
  </si>
  <si>
    <t>Note: Please do not cut paste any cell, this will interfere with the formulas</t>
  </si>
  <si>
    <r>
      <t xml:space="preserve">No. of patients whose specimens were sent for </t>
    </r>
    <r>
      <rPr>
        <b/>
        <sz val="22"/>
        <color theme="1"/>
        <rFont val="Browallia New"/>
        <family val="2"/>
      </rPr>
      <t>Smear Only</t>
    </r>
  </si>
  <si>
    <r>
      <t xml:space="preserve">No. of patients whose specimens were sent for </t>
    </r>
    <r>
      <rPr>
        <b/>
        <sz val="22"/>
        <color theme="1"/>
        <rFont val="Browallia New"/>
        <family val="2"/>
      </rPr>
      <t>Gene Xpert MTB /R if Assay</t>
    </r>
  </si>
  <si>
    <r>
      <t xml:space="preserve">No. of patients whose specimens were sent for </t>
    </r>
    <r>
      <rPr>
        <b/>
        <sz val="22"/>
        <color theme="1"/>
        <rFont val="Browallia New"/>
        <family val="2"/>
      </rPr>
      <t>Other (No Xpert)</t>
    </r>
  </si>
  <si>
    <t xml:space="preserve">Currently on ART (All)              </t>
  </si>
  <si>
    <t xml:space="preserve">Starting ART)                    </t>
  </si>
  <si>
    <t>HTS eligibility screening at OPD</t>
  </si>
  <si>
    <t>HTS eligibility screening at IPD</t>
  </si>
  <si>
    <t>HTS eligibility screening at MCH</t>
  </si>
  <si>
    <t>F00-04</t>
  </si>
  <si>
    <t>F00-05</t>
  </si>
  <si>
    <t>F00-06</t>
  </si>
  <si>
    <t>F00-07</t>
  </si>
  <si>
    <t>F00-08</t>
  </si>
  <si>
    <t>F00-09</t>
  </si>
  <si>
    <t>F00-10</t>
  </si>
  <si>
    <t xml:space="preserve">No. of clients seen at IPD (monthly workload)         </t>
  </si>
  <si>
    <t xml:space="preserve">No. of clients seen at MCH (monthly workload)         </t>
  </si>
  <si>
    <t>F00-11</t>
  </si>
  <si>
    <t>Total Eligible For HTS Testing IPD and OPD</t>
  </si>
  <si>
    <t>Total CXCA Screening Positive</t>
  </si>
  <si>
    <t>F04-031</t>
  </si>
  <si>
    <t>F04-091</t>
  </si>
  <si>
    <t>F04-151</t>
  </si>
  <si>
    <t>Sexual Violence - Rape survivors</t>
  </si>
  <si>
    <t xml:space="preserve">Sexual Violence - Initiated PEP  </t>
  </si>
  <si>
    <t>Physical Violence - No of cases</t>
  </si>
  <si>
    <t>Physical Violence - Initiated PEP</t>
  </si>
  <si>
    <t>Emotional Violence -No of clients</t>
  </si>
  <si>
    <t>GBC Screening at OPD</t>
  </si>
  <si>
    <t>GBV Screening at IPD</t>
  </si>
  <si>
    <t>GBV Screening at MCH</t>
  </si>
  <si>
    <t>GBV Screening at CCC</t>
  </si>
  <si>
    <t>F05-003</t>
  </si>
  <si>
    <t>F05-004</t>
  </si>
  <si>
    <t>F05-005</t>
  </si>
  <si>
    <t>F05-006</t>
  </si>
  <si>
    <t>F05-007</t>
  </si>
  <si>
    <t>F05-008</t>
  </si>
  <si>
    <t>F05-009</t>
  </si>
  <si>
    <t>F05-010</t>
  </si>
  <si>
    <t>F05-011</t>
  </si>
  <si>
    <t>F05-012</t>
  </si>
  <si>
    <t>F05-013</t>
  </si>
  <si>
    <t>F05-014</t>
  </si>
  <si>
    <t>F05-015</t>
  </si>
  <si>
    <t>F05-016</t>
  </si>
  <si>
    <t>F05-017</t>
  </si>
  <si>
    <t>F05-018</t>
  </si>
  <si>
    <t>F05-019</t>
  </si>
  <si>
    <t>F05-020</t>
  </si>
  <si>
    <t>F05-021</t>
  </si>
  <si>
    <t>F05-022</t>
  </si>
  <si>
    <t>F05-023</t>
  </si>
  <si>
    <t>F05-024</t>
  </si>
  <si>
    <t>F05-025</t>
  </si>
  <si>
    <t>F05-026</t>
  </si>
  <si>
    <t>F05-027</t>
  </si>
  <si>
    <t>F05-028</t>
  </si>
  <si>
    <t>F05-029</t>
  </si>
  <si>
    <t>F05-030</t>
  </si>
  <si>
    <t>F05-031</t>
  </si>
  <si>
    <t>F05-032</t>
  </si>
  <si>
    <t>Other Violence -No of clients</t>
  </si>
  <si>
    <t>F05-033</t>
  </si>
  <si>
    <t>F05-034</t>
  </si>
  <si>
    <t>F05-035</t>
  </si>
  <si>
    <t>F05-036</t>
  </si>
  <si>
    <t>No. Screened for GBV at OPD</t>
  </si>
  <si>
    <t>No. Screened for GBV at IPD</t>
  </si>
  <si>
    <t>No. Screened for GBV at CCC</t>
  </si>
  <si>
    <t>No. Screened for GBV at MCH</t>
  </si>
  <si>
    <t>Total No of GBV cases identified at OPD</t>
  </si>
  <si>
    <r>
      <t>Current on PREP (</t>
    </r>
    <r>
      <rPr>
        <i/>
        <sz val="22"/>
        <color theme="1"/>
        <rFont val="Browallia New"/>
        <family val="2"/>
      </rPr>
      <t>sum unique clients that received PrEP from October to Date</t>
    </r>
    <r>
      <rPr>
        <b/>
        <sz val="22"/>
        <color theme="1"/>
        <rFont val="Browallia New"/>
        <family val="2"/>
      </rPr>
      <t>)</t>
    </r>
  </si>
  <si>
    <t>Total Eligible IPD and OPD</t>
  </si>
  <si>
    <t>Clients seen at IPD (monthly workload)</t>
  </si>
  <si>
    <t>Clients seen at CCC (monthly workload)</t>
  </si>
  <si>
    <t>Clients seen at MCH (monthly workload)</t>
  </si>
  <si>
    <t>Total No of GBV cases identified at IPD</t>
  </si>
  <si>
    <t>Total No of GBV cases identified at CCC</t>
  </si>
  <si>
    <t>Total No of GBV cases identified at MCH</t>
  </si>
  <si>
    <t>Total Sexual Violence Initiated PEP</t>
  </si>
  <si>
    <t>Infants of 0-2 Months confirmed HIV +ve initiated on ART</t>
  </si>
  <si>
    <t>Infants of 2-12 Months confirmed HIV +ve initiated on ART</t>
  </si>
  <si>
    <t xml:space="preserve">This is a count of GBV cases identifies within a reporting month. </t>
  </si>
  <si>
    <t>GBV register Column "Q"</t>
  </si>
  <si>
    <t xml:space="preserve">This is a count of GVB rape survivors who presented with Sexual Violence at facility during the reporting month. </t>
  </si>
  <si>
    <t xml:space="preserve">This is a count of GBV clients who presented  at facility with cases of Sexual Violence and started on PEP during the reporting month. </t>
  </si>
  <si>
    <t>GBV register Column "V"</t>
  </si>
  <si>
    <t xml:space="preserve">This is a count of GBV clients who presented at facility with physical violence during the reporting month. </t>
  </si>
  <si>
    <t xml:space="preserve">This is a count of GBV clients who presented at facility with physical violence and were started on PEP during the reporting month. </t>
  </si>
  <si>
    <t xml:space="preserve">This is a count of GBV clients who reported to have had an emotional/psychological violence during the reporting month </t>
  </si>
  <si>
    <t xml:space="preserve">This is a count of clients attending IPD Log clinic in a particular month </t>
  </si>
  <si>
    <t xml:space="preserve">IPD Log </t>
  </si>
  <si>
    <t xml:space="preserve">This is a count of clients attending IPD clinic who were screened for any form of gender based violence </t>
  </si>
  <si>
    <t xml:space="preserve">This is a count of GBV clients who reported any other form of GBV during the reporting month </t>
  </si>
  <si>
    <t xml:space="preserve">This is a count of clients attending CCC clinic in a particular month </t>
  </si>
  <si>
    <t xml:space="preserve">CCC DAR </t>
  </si>
  <si>
    <t xml:space="preserve">This is a count of clients attending CCC clinic who were screened for any form of gender based violence </t>
  </si>
  <si>
    <t xml:space="preserve">This is a count of GVB rape survivors who presented with Sexual Violence at CCC during the reporting month. </t>
  </si>
  <si>
    <t xml:space="preserve">This is a count of GBV clients who presented  at CCC with cases of Sexual Violence and started on PEP during the reporting month. </t>
  </si>
  <si>
    <t xml:space="preserve">This is a count of GBV clients who presented at CCC with physical violence during the reporting month. </t>
  </si>
  <si>
    <t xml:space="preserve">This is a count of GBV clients who presented at CCC with physical violence and were started on PEP during the reporting month. </t>
  </si>
  <si>
    <t xml:space="preserve">OPD Register Log </t>
  </si>
  <si>
    <t>Infants of 0-12 Months HIV +Ve Initiated on ART</t>
  </si>
  <si>
    <r>
      <t xml:space="preserve">Tested           </t>
    </r>
    <r>
      <rPr>
        <b/>
        <sz val="26"/>
        <color theme="1"/>
        <rFont val="Browallia New"/>
        <family val="2"/>
      </rPr>
      <t xml:space="preserve"> </t>
    </r>
  </si>
  <si>
    <r>
      <t xml:space="preserve">Tested             </t>
    </r>
    <r>
      <rPr>
        <b/>
        <sz val="26"/>
        <color theme="1"/>
        <rFont val="Browallia New"/>
        <family val="2"/>
      </rPr>
      <t xml:space="preserve"> </t>
    </r>
  </si>
  <si>
    <r>
      <t xml:space="preserve">Directly Assisted                   </t>
    </r>
    <r>
      <rPr>
        <b/>
        <sz val="26"/>
        <color theme="1"/>
        <rFont val="Browallia New"/>
        <family val="2"/>
      </rPr>
      <t xml:space="preserve">       </t>
    </r>
  </si>
  <si>
    <r>
      <t xml:space="preserve">Unassisted : Sex partner           </t>
    </r>
    <r>
      <rPr>
        <b/>
        <sz val="26"/>
        <color theme="1"/>
        <rFont val="Browallia New"/>
        <family val="2"/>
      </rPr>
      <t xml:space="preserve"> </t>
    </r>
  </si>
  <si>
    <r>
      <t xml:space="preserve">Assessed for HIV risk             </t>
    </r>
    <r>
      <rPr>
        <b/>
        <sz val="26"/>
        <color theme="1"/>
        <rFont val="Browallia New"/>
        <family val="2"/>
      </rPr>
      <t xml:space="preserve">   </t>
    </r>
  </si>
  <si>
    <r>
      <t xml:space="preserve">Clients eligible for PrEP                     </t>
    </r>
    <r>
      <rPr>
        <b/>
        <sz val="26"/>
        <color theme="1"/>
        <rFont val="Browallia New"/>
        <family val="2"/>
      </rPr>
      <t xml:space="preserve">  </t>
    </r>
  </si>
  <si>
    <r>
      <t xml:space="preserve">Restarting PrEP                        </t>
    </r>
    <r>
      <rPr>
        <b/>
        <sz val="26"/>
        <color theme="1"/>
        <rFont val="Browallia New"/>
        <family val="2"/>
      </rPr>
      <t xml:space="preserve"> </t>
    </r>
  </si>
  <si>
    <r>
      <t xml:space="preserve">Diagnosed with STI                  </t>
    </r>
    <r>
      <rPr>
        <b/>
        <sz val="26"/>
        <color theme="1"/>
        <rFont val="Browallia New"/>
        <family val="2"/>
      </rPr>
      <t xml:space="preserve"> </t>
    </r>
  </si>
  <si>
    <r>
      <t>Discontinued PrEP</t>
    </r>
    <r>
      <rPr>
        <b/>
        <sz val="26"/>
        <color theme="1"/>
        <rFont val="Browallia New"/>
        <family val="2"/>
      </rPr>
      <t xml:space="preserve">                    </t>
    </r>
  </si>
  <si>
    <r>
      <t xml:space="preserve">Referred to other facilities     </t>
    </r>
    <r>
      <rPr>
        <b/>
        <sz val="26"/>
        <color theme="1"/>
        <rFont val="Browallia New"/>
        <family val="2"/>
      </rPr>
      <t xml:space="preserve">  </t>
    </r>
  </si>
  <si>
    <r>
      <t>Still on preparation</t>
    </r>
    <r>
      <rPr>
        <b/>
        <sz val="26"/>
        <color theme="1"/>
        <rFont val="Browallia New"/>
        <family val="2"/>
      </rPr>
      <t xml:space="preserve">                  </t>
    </r>
  </si>
  <si>
    <r>
      <t xml:space="preserve">Declined                                </t>
    </r>
    <r>
      <rPr>
        <b/>
        <sz val="26"/>
        <color theme="1"/>
        <rFont val="Browallia New"/>
        <family val="2"/>
      </rPr>
      <t xml:space="preserve">    </t>
    </r>
  </si>
  <si>
    <r>
      <t>Discordant couples at PMTCT</t>
    </r>
    <r>
      <rPr>
        <b/>
        <sz val="26"/>
        <color theme="1"/>
        <rFont val="Browallia New"/>
        <family val="2"/>
      </rPr>
      <t xml:space="preserve">  </t>
    </r>
  </si>
  <si>
    <r>
      <t xml:space="preserve">New on ART (IPT)                     </t>
    </r>
    <r>
      <rPr>
        <b/>
        <sz val="26"/>
        <color theme="1"/>
        <rFont val="Browallia New"/>
        <family val="2"/>
      </rPr>
      <t xml:space="preserve"> </t>
    </r>
  </si>
  <si>
    <r>
      <t xml:space="preserve">Already on ART (IPT)                </t>
    </r>
    <r>
      <rPr>
        <b/>
        <sz val="26"/>
        <color theme="1"/>
        <rFont val="Browallia New"/>
        <family val="2"/>
      </rPr>
      <t xml:space="preserve"> </t>
    </r>
  </si>
  <si>
    <r>
      <t xml:space="preserve">New on ART (IPT)                    </t>
    </r>
    <r>
      <rPr>
        <b/>
        <sz val="26"/>
        <color theme="1"/>
        <rFont val="Browallia New"/>
        <family val="2"/>
      </rPr>
      <t xml:space="preserve">  </t>
    </r>
  </si>
  <si>
    <r>
      <t xml:space="preserve">Negative                                  </t>
    </r>
    <r>
      <rPr>
        <b/>
        <sz val="26"/>
        <color theme="1"/>
        <rFont val="Browallia New"/>
        <family val="2"/>
      </rPr>
      <t xml:space="preserve"> </t>
    </r>
  </si>
  <si>
    <r>
      <t xml:space="preserve">Suspected cancer                    </t>
    </r>
    <r>
      <rPr>
        <b/>
        <sz val="26"/>
        <color theme="1"/>
        <rFont val="Browallia New"/>
        <family val="2"/>
      </rPr>
      <t xml:space="preserve"> </t>
    </r>
  </si>
  <si>
    <r>
      <t xml:space="preserve">Cryotherapy                            </t>
    </r>
    <r>
      <rPr>
        <b/>
        <sz val="26"/>
        <color theme="1"/>
        <rFont val="Browallia New"/>
        <family val="2"/>
      </rPr>
      <t xml:space="preserve"> </t>
    </r>
  </si>
  <si>
    <r>
      <t xml:space="preserve">LEEP                                         </t>
    </r>
    <r>
      <rPr>
        <b/>
        <sz val="26"/>
        <color theme="1"/>
        <rFont val="Browallia New"/>
        <family val="2"/>
      </rPr>
      <t xml:space="preserve"> </t>
    </r>
  </si>
  <si>
    <r>
      <t>Thermocoagulation</t>
    </r>
    <r>
      <rPr>
        <b/>
        <sz val="26"/>
        <color theme="1"/>
        <rFont val="Browallia New"/>
        <family val="2"/>
      </rPr>
      <t xml:space="preserve">                 </t>
    </r>
  </si>
  <si>
    <r>
      <t xml:space="preserve">Positive                                   </t>
    </r>
    <r>
      <rPr>
        <b/>
        <sz val="26"/>
        <color theme="1"/>
        <rFont val="Browallia New"/>
        <family val="2"/>
      </rPr>
      <t xml:space="preserve">  </t>
    </r>
  </si>
  <si>
    <r>
      <t xml:space="preserve">Negative                                 </t>
    </r>
    <r>
      <rPr>
        <b/>
        <sz val="26"/>
        <color theme="1"/>
        <rFont val="Browallia New"/>
        <family val="2"/>
      </rPr>
      <t xml:space="preserve">  </t>
    </r>
  </si>
  <si>
    <r>
      <t>Initiated PEP</t>
    </r>
    <r>
      <rPr>
        <b/>
        <sz val="26"/>
        <color theme="1"/>
        <rFont val="Browallia New"/>
        <family val="2"/>
      </rPr>
      <t xml:space="preserve">                            </t>
    </r>
  </si>
  <si>
    <r>
      <t xml:space="preserve">Screened for STI                  </t>
    </r>
    <r>
      <rPr>
        <b/>
        <sz val="26"/>
        <color theme="1"/>
        <rFont val="Browallia New"/>
        <family val="2"/>
      </rPr>
      <t xml:space="preserve">    </t>
    </r>
  </si>
  <si>
    <r>
      <t xml:space="preserve">Treated for STI                       </t>
    </r>
    <r>
      <rPr>
        <b/>
        <sz val="26"/>
        <color theme="1"/>
        <rFont val="Browallia New"/>
        <family val="2"/>
      </rPr>
      <t xml:space="preserve"> </t>
    </r>
  </si>
  <si>
    <r>
      <t>Tested for HIV</t>
    </r>
    <r>
      <rPr>
        <b/>
        <sz val="26"/>
        <color theme="1"/>
        <rFont val="Browallia New"/>
        <family val="2"/>
      </rPr>
      <t xml:space="preserve">                         </t>
    </r>
  </si>
  <si>
    <r>
      <t>HIV positive at 1</t>
    </r>
    <r>
      <rPr>
        <vertAlign val="superscript"/>
        <sz val="26"/>
        <color theme="1"/>
        <rFont val="Browallia New"/>
        <family val="2"/>
      </rPr>
      <t>st</t>
    </r>
    <r>
      <rPr>
        <sz val="26"/>
        <color theme="1"/>
        <rFont val="Browallia New"/>
        <family val="2"/>
      </rPr>
      <t xml:space="preserve"> visit           </t>
    </r>
  </si>
  <si>
    <r>
      <t xml:space="preserve">No. seroconverted </t>
    </r>
    <r>
      <rPr>
        <b/>
        <sz val="26"/>
        <color theme="1"/>
        <rFont val="Browallia New"/>
        <family val="2"/>
      </rPr>
      <t xml:space="preserve"> </t>
    </r>
  </si>
  <si>
    <r>
      <t xml:space="preserve">No. pregnant </t>
    </r>
    <r>
      <rPr>
        <b/>
        <sz val="26"/>
        <color theme="1"/>
        <rFont val="Browallia New"/>
        <family val="2"/>
      </rPr>
      <t xml:space="preserve"> </t>
    </r>
  </si>
  <si>
    <r>
      <t>Initial test at ANC 1</t>
    </r>
    <r>
      <rPr>
        <b/>
        <sz val="26"/>
        <color theme="1"/>
        <rFont val="Browallia New"/>
        <family val="2"/>
      </rPr>
      <t xml:space="preserve">                  </t>
    </r>
  </si>
  <si>
    <r>
      <rPr>
        <b/>
        <sz val="26"/>
        <color theme="1"/>
        <rFont val="Browallia New"/>
        <family val="2"/>
      </rPr>
      <t xml:space="preserve">ANC 2 visit and above </t>
    </r>
    <r>
      <rPr>
        <sz val="26"/>
        <color theme="1"/>
        <rFont val="Browallia New"/>
        <family val="2"/>
      </rPr>
      <t xml:space="preserve">
</t>
    </r>
    <r>
      <rPr>
        <i/>
        <sz val="26"/>
        <color theme="1"/>
        <rFont val="Browallia New"/>
        <family val="2"/>
      </rPr>
      <t>(includes 2nd, 3rd, 4th ANC visits etc.)</t>
    </r>
  </si>
  <si>
    <r>
      <t xml:space="preserve">Starting ART)                   </t>
    </r>
    <r>
      <rPr>
        <b/>
        <sz val="26"/>
        <color theme="1"/>
        <rFont val="Browallia New"/>
        <family val="2"/>
      </rPr>
      <t xml:space="preserve"> </t>
    </r>
  </si>
  <si>
    <r>
      <t xml:space="preserve">Currently on ART (All)             </t>
    </r>
    <r>
      <rPr>
        <b/>
        <sz val="26"/>
        <color theme="1"/>
        <rFont val="Browallia New"/>
        <family val="2"/>
      </rPr>
      <t xml:space="preserve"> </t>
    </r>
  </si>
  <si>
    <r>
      <t xml:space="preserve">Cause of  death (COD) </t>
    </r>
    <r>
      <rPr>
        <b/>
        <i/>
        <sz val="26"/>
        <color theme="1"/>
        <rFont val="Browallia New"/>
        <family val="2"/>
      </rPr>
      <t>Optional</t>
    </r>
  </si>
  <si>
    <t xml:space="preserve">Breastfeeding at initiation of ART   </t>
  </si>
  <si>
    <r>
      <t xml:space="preserve">Previously on ART                   </t>
    </r>
    <r>
      <rPr>
        <b/>
        <sz val="26"/>
        <color theme="1"/>
        <rFont val="Browallia New"/>
        <family val="2"/>
      </rPr>
      <t xml:space="preserve">  </t>
    </r>
  </si>
  <si>
    <r>
      <t xml:space="preserve">Previously on ART                     </t>
    </r>
    <r>
      <rPr>
        <b/>
        <sz val="26"/>
        <color theme="1"/>
        <rFont val="Browallia New"/>
        <family val="2"/>
      </rPr>
      <t xml:space="preserve"> </t>
    </r>
  </si>
  <si>
    <r>
      <t xml:space="preserve">No. of clients                     </t>
    </r>
    <r>
      <rPr>
        <b/>
        <sz val="26"/>
        <color theme="1"/>
        <rFont val="Browallia New"/>
        <family val="2"/>
      </rPr>
      <t xml:space="preserve"> </t>
    </r>
  </si>
  <si>
    <r>
      <t xml:space="preserve">New (1st) ANC clients (PMTCT_STAT_Den)  </t>
    </r>
    <r>
      <rPr>
        <b/>
        <sz val="26"/>
        <color theme="1"/>
        <rFont val="Browallia New"/>
        <family val="2"/>
      </rPr>
      <t xml:space="preserve">       </t>
    </r>
  </si>
  <si>
    <r>
      <t xml:space="preserve">Initial test at ANC 2 and above             </t>
    </r>
    <r>
      <rPr>
        <b/>
        <sz val="26"/>
        <color theme="1"/>
        <rFont val="Browallia New"/>
        <family val="2"/>
      </rPr>
      <t xml:space="preserve"> </t>
    </r>
  </si>
  <si>
    <r>
      <t>Positive result at L&amp;D</t>
    </r>
    <r>
      <rPr>
        <b/>
        <sz val="26"/>
        <color theme="1"/>
        <rFont val="Browallia New"/>
        <family val="2"/>
      </rPr>
      <t xml:space="preserve">                </t>
    </r>
  </si>
  <si>
    <r>
      <t>Retesting Positive result at L&amp;D</t>
    </r>
    <r>
      <rPr>
        <b/>
        <sz val="26"/>
        <color theme="1"/>
        <rFont val="Browallia New"/>
        <family val="2"/>
      </rPr>
      <t xml:space="preserve">            </t>
    </r>
  </si>
  <si>
    <r>
      <t xml:space="preserve">Positive at PNC &lt;=6wks           </t>
    </r>
    <r>
      <rPr>
        <b/>
        <sz val="26"/>
        <color theme="1"/>
        <rFont val="Browallia New"/>
        <family val="2"/>
      </rPr>
      <t xml:space="preserve">     </t>
    </r>
  </si>
  <si>
    <r>
      <t xml:space="preserve">No. of patients whose specimens were sent for </t>
    </r>
    <r>
      <rPr>
        <b/>
        <sz val="26"/>
        <color theme="1"/>
        <rFont val="Browallia New"/>
        <family val="2"/>
      </rPr>
      <t>Smear Only</t>
    </r>
  </si>
  <si>
    <r>
      <t xml:space="preserve">No. of patients whose specimens were sent for </t>
    </r>
    <r>
      <rPr>
        <b/>
        <sz val="26"/>
        <color theme="1"/>
        <rFont val="Browallia New"/>
        <family val="2"/>
      </rPr>
      <t>Gene Xpert MTB /R if Assay</t>
    </r>
  </si>
  <si>
    <r>
      <t xml:space="preserve">No. of patients whose specimens were sent for </t>
    </r>
    <r>
      <rPr>
        <b/>
        <sz val="26"/>
        <color theme="1"/>
        <rFont val="Browallia New"/>
        <family val="2"/>
      </rPr>
      <t>Other (No Xpert)</t>
    </r>
  </si>
  <si>
    <t>This data element is a total of all clients who took a HIV test during a given reporting period excluding the Tests reported in the PMTCT</t>
  </si>
  <si>
    <t>This data element is a total of all clients who tested HIV postive during a give reporting period excluding the positives at PMTCT</t>
  </si>
  <si>
    <t xml:space="preserve">1-28 Days Defaulters </t>
  </si>
  <si>
    <t xml:space="preserve">Clients seen at OPD , IPD and MCH (monthly workload)                   </t>
  </si>
  <si>
    <r>
      <rPr>
        <b/>
        <sz val="22"/>
        <color theme="1"/>
        <rFont val="Browallia New"/>
        <family val="2"/>
      </rPr>
      <t xml:space="preserve">ANC 2 visit and above </t>
    </r>
    <r>
      <rPr>
        <sz val="22"/>
        <color theme="1"/>
        <rFont val="Browallia New"/>
        <family val="2"/>
      </rPr>
      <t xml:space="preserve">
</t>
    </r>
    <r>
      <rPr>
        <i/>
        <sz val="22"/>
        <color theme="1"/>
        <rFont val="Browallia New"/>
        <family val="2"/>
      </rPr>
      <t>(includes 2nd, 3rd, 4th ANC visits etc.)</t>
    </r>
  </si>
  <si>
    <r>
      <rPr>
        <b/>
        <sz val="22"/>
        <color theme="1"/>
        <rFont val="Browallia New"/>
        <family val="2"/>
      </rPr>
      <t xml:space="preserve">ANC 2 and above </t>
    </r>
    <r>
      <rPr>
        <i/>
        <sz val="22"/>
        <color theme="1"/>
        <rFont val="Browallia New"/>
        <family val="2"/>
      </rPr>
      <t>(includes 2nd, 3rd, 4th ANC visits etc)</t>
    </r>
  </si>
  <si>
    <r>
      <t>Infant Prophylaxis</t>
    </r>
    <r>
      <rPr>
        <b/>
        <i/>
        <sz val="22"/>
        <color theme="1"/>
        <rFont val="Browallia New"/>
        <family val="2"/>
      </rPr>
      <t xml:space="preserve"> 
</t>
    </r>
    <r>
      <rPr>
        <i/>
        <sz val="22"/>
        <color theme="1"/>
        <rFont val="Browallia New"/>
        <family val="2"/>
      </rPr>
      <t>(use  mother's age for reporting)</t>
    </r>
  </si>
  <si>
    <r>
      <t xml:space="preserve">Cause of  death (COD) </t>
    </r>
    <r>
      <rPr>
        <b/>
        <i/>
        <sz val="22"/>
        <color theme="1"/>
        <rFont val="Browallia New"/>
        <family val="2"/>
      </rPr>
      <t>Optional</t>
    </r>
  </si>
  <si>
    <t>Warnings Summaries</t>
  </si>
  <si>
    <t>Errors Justifications</t>
  </si>
  <si>
    <t xml:space="preserve">Type any Justifications on the section below to explain reason for the warnings on the left </t>
  </si>
  <si>
    <t>Data Gaps Warnings</t>
  </si>
  <si>
    <t>Errors Summaries</t>
  </si>
  <si>
    <t>GBV Screening at OPD</t>
  </si>
  <si>
    <t xml:space="preserve">Initiated on IPT 
</t>
  </si>
  <si>
    <t xml:space="preserve">Completed IPT
</t>
  </si>
  <si>
    <t>This is a count of the current patients on ART  who were started any course of IPT during the reporting period prior to the one being reported</t>
  </si>
  <si>
    <t>Initiated on IPT</t>
  </si>
  <si>
    <t>Completed IPT</t>
  </si>
  <si>
    <t>A count of PLHIV newly enrolled in HIV clinical care who completed IPT treatment from those that started and were newly starting ART</t>
  </si>
  <si>
    <t>A count of PLHIV already on ART HIV clinical care who start and complete IPT when newly starting ART while they were previously receiving ART</t>
  </si>
  <si>
    <t>Screened for TB</t>
  </si>
  <si>
    <r>
      <t>Total Eligible For HTS Testing in OPD</t>
    </r>
    <r>
      <rPr>
        <b/>
        <sz val="22"/>
        <color theme="9" tint="0.59999389629810485"/>
        <rFont val="Browallia New"/>
        <family val="2"/>
      </rPr>
      <t xml:space="preserve"> IPD and MCH</t>
    </r>
  </si>
  <si>
    <t>Form 1A  version 4.0.2</t>
  </si>
  <si>
    <t>Sexual Rape survivors [OPD, IPD , MCH and CCC]</t>
  </si>
  <si>
    <t xml:space="preserve">Sexual violence </t>
  </si>
  <si>
    <t>Physical &amp; emotional Violence</t>
  </si>
  <si>
    <t xml:space="preserve">No. of  Confirmed TB positive started on TB treatment </t>
  </si>
  <si>
    <t>No. of who had a positive result returned for bacteriologic diagnosis of active TB disease (No confirmed TB diagnosis)</t>
  </si>
  <si>
    <t>No. of  Confirmed TB positive started on TB treatment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</si>
</sst>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1" x14ac:knownFonts="1">
    <font>
      <sz val="11"/>
      <color theme="1"/>
      <name val="Calibri"/>
      <family val="2"/>
      <scheme val="minor"/>
    </font>
    <font>
      <sz val="10"/>
      <name val="Arial"/>
      <family val="2"/>
    </font>
    <font>
      <sz val="11"/>
      <color rgb="FF9C5700"/>
      <name val="Calibri"/>
      <family val="2"/>
      <scheme val="minor"/>
    </font>
    <font>
      <sz val="8"/>
      <name val="Calibri"/>
      <family val="2"/>
      <scheme val="minor"/>
    </font>
    <font>
      <b/>
      <sz val="18"/>
      <color theme="1"/>
      <name val="Browallia New"/>
      <family val="2"/>
      <charset val="222"/>
    </font>
    <font>
      <sz val="18"/>
      <color theme="1"/>
      <name val="Browallia New"/>
      <family val="2"/>
      <charset val="222"/>
    </font>
    <font>
      <b/>
      <sz val="18"/>
      <color rgb="FFFF0000"/>
      <name val="Browallia New"/>
      <family val="2"/>
      <charset val="222"/>
    </font>
    <font>
      <b/>
      <sz val="18"/>
      <name val="Browallia New"/>
      <family val="2"/>
      <charset val="222"/>
    </font>
    <font>
      <sz val="18"/>
      <color theme="5"/>
      <name val="Browallia New"/>
      <family val="2"/>
      <charset val="222"/>
    </font>
    <font>
      <b/>
      <sz val="18"/>
      <color theme="5"/>
      <name val="Browallia New"/>
      <family val="2"/>
      <charset val="222"/>
    </font>
    <font>
      <sz val="18"/>
      <color theme="0"/>
      <name val="Browallia New"/>
      <family val="2"/>
      <charset val="222"/>
    </font>
    <font>
      <b/>
      <sz val="18"/>
      <color theme="0"/>
      <name val="Browallia New"/>
      <family val="2"/>
      <charset val="222"/>
    </font>
    <font>
      <sz val="18"/>
      <color rgb="FFFF0000"/>
      <name val="Browallia New"/>
      <family val="2"/>
      <charset val="222"/>
    </font>
    <font>
      <sz val="18"/>
      <color theme="4" tint="-0.499984740745262"/>
      <name val="Browallia New"/>
      <family val="2"/>
      <charset val="222"/>
    </font>
    <font>
      <b/>
      <sz val="18"/>
      <color theme="9" tint="0.39997558519241921"/>
      <name val="Browallia New"/>
      <family val="2"/>
      <charset val="222"/>
    </font>
    <font>
      <b/>
      <sz val="24"/>
      <color rgb="FFFF0000"/>
      <name val="Browallia New"/>
      <family val="2"/>
      <charset val="222"/>
    </font>
    <font>
      <b/>
      <sz val="24"/>
      <color rgb="FF7030A0"/>
      <name val="Browallia New"/>
      <family val="2"/>
      <charset val="222"/>
    </font>
    <font>
      <b/>
      <sz val="20"/>
      <color theme="1"/>
      <name val="Browallia New"/>
      <family val="2"/>
      <charset val="222"/>
    </font>
    <font>
      <b/>
      <sz val="22"/>
      <color theme="1"/>
      <name val="Browallia New"/>
      <family val="2"/>
      <charset val="222"/>
    </font>
    <font>
      <sz val="22"/>
      <color theme="1"/>
      <name val="Browallia New"/>
      <family val="2"/>
      <charset val="222"/>
    </font>
    <font>
      <sz val="22"/>
      <name val="Browallia New"/>
      <family val="2"/>
      <charset val="222"/>
    </font>
    <font>
      <vertAlign val="superscript"/>
      <sz val="22"/>
      <color theme="1"/>
      <name val="Browallia New"/>
      <family val="2"/>
      <charset val="222"/>
    </font>
    <font>
      <i/>
      <sz val="22"/>
      <color theme="1"/>
      <name val="Browallia New"/>
      <family val="2"/>
      <charset val="222"/>
    </font>
    <font>
      <b/>
      <sz val="20"/>
      <color rgb="FFFF0000"/>
      <name val="Browallia New"/>
      <family val="2"/>
      <charset val="222"/>
    </font>
    <font>
      <b/>
      <sz val="20"/>
      <color theme="1"/>
      <name val="Browallia New"/>
      <family val="2"/>
    </font>
    <font>
      <sz val="20"/>
      <color theme="1"/>
      <name val="Browallia New"/>
      <family val="2"/>
    </font>
    <font>
      <sz val="22"/>
      <color theme="1"/>
      <name val="Browallia New"/>
      <family val="2"/>
    </font>
    <font>
      <b/>
      <sz val="18"/>
      <color theme="4"/>
      <name val="Browallia New"/>
      <family val="2"/>
      <charset val="222"/>
    </font>
    <font>
      <b/>
      <sz val="18"/>
      <color theme="1"/>
      <name val="Browallia New"/>
      <family val="2"/>
    </font>
    <font>
      <b/>
      <sz val="20"/>
      <color theme="0" tint="-4.9989318521683403E-2"/>
      <name val="Browallia New"/>
      <family val="2"/>
    </font>
    <font>
      <b/>
      <sz val="16"/>
      <color theme="1"/>
      <name val="Browallia New"/>
      <family val="2"/>
      <charset val="222"/>
    </font>
    <font>
      <b/>
      <sz val="28"/>
      <color rgb="FFFF0000"/>
      <name val="Browallia New"/>
      <family val="2"/>
      <charset val="222"/>
    </font>
    <font>
      <b/>
      <sz val="22"/>
      <color theme="1"/>
      <name val="Browallia New"/>
      <family val="2"/>
    </font>
    <font>
      <b/>
      <sz val="22"/>
      <name val="Browallia New"/>
      <family val="2"/>
      <charset val="222"/>
    </font>
    <font>
      <i/>
      <sz val="22"/>
      <color theme="1"/>
      <name val="Browallia New"/>
      <family val="2"/>
    </font>
    <font>
      <b/>
      <sz val="24"/>
      <name val="Browallia New"/>
      <family val="2"/>
      <charset val="222"/>
    </font>
    <font>
      <b/>
      <sz val="26"/>
      <color theme="1"/>
      <name val="Browallia New"/>
      <family val="2"/>
    </font>
    <font>
      <sz val="26"/>
      <color theme="1"/>
      <name val="Browallia New"/>
      <family val="2"/>
    </font>
    <font>
      <sz val="26"/>
      <color theme="1"/>
      <name val="Calibri"/>
      <family val="2"/>
      <scheme val="minor"/>
    </font>
    <font>
      <sz val="26"/>
      <color theme="1"/>
      <name val="Browallia New"/>
      <family val="2"/>
      <charset val="222"/>
    </font>
    <font>
      <b/>
      <sz val="26"/>
      <color theme="1"/>
      <name val="Calibri"/>
      <family val="2"/>
      <scheme val="minor"/>
    </font>
    <font>
      <i/>
      <sz val="26"/>
      <color theme="1"/>
      <name val="Browallia New"/>
      <family val="2"/>
    </font>
    <font>
      <b/>
      <i/>
      <sz val="26"/>
      <color theme="1"/>
      <name val="Browallia New"/>
      <family val="2"/>
    </font>
    <font>
      <b/>
      <sz val="26"/>
      <color rgb="FFFF0000"/>
      <name val="Browallia New"/>
      <family val="2"/>
    </font>
    <font>
      <b/>
      <sz val="24"/>
      <color theme="5"/>
      <name val="Browallia New"/>
      <family val="2"/>
      <charset val="222"/>
    </font>
    <font>
      <b/>
      <sz val="20"/>
      <color rgb="FF7030A0"/>
      <name val="Browallia New"/>
      <family val="2"/>
    </font>
    <font>
      <b/>
      <sz val="20"/>
      <color theme="0"/>
      <name val="Browallia New"/>
      <family val="2"/>
    </font>
    <font>
      <sz val="20"/>
      <color theme="0"/>
      <name val="Browallia New"/>
      <family val="2"/>
    </font>
    <font>
      <b/>
      <sz val="18"/>
      <color theme="5"/>
      <name val="Browallia New"/>
      <family val="2"/>
    </font>
    <font>
      <b/>
      <sz val="20"/>
      <color theme="5"/>
      <name val="Browallia New"/>
      <family val="2"/>
    </font>
    <font>
      <b/>
      <sz val="18"/>
      <color theme="4"/>
      <name val="Browallia New"/>
      <family val="2"/>
    </font>
    <font>
      <b/>
      <i/>
      <sz val="22"/>
      <color theme="1"/>
      <name val="Browallia New"/>
      <family val="2"/>
    </font>
    <font>
      <sz val="22"/>
      <color theme="0"/>
      <name val="Browallia New"/>
      <family val="2"/>
    </font>
    <font>
      <b/>
      <sz val="24"/>
      <color theme="1"/>
      <name val="Browallia New"/>
      <family val="2"/>
    </font>
    <font>
      <b/>
      <sz val="28"/>
      <color theme="1"/>
      <name val="Browallia New"/>
      <family val="2"/>
    </font>
    <font>
      <sz val="28"/>
      <color theme="1"/>
      <name val="Browallia New"/>
      <family val="2"/>
    </font>
    <font>
      <b/>
      <sz val="26"/>
      <name val="Browallia New"/>
      <family val="2"/>
    </font>
    <font>
      <b/>
      <sz val="26"/>
      <color theme="4"/>
      <name val="Browallia New"/>
      <family val="2"/>
    </font>
    <font>
      <vertAlign val="superscript"/>
      <sz val="26"/>
      <color theme="1"/>
      <name val="Browallia New"/>
      <family val="2"/>
    </font>
    <font>
      <b/>
      <sz val="26"/>
      <color theme="9" tint="0.39997558519241921"/>
      <name val="Browallia New"/>
      <family val="2"/>
    </font>
    <font>
      <sz val="22"/>
      <name val="Browallia New"/>
      <family val="2"/>
    </font>
    <font>
      <b/>
      <sz val="22"/>
      <color rgb="FFFF0000"/>
      <name val="Browallia New"/>
      <family val="2"/>
    </font>
    <font>
      <sz val="36"/>
      <color theme="0"/>
      <name val="Browallia New"/>
      <family val="2"/>
    </font>
    <font>
      <sz val="36"/>
      <color theme="1"/>
      <name val="Browallia New"/>
      <family val="2"/>
    </font>
    <font>
      <sz val="28"/>
      <color theme="0"/>
      <name val="Browallia New"/>
      <family val="2"/>
    </font>
    <font>
      <b/>
      <sz val="36"/>
      <color theme="0"/>
      <name val="Browallia New"/>
      <family val="2"/>
    </font>
    <font>
      <b/>
      <i/>
      <sz val="28"/>
      <color theme="2" tint="-0.499984740745262"/>
      <name val="Browallia New"/>
      <family val="2"/>
    </font>
    <font>
      <sz val="28"/>
      <color theme="2" tint="-0.499984740745262"/>
      <name val="Browallia New"/>
      <family val="2"/>
      <charset val="222"/>
    </font>
    <font>
      <sz val="18"/>
      <color theme="1"/>
      <name val="Calibri"/>
      <family val="2"/>
      <scheme val="minor"/>
    </font>
    <font>
      <b/>
      <sz val="22"/>
      <color theme="0"/>
      <name val="Browallia New"/>
      <family val="2"/>
    </font>
    <font>
      <b/>
      <sz val="22"/>
      <color theme="9" tint="0.59999389629810485"/>
      <name val="Browallia New"/>
      <family val="2"/>
    </font>
  </fonts>
  <fills count="15">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s>
  <borders count="16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medium">
        <color theme="9"/>
      </right>
      <top style="thin">
        <color theme="2" tint="-0.249977111117893"/>
      </top>
      <bottom style="medium">
        <color theme="9"/>
      </bottom>
      <diagonal/>
    </border>
    <border>
      <left style="thin">
        <color theme="2" tint="-0.249977111117893"/>
      </left>
      <right style="thin">
        <color theme="2" tint="-0.249977111117893"/>
      </right>
      <top/>
      <bottom/>
      <diagonal/>
    </border>
    <border>
      <left style="medium">
        <color theme="9"/>
      </left>
      <right style="thin">
        <color theme="2" tint="-0.249977111117893"/>
      </right>
      <top style="medium">
        <color theme="9"/>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style="medium">
        <color theme="9"/>
      </right>
      <top style="medium">
        <color theme="9"/>
      </top>
      <bottom style="medium">
        <color theme="9"/>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thin">
        <color theme="2" tint="-0.249977111117893"/>
      </left>
      <right/>
      <top style="thin">
        <color theme="2" tint="-0.249977111117893"/>
      </top>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diagonal/>
    </border>
    <border>
      <left style="thin">
        <color theme="2" tint="-0.249977111117893"/>
      </left>
      <right style="medium">
        <color theme="9"/>
      </right>
      <top/>
      <bottom style="thin">
        <color theme="2" tint="-0.249977111117893"/>
      </bottom>
      <diagonal/>
    </border>
    <border>
      <left/>
      <right style="thin">
        <color theme="2" tint="-0.249977111117893"/>
      </right>
      <top style="thin">
        <color theme="2" tint="-0.249977111117893"/>
      </top>
      <bottom/>
      <diagonal/>
    </border>
    <border>
      <left style="thin">
        <color theme="2" tint="-0.249977111117893"/>
      </left>
      <right style="medium">
        <color theme="9"/>
      </right>
      <top style="thin">
        <color theme="2" tint="-0.249977111117893"/>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right style="thin">
        <color indexed="64"/>
      </right>
      <top style="medium">
        <color theme="9"/>
      </top>
      <bottom style="medium">
        <color theme="9"/>
      </bottom>
      <diagonal/>
    </border>
    <border>
      <left style="thin">
        <color indexed="64"/>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thin">
        <color indexed="64"/>
      </left>
      <right/>
      <top style="thin">
        <color indexed="64"/>
      </top>
      <bottom style="medium">
        <color theme="9"/>
      </bottom>
      <diagonal/>
    </border>
    <border>
      <left/>
      <right/>
      <top style="thin">
        <color indexed="64"/>
      </top>
      <bottom style="medium">
        <color theme="9"/>
      </bottom>
      <diagonal/>
    </border>
    <border>
      <left style="medium">
        <color theme="9"/>
      </left>
      <right/>
      <top style="thin">
        <color theme="2" tint="-0.249977111117893"/>
      </top>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thin">
        <color theme="2" tint="-0.249977111117893"/>
      </right>
      <top style="medium">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style="thin">
        <color theme="2" tint="-0.249977111117893"/>
      </top>
      <bottom style="medium">
        <color theme="9"/>
      </bottom>
      <diagonal/>
    </border>
    <border>
      <left style="thin">
        <color theme="2" tint="-0.249977111117893"/>
      </left>
      <right style="thin">
        <color theme="2" tint="-0.249977111117893"/>
      </right>
      <top/>
      <bottom style="medium">
        <color theme="9"/>
      </bottom>
      <diagonal/>
    </border>
    <border>
      <left style="medium">
        <color theme="9"/>
      </left>
      <right style="medium">
        <color theme="9"/>
      </right>
      <top/>
      <bottom style="thin">
        <color theme="9"/>
      </bottom>
      <diagonal/>
    </border>
    <border>
      <left style="thin">
        <color theme="2" tint="-0.249977111117893"/>
      </left>
      <right style="thin">
        <color theme="2" tint="-0.249977111117893"/>
      </right>
      <top style="medium">
        <color theme="9"/>
      </top>
      <bottom/>
      <diagonal/>
    </border>
    <border>
      <left/>
      <right style="medium">
        <color theme="9"/>
      </right>
      <top style="medium">
        <color theme="9"/>
      </top>
      <bottom style="thin">
        <color theme="2" tint="-0.249977111117893"/>
      </bottom>
      <diagonal/>
    </border>
    <border>
      <left/>
      <right style="medium">
        <color theme="9"/>
      </right>
      <top style="thin">
        <color theme="2" tint="-0.249977111117893"/>
      </top>
      <bottom style="thin">
        <color theme="2" tint="-0.249977111117893"/>
      </bottom>
      <diagonal/>
    </border>
    <border>
      <left/>
      <right style="medium">
        <color theme="9"/>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9"/>
      </bottom>
      <diagonal/>
    </border>
    <border>
      <left style="medium">
        <color theme="9"/>
      </left>
      <right style="thin">
        <color theme="2" tint="-0.249977111117893"/>
      </right>
      <top/>
      <bottom style="medium">
        <color theme="9"/>
      </bottom>
      <diagonal/>
    </border>
    <border>
      <left style="thin">
        <color theme="0" tint="-0.249977111117893"/>
      </left>
      <right style="thin">
        <color theme="0" tint="-0.249977111117893"/>
      </right>
      <top/>
      <bottom style="thin">
        <color theme="0" tint="-0.249977111117893"/>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right style="thin">
        <color theme="2" tint="-0.249977111117893"/>
      </right>
      <top/>
      <bottom style="medium">
        <color theme="9"/>
      </bottom>
      <diagonal/>
    </border>
    <border>
      <left style="thin">
        <color theme="2" tint="-0.249977111117893"/>
      </left>
      <right style="medium">
        <color theme="9"/>
      </right>
      <top/>
      <bottom/>
      <diagonal/>
    </border>
    <border>
      <left style="thin">
        <color theme="9"/>
      </left>
      <right style="thin">
        <color theme="9"/>
      </right>
      <top style="thin">
        <color theme="9"/>
      </top>
      <bottom style="thin">
        <color theme="9"/>
      </bottom>
      <diagonal/>
    </border>
    <border>
      <left style="thin">
        <color theme="0" tint="-0.249977111117893"/>
      </left>
      <right/>
      <top style="thin">
        <color theme="0" tint="-0.249977111117893"/>
      </top>
      <bottom style="thin">
        <color theme="0" tint="-0.249977111117893"/>
      </bottom>
      <diagonal/>
    </border>
    <border>
      <left/>
      <right style="medium">
        <color theme="9"/>
      </right>
      <top/>
      <bottom style="thin">
        <color theme="2" tint="-0.249977111117893"/>
      </bottom>
      <diagonal/>
    </border>
    <border>
      <left style="thin">
        <color theme="0" tint="-0.249977111117893"/>
      </left>
      <right style="thin">
        <color theme="0" tint="-0.249977111117893"/>
      </right>
      <top style="thin">
        <color theme="0" tint="-0.249977111117893"/>
      </top>
      <bottom style="medium">
        <color theme="9"/>
      </bottom>
      <diagonal/>
    </border>
    <border>
      <left style="medium">
        <color theme="9"/>
      </left>
      <right/>
      <top/>
      <bottom style="medium">
        <color theme="9"/>
      </bottom>
      <diagonal/>
    </border>
    <border>
      <left/>
      <right/>
      <top/>
      <bottom style="medium">
        <color theme="9"/>
      </bottom>
      <diagonal/>
    </border>
    <border>
      <left/>
      <right style="thin">
        <color theme="2" tint="-0.249977111117893"/>
      </right>
      <top style="medium">
        <color theme="9"/>
      </top>
      <bottom/>
      <diagonal/>
    </border>
    <border>
      <left style="medium">
        <color theme="9"/>
      </left>
      <right style="medium">
        <color theme="9"/>
      </right>
      <top style="medium">
        <color theme="9"/>
      </top>
      <bottom style="thin">
        <color theme="2" tint="-9.9978637043366805E-2"/>
      </bottom>
      <diagonal/>
    </border>
    <border>
      <left style="medium">
        <color theme="9"/>
      </left>
      <right style="medium">
        <color theme="9"/>
      </right>
      <top style="thin">
        <color theme="2" tint="-9.9978637043366805E-2"/>
      </top>
      <bottom style="thin">
        <color theme="2" tint="-9.9978637043366805E-2"/>
      </bottom>
      <diagonal/>
    </border>
    <border>
      <left style="medium">
        <color theme="9"/>
      </left>
      <right style="medium">
        <color theme="9"/>
      </right>
      <top style="thin">
        <color theme="2" tint="-9.9978637043366805E-2"/>
      </top>
      <bottom style="medium">
        <color theme="9"/>
      </bottom>
      <diagonal/>
    </border>
    <border>
      <left style="thin">
        <color theme="0" tint="-0.249977111117893"/>
      </left>
      <right/>
      <top style="thin">
        <color theme="0" tint="-0.249977111117893"/>
      </top>
      <bottom style="medium">
        <color theme="9"/>
      </bottom>
      <diagonal/>
    </border>
    <border>
      <left style="medium">
        <color theme="9"/>
      </left>
      <right style="medium">
        <color theme="9"/>
      </right>
      <top style="thin">
        <color theme="2" tint="-9.9978637043366805E-2"/>
      </top>
      <bottom/>
      <diagonal/>
    </border>
    <border>
      <left/>
      <right style="thin">
        <color theme="6"/>
      </right>
      <top style="thin">
        <color theme="6"/>
      </top>
      <bottom style="thin">
        <color theme="6"/>
      </bottom>
      <diagonal/>
    </border>
    <border>
      <left style="thin">
        <color theme="2" tint="-0.249977111117893"/>
      </left>
      <right style="medium">
        <color theme="9"/>
      </right>
      <top/>
      <bottom style="medium">
        <color theme="9"/>
      </bottom>
      <diagonal/>
    </border>
    <border>
      <left style="thin">
        <color theme="6"/>
      </left>
      <right style="medium">
        <color theme="9"/>
      </right>
      <top style="medium">
        <color theme="9"/>
      </top>
      <bottom style="thin">
        <color theme="6"/>
      </bottom>
      <diagonal/>
    </border>
    <border>
      <left/>
      <right style="thin">
        <color theme="6"/>
      </right>
      <top style="thin">
        <color theme="6"/>
      </top>
      <bottom style="medium">
        <color theme="9"/>
      </bottom>
      <diagonal/>
    </border>
    <border>
      <left/>
      <right style="thin">
        <color indexed="64"/>
      </right>
      <top style="thin">
        <color indexed="64"/>
      </top>
      <bottom/>
      <diagonal/>
    </border>
    <border>
      <left style="thin">
        <color theme="9"/>
      </left>
      <right style="thin">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thin">
        <color theme="9"/>
      </left>
      <right style="medium">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style="thin">
        <color theme="9"/>
      </left>
      <right style="medium">
        <color theme="9"/>
      </right>
      <top/>
      <bottom style="thin">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right style="thin">
        <color theme="9"/>
      </right>
      <top/>
      <bottom style="thin">
        <color theme="9"/>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right style="thin">
        <color theme="9"/>
      </right>
      <top style="medium">
        <color theme="9"/>
      </top>
      <bottom style="thin">
        <color theme="9"/>
      </bottom>
      <diagonal/>
    </border>
    <border>
      <left style="thin">
        <color theme="9"/>
      </left>
      <right style="thin">
        <color theme="9"/>
      </right>
      <top/>
      <bottom/>
      <diagonal/>
    </border>
    <border>
      <left/>
      <right/>
      <top style="medium">
        <color theme="9"/>
      </top>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style="thin">
        <color theme="9"/>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top style="thin">
        <color theme="2" tint="-9.9978637043366805E-2"/>
      </top>
      <bottom style="thin">
        <color theme="2" tint="-9.9978637043366805E-2"/>
      </bottom>
      <diagonal/>
    </border>
    <border>
      <left/>
      <right style="medium">
        <color theme="9"/>
      </right>
      <top/>
      <bottom style="medium">
        <color theme="9"/>
      </bottom>
      <diagonal/>
    </border>
    <border>
      <left style="medium">
        <color theme="9"/>
      </left>
      <right style="thin">
        <color theme="2" tint="-9.9978637043366805E-2"/>
      </right>
      <top style="medium">
        <color theme="9"/>
      </top>
      <bottom style="thin">
        <color theme="2" tint="-9.9978637043366805E-2"/>
      </bottom>
      <diagonal/>
    </border>
    <border>
      <left style="thin">
        <color theme="2" tint="-9.9978637043366805E-2"/>
      </left>
      <right style="thin">
        <color theme="2" tint="-9.9978637043366805E-2"/>
      </right>
      <top style="medium">
        <color theme="9"/>
      </top>
      <bottom style="thin">
        <color theme="2" tint="-9.9978637043366805E-2"/>
      </bottom>
      <diagonal/>
    </border>
    <border>
      <left style="thin">
        <color theme="2" tint="-9.9978637043366805E-2"/>
      </left>
      <right style="medium">
        <color theme="9"/>
      </right>
      <top style="medium">
        <color theme="9"/>
      </top>
      <bottom style="thin">
        <color theme="2" tint="-9.9978637043366805E-2"/>
      </bottom>
      <diagonal/>
    </border>
    <border>
      <left style="medium">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medium">
        <color theme="9"/>
      </right>
      <top style="thin">
        <color theme="2" tint="-9.9978637043366805E-2"/>
      </top>
      <bottom style="thin">
        <color theme="2" tint="-9.9978637043366805E-2"/>
      </bottom>
      <diagonal/>
    </border>
    <border>
      <left style="medium">
        <color theme="9"/>
      </left>
      <right style="thin">
        <color theme="2" tint="-9.9978637043366805E-2"/>
      </right>
      <top style="thin">
        <color theme="2" tint="-9.9978637043366805E-2"/>
      </top>
      <bottom style="medium">
        <color theme="9"/>
      </bottom>
      <diagonal/>
    </border>
    <border>
      <left style="thin">
        <color theme="2" tint="-9.9978637043366805E-2"/>
      </left>
      <right style="thin">
        <color theme="2" tint="-9.9978637043366805E-2"/>
      </right>
      <top style="thin">
        <color theme="2" tint="-9.9978637043366805E-2"/>
      </top>
      <bottom style="medium">
        <color theme="9"/>
      </bottom>
      <diagonal/>
    </border>
    <border>
      <left style="thin">
        <color theme="2" tint="-9.9978637043366805E-2"/>
      </left>
      <right style="medium">
        <color theme="9"/>
      </right>
      <top style="thin">
        <color theme="2" tint="-9.9978637043366805E-2"/>
      </top>
      <bottom style="medium">
        <color theme="9"/>
      </bottom>
      <diagonal/>
    </border>
    <border>
      <left style="medium">
        <color theme="9"/>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medium">
        <color theme="9"/>
      </right>
      <top/>
      <bottom style="thin">
        <color theme="2" tint="-9.9978637043366805E-2"/>
      </bottom>
      <diagonal/>
    </border>
    <border>
      <left style="thin">
        <color theme="2" tint="-9.9978637043366805E-2"/>
      </left>
      <right/>
      <top style="medium">
        <color theme="9"/>
      </top>
      <bottom style="thin">
        <color theme="2" tint="-9.9978637043366805E-2"/>
      </bottom>
      <diagonal/>
    </border>
    <border>
      <left style="thin">
        <color theme="2" tint="-9.9978637043366805E-2"/>
      </left>
      <right/>
      <top style="thin">
        <color theme="2" tint="-9.9978637043366805E-2"/>
      </top>
      <bottom style="medium">
        <color theme="9"/>
      </bottom>
      <diagonal/>
    </border>
    <border>
      <left style="medium">
        <color theme="9"/>
      </left>
      <right style="thin">
        <color theme="6"/>
      </right>
      <top style="medium">
        <color theme="9"/>
      </top>
      <bottom style="thin">
        <color theme="6"/>
      </bottom>
      <diagonal/>
    </border>
    <border>
      <left style="thin">
        <color theme="6"/>
      </left>
      <right style="thin">
        <color theme="6"/>
      </right>
      <top style="medium">
        <color theme="9"/>
      </top>
      <bottom style="thin">
        <color theme="6"/>
      </bottom>
      <diagonal/>
    </border>
    <border>
      <left style="medium">
        <color theme="9"/>
      </left>
      <right style="thin">
        <color theme="6"/>
      </right>
      <top style="thin">
        <color theme="6"/>
      </top>
      <bottom style="medium">
        <color theme="9"/>
      </bottom>
      <diagonal/>
    </border>
  </borders>
  <cellStyleXfs count="3">
    <xf numFmtId="0" fontId="0" fillId="0" borderId="0"/>
    <xf numFmtId="0" fontId="1" fillId="0" borderId="0" applyNumberFormat="0" applyFont="0" applyFill="0" applyBorder="0" applyAlignment="0" applyProtection="0"/>
    <xf numFmtId="0" fontId="2" fillId="11" borderId="0" applyNumberFormat="0" applyBorder="0" applyAlignment="0" applyProtection="0"/>
  </cellStyleXfs>
  <cellXfs count="779">
    <xf numFmtId="0" fontId="0" fillId="0" borderId="0" xfId="0"/>
    <xf numFmtId="0" fontId="4" fillId="0" borderId="0" xfId="0" applyFont="1" applyAlignment="1">
      <alignment horizontal="center" wrapText="1"/>
    </xf>
    <xf numFmtId="0" fontId="5" fillId="0" borderId="0" xfId="0" applyFont="1"/>
    <xf numFmtId="0" fontId="4" fillId="0" borderId="0" xfId="0" applyFont="1"/>
    <xf numFmtId="0" fontId="5" fillId="0" borderId="0" xfId="0" applyFont="1" applyAlignment="1">
      <alignment wrapText="1"/>
    </xf>
    <xf numFmtId="0" fontId="4" fillId="0" borderId="0" xfId="0" applyFont="1" applyAlignment="1">
      <alignment horizontal="left"/>
    </xf>
    <xf numFmtId="0" fontId="4" fillId="0" borderId="0" xfId="0" applyFont="1" applyAlignment="1">
      <alignment wrapText="1"/>
    </xf>
    <xf numFmtId="0" fontId="5" fillId="5" borderId="0" xfId="0" applyFont="1" applyFill="1"/>
    <xf numFmtId="0" fontId="5" fillId="0" borderId="0" xfId="0" applyFont="1" applyAlignment="1">
      <alignment vertical="center"/>
    </xf>
    <xf numFmtId="0" fontId="5" fillId="0" borderId="0" xfId="0" applyFont="1" applyAlignment="1"/>
    <xf numFmtId="0" fontId="4" fillId="0" borderId="3" xfId="0" applyFont="1" applyBorder="1" applyAlignment="1">
      <alignment wrapText="1"/>
    </xf>
    <xf numFmtId="0" fontId="30" fillId="0" borderId="2" xfId="0" applyFont="1" applyBorder="1" applyAlignment="1">
      <alignment wrapText="1"/>
    </xf>
    <xf numFmtId="0" fontId="4" fillId="0" borderId="3" xfId="0" applyFont="1" applyBorder="1"/>
    <xf numFmtId="0" fontId="4" fillId="0" borderId="2" xfId="0" applyFont="1" applyBorder="1"/>
    <xf numFmtId="0" fontId="4" fillId="0" borderId="0" xfId="0" applyFont="1" applyAlignment="1">
      <alignment vertical="center"/>
    </xf>
    <xf numFmtId="0" fontId="5" fillId="5" borderId="0" xfId="0" applyFont="1" applyFill="1" applyAlignment="1"/>
    <xf numFmtId="0" fontId="36" fillId="5" borderId="1" xfId="0" applyFont="1" applyFill="1" applyBorder="1" applyAlignment="1">
      <alignment horizontal="left" wrapText="1"/>
    </xf>
    <xf numFmtId="0" fontId="38" fillId="5" borderId="0" xfId="0" applyFont="1" applyFill="1" applyAlignment="1">
      <alignment horizontal="left" wrapText="1"/>
    </xf>
    <xf numFmtId="0" fontId="5" fillId="4" borderId="7" xfId="0" applyFont="1" applyFill="1" applyBorder="1" applyAlignment="1" applyProtection="1">
      <alignment horizontal="center" vertical="center"/>
    </xf>
    <xf numFmtId="0" fontId="5" fillId="0" borderId="7" xfId="0" applyFont="1" applyBorder="1" applyAlignment="1" applyProtection="1">
      <alignment horizontal="center" vertical="center"/>
      <protection locked="0"/>
    </xf>
    <xf numFmtId="0" fontId="8" fillId="0" borderId="7" xfId="0" applyFont="1" applyBorder="1" applyAlignment="1" applyProtection="1">
      <alignment horizontal="center" vertical="center"/>
      <protection locked="0"/>
    </xf>
    <xf numFmtId="0" fontId="10" fillId="4" borderId="7" xfId="0" applyFont="1" applyFill="1" applyBorder="1" applyAlignment="1" applyProtection="1">
      <alignment horizontal="center" vertical="center"/>
    </xf>
    <xf numFmtId="49" fontId="7" fillId="4" borderId="7" xfId="1" applyNumberFormat="1" applyFont="1" applyFill="1" applyBorder="1" applyAlignment="1">
      <alignment horizontal="center" vertical="center"/>
    </xf>
    <xf numFmtId="0" fontId="16" fillId="0" borderId="6" xfId="0" applyFont="1" applyBorder="1" applyAlignment="1">
      <alignment vertical="center" wrapText="1"/>
    </xf>
    <xf numFmtId="0" fontId="5" fillId="5" borderId="7" xfId="0" applyFont="1" applyFill="1" applyBorder="1" applyAlignment="1" applyProtection="1">
      <alignment horizontal="center" vertical="center"/>
      <protection locked="0"/>
    </xf>
    <xf numFmtId="0" fontId="5" fillId="0" borderId="7" xfId="0" applyFont="1" applyBorder="1" applyAlignment="1" applyProtection="1">
      <alignment horizontal="center" vertical="center" wrapText="1"/>
      <protection locked="0"/>
    </xf>
    <xf numFmtId="0" fontId="5" fillId="2" borderId="7" xfId="0" applyFont="1" applyFill="1" applyBorder="1" applyAlignment="1" applyProtection="1">
      <alignment horizontal="center" vertical="center"/>
    </xf>
    <xf numFmtId="49" fontId="4" fillId="6" borderId="7" xfId="0" applyNumberFormat="1" applyFont="1" applyFill="1" applyBorder="1" applyAlignment="1" applyProtection="1">
      <alignment horizontal="center" vertical="center"/>
    </xf>
    <xf numFmtId="1" fontId="7" fillId="5" borderId="7" xfId="1" applyNumberFormat="1"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xf>
    <xf numFmtId="49" fontId="7" fillId="4" borderId="9" xfId="1" applyNumberFormat="1" applyFont="1" applyFill="1" applyBorder="1" applyAlignment="1">
      <alignment horizontal="center" vertical="center"/>
    </xf>
    <xf numFmtId="0" fontId="5" fillId="0" borderId="10" xfId="0" applyFont="1" applyBorder="1" applyAlignment="1" applyProtection="1">
      <alignment horizontal="center" vertical="center"/>
      <protection locked="0"/>
    </xf>
    <xf numFmtId="0" fontId="5" fillId="4" borderId="10" xfId="0" applyFont="1" applyFill="1" applyBorder="1" applyAlignment="1" applyProtection="1">
      <alignment horizontal="center" vertical="center"/>
    </xf>
    <xf numFmtId="0" fontId="5" fillId="5" borderId="10" xfId="0" applyFont="1" applyFill="1" applyBorder="1" applyAlignment="1" applyProtection="1">
      <alignment horizontal="center" vertical="center"/>
      <protection locked="0"/>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0" fontId="4" fillId="6" borderId="13" xfId="0" applyFont="1" applyFill="1" applyBorder="1" applyAlignment="1">
      <alignment horizontal="center" vertical="center"/>
    </xf>
    <xf numFmtId="0" fontId="4" fillId="6" borderId="14" xfId="0" applyFont="1" applyFill="1" applyBorder="1" applyAlignment="1">
      <alignment horizontal="center" vertical="center"/>
    </xf>
    <xf numFmtId="0" fontId="5" fillId="4" borderId="15" xfId="0" applyFont="1" applyFill="1" applyBorder="1" applyAlignment="1" applyProtection="1">
      <alignment horizontal="center" vertical="center"/>
    </xf>
    <xf numFmtId="0" fontId="5" fillId="0" borderId="15" xfId="0" applyFont="1" applyBorder="1" applyAlignment="1" applyProtection="1">
      <alignment horizontal="center" vertical="center"/>
      <protection locked="0"/>
    </xf>
    <xf numFmtId="0" fontId="4" fillId="6" borderId="16" xfId="0" applyFont="1" applyFill="1" applyBorder="1" applyAlignment="1">
      <alignment horizontal="center" vertical="center"/>
    </xf>
    <xf numFmtId="0" fontId="9" fillId="6" borderId="14" xfId="0" applyFont="1" applyFill="1" applyBorder="1" applyAlignment="1">
      <alignment horizontal="center" vertical="center"/>
    </xf>
    <xf numFmtId="0" fontId="10" fillId="4" borderId="15" xfId="0" applyFont="1" applyFill="1" applyBorder="1" applyAlignment="1" applyProtection="1">
      <alignment horizontal="center" vertical="center"/>
    </xf>
    <xf numFmtId="0" fontId="10" fillId="4" borderId="12" xfId="0" applyFont="1" applyFill="1" applyBorder="1" applyAlignment="1" applyProtection="1">
      <alignment horizontal="center" vertical="center"/>
    </xf>
    <xf numFmtId="0" fontId="11" fillId="4" borderId="15" xfId="0" applyFont="1" applyFill="1" applyBorder="1" applyAlignment="1" applyProtection="1">
      <alignment horizontal="center" vertical="center"/>
    </xf>
    <xf numFmtId="0" fontId="8" fillId="0" borderId="15" xfId="0" applyFont="1" applyBorder="1" applyAlignment="1" applyProtection="1">
      <alignment horizontal="center" vertical="center"/>
      <protection locked="0"/>
    </xf>
    <xf numFmtId="0" fontId="9" fillId="6" borderId="16" xfId="0" applyFont="1" applyFill="1" applyBorder="1" applyAlignment="1">
      <alignment horizontal="center" vertical="center"/>
    </xf>
    <xf numFmtId="0" fontId="4" fillId="4" borderId="15" xfId="0" applyFont="1" applyFill="1" applyBorder="1" applyAlignment="1" applyProtection="1">
      <alignment horizontal="center" vertical="center"/>
    </xf>
    <xf numFmtId="0" fontId="5" fillId="5" borderId="12" xfId="0" applyFont="1" applyFill="1" applyBorder="1" applyAlignment="1" applyProtection="1">
      <alignment horizontal="center" vertical="center"/>
      <protection locked="0"/>
    </xf>
    <xf numFmtId="1" fontId="4" fillId="6" borderId="12" xfId="0" applyNumberFormat="1" applyFont="1" applyFill="1" applyBorder="1" applyAlignment="1" applyProtection="1">
      <alignment horizontal="center" vertical="center"/>
    </xf>
    <xf numFmtId="0" fontId="5" fillId="4" borderId="9" xfId="0" applyFont="1" applyFill="1" applyBorder="1" applyAlignment="1" applyProtection="1">
      <alignment horizontal="center" vertical="center"/>
    </xf>
    <xf numFmtId="0" fontId="5" fillId="0" borderId="9" xfId="0" applyFont="1" applyBorder="1" applyAlignment="1" applyProtection="1">
      <alignment horizontal="center" vertical="center"/>
      <protection locked="0"/>
    </xf>
    <xf numFmtId="0" fontId="5" fillId="5" borderId="13" xfId="0" applyFont="1" applyFill="1" applyBorder="1" applyAlignment="1" applyProtection="1">
      <alignment horizontal="center" vertical="center"/>
      <protection locked="0"/>
    </xf>
    <xf numFmtId="0" fontId="5" fillId="0" borderId="12" xfId="0" applyFont="1" applyBorder="1" applyAlignment="1" applyProtection="1">
      <alignment horizontal="center" vertical="center" wrapText="1"/>
      <protection locked="0"/>
    </xf>
    <xf numFmtId="0" fontId="5" fillId="0" borderId="15" xfId="0" applyFont="1" applyBorder="1" applyAlignment="1" applyProtection="1">
      <alignment horizontal="center" vertical="center" wrapText="1"/>
      <protection locked="0"/>
    </xf>
    <xf numFmtId="0" fontId="5" fillId="5" borderId="15" xfId="0" applyFont="1" applyFill="1" applyBorder="1" applyAlignment="1" applyProtection="1">
      <alignment horizontal="center" vertical="center"/>
      <protection locked="0"/>
    </xf>
    <xf numFmtId="0" fontId="5" fillId="2" borderId="10"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15" xfId="0" applyFont="1" applyFill="1" applyBorder="1" applyAlignment="1" applyProtection="1">
      <alignment horizontal="center" vertical="center"/>
    </xf>
    <xf numFmtId="49" fontId="4" fillId="6" borderId="14" xfId="0" applyNumberFormat="1" applyFont="1" applyFill="1" applyBorder="1" applyAlignment="1">
      <alignment horizontal="center" vertical="center"/>
    </xf>
    <xf numFmtId="49" fontId="4" fillId="6" borderId="15" xfId="0" applyNumberFormat="1" applyFont="1" applyFill="1" applyBorder="1" applyAlignment="1" applyProtection="1">
      <alignment horizontal="center" vertical="center"/>
    </xf>
    <xf numFmtId="49" fontId="4" fillId="6" borderId="16" xfId="0" applyNumberFormat="1" applyFont="1" applyFill="1" applyBorder="1" applyAlignment="1">
      <alignment horizontal="center" vertical="center"/>
    </xf>
    <xf numFmtId="49" fontId="4" fillId="6" borderId="13" xfId="0" applyNumberFormat="1" applyFont="1" applyFill="1" applyBorder="1" applyAlignment="1">
      <alignment horizontal="center" vertical="center"/>
    </xf>
    <xf numFmtId="0" fontId="4" fillId="4" borderId="19" xfId="0" applyFont="1" applyFill="1" applyBorder="1" applyAlignment="1">
      <alignment horizontal="center" vertical="center" wrapText="1"/>
    </xf>
    <xf numFmtId="0" fontId="5" fillId="4" borderId="19" xfId="0" applyFont="1" applyFill="1" applyBorder="1" applyAlignment="1" applyProtection="1">
      <alignment horizontal="center" vertical="center"/>
    </xf>
    <xf numFmtId="0" fontId="5" fillId="0" borderId="19" xfId="0" applyFont="1" applyBorder="1" applyAlignment="1" applyProtection="1">
      <alignment horizontal="center" vertical="center"/>
      <protection locked="0"/>
    </xf>
    <xf numFmtId="0" fontId="4" fillId="6" borderId="20" xfId="0" applyFont="1" applyFill="1" applyBorder="1" applyAlignment="1">
      <alignment horizontal="center" vertical="center"/>
    </xf>
    <xf numFmtId="0" fontId="4" fillId="6" borderId="13" xfId="0" applyFont="1" applyFill="1" applyBorder="1" applyAlignment="1">
      <alignment horizontal="center" vertical="center" wrapText="1"/>
    </xf>
    <xf numFmtId="0" fontId="4" fillId="6" borderId="14"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5" fillId="4" borderId="17" xfId="0" applyFont="1" applyFill="1" applyBorder="1" applyAlignment="1" applyProtection="1">
      <alignment horizontal="center" vertical="center"/>
    </xf>
    <xf numFmtId="0" fontId="5" fillId="0" borderId="17" xfId="0" applyFont="1" applyBorder="1" applyAlignment="1" applyProtection="1">
      <alignment horizontal="center" vertical="center"/>
      <protection locked="0"/>
    </xf>
    <xf numFmtId="0" fontId="4" fillId="6" borderId="17" xfId="0" applyFont="1" applyFill="1" applyBorder="1" applyAlignment="1">
      <alignment horizontal="center" vertical="center"/>
    </xf>
    <xf numFmtId="0" fontId="13" fillId="6" borderId="15" xfId="2" applyFont="1" applyFill="1" applyBorder="1" applyAlignment="1" applyProtection="1">
      <alignment horizontal="center" vertical="center"/>
    </xf>
    <xf numFmtId="0" fontId="13" fillId="6" borderId="16" xfId="2" applyFont="1" applyFill="1" applyBorder="1" applyAlignment="1" applyProtection="1">
      <alignment horizontal="center" vertical="center"/>
    </xf>
    <xf numFmtId="0" fontId="5" fillId="6" borderId="15" xfId="0" applyFont="1" applyFill="1" applyBorder="1" applyAlignment="1" applyProtection="1">
      <alignment horizontal="center" vertical="center"/>
    </xf>
    <xf numFmtId="1" fontId="7" fillId="5" borderId="12" xfId="1" applyNumberFormat="1" applyFont="1" applyFill="1" applyBorder="1" applyAlignment="1" applyProtection="1">
      <alignment horizontal="center" vertical="center"/>
      <protection locked="0"/>
    </xf>
    <xf numFmtId="1" fontId="7" fillId="5" borderId="15" xfId="1" applyNumberFormat="1"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49" fontId="7" fillId="4" borderId="12" xfId="1" applyNumberFormat="1" applyFont="1" applyFill="1" applyBorder="1" applyAlignment="1">
      <alignment horizontal="center" vertical="center"/>
    </xf>
    <xf numFmtId="49" fontId="7" fillId="4" borderId="15" xfId="1" applyNumberFormat="1" applyFont="1" applyFill="1" applyBorder="1" applyAlignment="1">
      <alignment horizontal="center" vertical="center"/>
    </xf>
    <xf numFmtId="0" fontId="4" fillId="2" borderId="23" xfId="0" applyFont="1" applyFill="1" applyBorder="1" applyAlignment="1">
      <alignment vertical="top"/>
    </xf>
    <xf numFmtId="0" fontId="5" fillId="10" borderId="23" xfId="0" applyFont="1" applyFill="1" applyBorder="1" applyAlignment="1">
      <alignment horizontal="left" vertical="top" wrapText="1"/>
    </xf>
    <xf numFmtId="0" fontId="5" fillId="10" borderId="23" xfId="0" applyFont="1" applyFill="1" applyBorder="1" applyAlignment="1">
      <alignment horizontal="left" vertical="top"/>
    </xf>
    <xf numFmtId="0" fontId="5" fillId="2" borderId="23" xfId="0" applyFont="1" applyFill="1" applyBorder="1" applyAlignment="1">
      <alignment horizontal="left" vertical="top"/>
    </xf>
    <xf numFmtId="0" fontId="4" fillId="8" borderId="23" xfId="0" applyFont="1" applyFill="1" applyBorder="1" applyAlignment="1">
      <alignment horizontal="center" vertical="center"/>
    </xf>
    <xf numFmtId="0" fontId="13" fillId="6" borderId="19" xfId="2" applyFont="1" applyFill="1" applyBorder="1" applyAlignment="1" applyProtection="1">
      <alignment horizontal="center" vertical="center" wrapText="1"/>
    </xf>
    <xf numFmtId="0" fontId="4" fillId="6" borderId="20" xfId="0" applyFont="1" applyFill="1" applyBorder="1" applyAlignment="1">
      <alignment horizontal="center" vertical="center" wrapText="1"/>
    </xf>
    <xf numFmtId="0" fontId="4" fillId="6" borderId="35" xfId="0" applyFont="1" applyFill="1" applyBorder="1" applyAlignment="1">
      <alignment horizontal="center" vertical="center"/>
    </xf>
    <xf numFmtId="0" fontId="5" fillId="3" borderId="9" xfId="0" applyFont="1" applyFill="1" applyBorder="1" applyAlignment="1" applyProtection="1">
      <alignment horizontal="center" vertical="center"/>
    </xf>
    <xf numFmtId="0" fontId="4" fillId="6" borderId="37" xfId="0" applyFont="1" applyFill="1" applyBorder="1" applyAlignment="1">
      <alignment horizontal="center" vertical="center"/>
    </xf>
    <xf numFmtId="0" fontId="4" fillId="2" borderId="23" xfId="0" applyFont="1" applyFill="1" applyBorder="1" applyAlignment="1">
      <alignment horizontal="left" vertical="top"/>
    </xf>
    <xf numFmtId="0" fontId="4" fillId="10" borderId="23" xfId="0" applyFont="1" applyFill="1" applyBorder="1" applyAlignment="1">
      <alignment horizontal="left" vertical="top" wrapText="1"/>
    </xf>
    <xf numFmtId="0" fontId="5" fillId="2" borderId="23" xfId="0" applyFont="1" applyFill="1" applyBorder="1" applyAlignment="1">
      <alignment vertical="top"/>
    </xf>
    <xf numFmtId="0" fontId="5" fillId="10" borderId="23" xfId="0" applyFont="1" applyFill="1" applyBorder="1" applyAlignment="1">
      <alignment wrapText="1"/>
    </xf>
    <xf numFmtId="0" fontId="10" fillId="2" borderId="23" xfId="0" applyFont="1" applyFill="1" applyBorder="1" applyAlignment="1">
      <alignment horizontal="left" vertical="top"/>
    </xf>
    <xf numFmtId="0" fontId="5" fillId="10" borderId="43" xfId="0" applyFont="1" applyFill="1" applyBorder="1" applyAlignment="1">
      <alignment horizontal="left" vertical="top" wrapText="1"/>
    </xf>
    <xf numFmtId="3" fontId="5" fillId="0" borderId="10" xfId="0" applyNumberFormat="1" applyFont="1" applyBorder="1" applyAlignment="1" applyProtection="1">
      <alignment horizontal="center" vertical="center"/>
      <protection locked="0"/>
    </xf>
    <xf numFmtId="0" fontId="5" fillId="10" borderId="44" xfId="0" applyFont="1" applyFill="1" applyBorder="1" applyAlignment="1">
      <alignment horizontal="left" vertical="top" wrapText="1"/>
    </xf>
    <xf numFmtId="0" fontId="5" fillId="2" borderId="44" xfId="0" applyFont="1" applyFill="1" applyBorder="1" applyAlignment="1">
      <alignment vertical="top"/>
    </xf>
    <xf numFmtId="0" fontId="5" fillId="5" borderId="37" xfId="0" applyFont="1" applyFill="1" applyBorder="1" applyAlignment="1" applyProtection="1">
      <alignment horizontal="center" vertical="center"/>
      <protection locked="0"/>
    </xf>
    <xf numFmtId="0" fontId="5" fillId="2" borderId="44" xfId="0" applyFont="1" applyFill="1" applyBorder="1" applyAlignment="1">
      <alignment horizontal="left" vertical="top"/>
    </xf>
    <xf numFmtId="0" fontId="5" fillId="10" borderId="44" xfId="0" applyFont="1" applyFill="1" applyBorder="1" applyAlignment="1">
      <alignment horizontal="left" vertical="top"/>
    </xf>
    <xf numFmtId="0" fontId="5" fillId="5" borderId="9" xfId="0" applyFont="1" applyFill="1" applyBorder="1" applyAlignment="1" applyProtection="1">
      <alignment horizontal="center" vertical="center"/>
      <protection locked="0"/>
    </xf>
    <xf numFmtId="49" fontId="4" fillId="6" borderId="35" xfId="0" applyNumberFormat="1" applyFont="1" applyFill="1" applyBorder="1" applyAlignment="1">
      <alignment horizontal="center" vertical="center"/>
    </xf>
    <xf numFmtId="0" fontId="5" fillId="10" borderId="44" xfId="0" applyFont="1" applyFill="1" applyBorder="1" applyAlignment="1">
      <alignment wrapText="1"/>
    </xf>
    <xf numFmtId="49" fontId="4" fillId="6" borderId="37" xfId="0" applyNumberFormat="1" applyFont="1" applyFill="1" applyBorder="1" applyAlignment="1">
      <alignment horizontal="center" vertical="center"/>
    </xf>
    <xf numFmtId="0" fontId="18" fillId="0" borderId="48" xfId="0" applyFont="1" applyBorder="1" applyAlignment="1">
      <alignment horizontal="left" vertical="center"/>
    </xf>
    <xf numFmtId="0" fontId="18" fillId="6" borderId="50" xfId="0" applyFont="1" applyFill="1" applyBorder="1" applyAlignment="1">
      <alignment vertical="center"/>
    </xf>
    <xf numFmtId="0" fontId="35" fillId="6" borderId="9" xfId="0" applyFont="1" applyFill="1" applyBorder="1" applyAlignment="1">
      <alignment horizontal="center" vertical="center"/>
    </xf>
    <xf numFmtId="0" fontId="44" fillId="6" borderId="9" xfId="0" applyFont="1" applyFill="1" applyBorder="1" applyAlignment="1">
      <alignment horizontal="center" vertical="center"/>
    </xf>
    <xf numFmtId="0" fontId="44" fillId="6" borderId="37" xfId="0" applyFont="1" applyFill="1" applyBorder="1" applyAlignment="1">
      <alignment horizontal="center" vertical="center"/>
    </xf>
    <xf numFmtId="0" fontId="4" fillId="10" borderId="43" xfId="0" applyFont="1" applyFill="1" applyBorder="1" applyAlignment="1">
      <alignment horizontal="left" vertical="top"/>
    </xf>
    <xf numFmtId="0" fontId="4" fillId="0" borderId="0" xfId="0" applyFont="1" applyAlignment="1"/>
    <xf numFmtId="0" fontId="18" fillId="6" borderId="13" xfId="0" applyFont="1" applyFill="1" applyBorder="1" applyAlignment="1">
      <alignment horizontal="center" vertical="center"/>
    </xf>
    <xf numFmtId="49" fontId="7" fillId="4" borderId="32" xfId="1" applyNumberFormat="1" applyFont="1" applyFill="1" applyBorder="1" applyAlignment="1">
      <alignment horizontal="center" vertical="center"/>
    </xf>
    <xf numFmtId="0" fontId="37" fillId="5" borderId="0" xfId="0" applyFont="1" applyFill="1" applyAlignment="1"/>
    <xf numFmtId="0" fontId="36" fillId="5" borderId="1" xfId="0" applyFont="1" applyFill="1" applyBorder="1" applyAlignment="1">
      <alignment horizontal="left" vertical="center"/>
    </xf>
    <xf numFmtId="0" fontId="37" fillId="5" borderId="0" xfId="0" applyFont="1" applyFill="1" applyAlignment="1">
      <alignment horizontal="left"/>
    </xf>
    <xf numFmtId="0" fontId="38" fillId="5" borderId="0" xfId="0" applyFont="1" applyFill="1" applyAlignment="1">
      <alignment horizontal="left"/>
    </xf>
    <xf numFmtId="0" fontId="38" fillId="5" borderId="0" xfId="0" applyFont="1" applyFill="1" applyAlignment="1"/>
    <xf numFmtId="0" fontId="38" fillId="5" borderId="0" xfId="0" applyFont="1" applyFill="1" applyAlignment="1">
      <alignment vertical="center"/>
    </xf>
    <xf numFmtId="0" fontId="40" fillId="5" borderId="0" xfId="0" applyFont="1" applyFill="1" applyAlignment="1"/>
    <xf numFmtId="0" fontId="37" fillId="5" borderId="0" xfId="0" applyFont="1" applyFill="1" applyAlignment="1">
      <alignment horizontal="left" vertical="center"/>
    </xf>
    <xf numFmtId="0" fontId="39" fillId="0" borderId="0" xfId="0" applyFont="1" applyAlignment="1"/>
    <xf numFmtId="0" fontId="5" fillId="4" borderId="38" xfId="0" applyFont="1" applyFill="1" applyBorder="1" applyAlignment="1" applyProtection="1">
      <alignment horizontal="center" vertical="center"/>
    </xf>
    <xf numFmtId="0" fontId="5" fillId="4" borderId="8" xfId="0" applyFont="1" applyFill="1" applyBorder="1" applyAlignment="1" applyProtection="1">
      <alignment horizontal="center" vertical="center"/>
    </xf>
    <xf numFmtId="0" fontId="5" fillId="4" borderId="36" xfId="0" applyFont="1" applyFill="1" applyBorder="1" applyAlignment="1" applyProtection="1">
      <alignment horizontal="center" vertical="center"/>
    </xf>
    <xf numFmtId="0" fontId="6" fillId="4" borderId="24" xfId="0" applyFont="1" applyFill="1" applyBorder="1" applyAlignment="1">
      <alignment horizontal="center" vertical="center" wrapText="1"/>
    </xf>
    <xf numFmtId="0" fontId="6" fillId="4" borderId="25" xfId="0" applyFont="1" applyFill="1" applyBorder="1" applyAlignment="1">
      <alignment horizontal="center" vertical="center"/>
    </xf>
    <xf numFmtId="0" fontId="6" fillId="4" borderId="26" xfId="0" applyFont="1" applyFill="1" applyBorder="1" applyAlignment="1">
      <alignment horizontal="center" vertical="center"/>
    </xf>
    <xf numFmtId="0" fontId="10" fillId="4" borderId="8" xfId="0" applyFont="1" applyFill="1" applyBorder="1" applyAlignment="1" applyProtection="1">
      <alignment horizontal="center" vertical="center"/>
    </xf>
    <xf numFmtId="0" fontId="10" fillId="4" borderId="32" xfId="0" applyFont="1" applyFill="1" applyBorder="1" applyAlignment="1" applyProtection="1">
      <alignment horizontal="center" vertical="center"/>
    </xf>
    <xf numFmtId="0" fontId="4" fillId="4" borderId="24" xfId="0" applyFont="1" applyFill="1" applyBorder="1" applyAlignment="1">
      <alignment horizontal="center" vertical="center" wrapText="1"/>
    </xf>
    <xf numFmtId="0" fontId="4" fillId="4" borderId="25" xfId="0" applyFont="1" applyFill="1" applyBorder="1" applyAlignment="1">
      <alignment horizontal="center" vertical="center"/>
    </xf>
    <xf numFmtId="0" fontId="4" fillId="4" borderId="25" xfId="0" applyFont="1" applyFill="1" applyBorder="1" applyAlignment="1">
      <alignment horizontal="center" vertical="center" wrapText="1"/>
    </xf>
    <xf numFmtId="0" fontId="5" fillId="4" borderId="25" xfId="0" applyFont="1" applyFill="1" applyBorder="1" applyAlignment="1">
      <alignment horizontal="center" vertical="center" wrapText="1"/>
    </xf>
    <xf numFmtId="0" fontId="4" fillId="4" borderId="26" xfId="0" applyFont="1" applyFill="1" applyBorder="1" applyAlignment="1">
      <alignment horizontal="center" vertical="center" wrapText="1"/>
    </xf>
    <xf numFmtId="0" fontId="10" fillId="4" borderId="31" xfId="0" applyFont="1" applyFill="1" applyBorder="1" applyAlignment="1" applyProtection="1">
      <alignment horizontal="center" vertical="center"/>
    </xf>
    <xf numFmtId="0" fontId="11" fillId="4" borderId="32" xfId="0" applyFont="1" applyFill="1" applyBorder="1" applyAlignment="1" applyProtection="1">
      <alignment horizontal="center" vertical="center"/>
    </xf>
    <xf numFmtId="0" fontId="5" fillId="4" borderId="31" xfId="0" applyFont="1" applyFill="1" applyBorder="1" applyAlignment="1" applyProtection="1">
      <alignment horizontal="center" vertical="center"/>
    </xf>
    <xf numFmtId="0" fontId="4" fillId="4" borderId="32" xfId="0" applyFont="1" applyFill="1" applyBorder="1" applyAlignment="1" applyProtection="1">
      <alignment horizontal="center" vertical="center"/>
    </xf>
    <xf numFmtId="0" fontId="5" fillId="4" borderId="32" xfId="0" applyFont="1" applyFill="1" applyBorder="1" applyAlignment="1" applyProtection="1">
      <alignment horizontal="center" vertical="center"/>
    </xf>
    <xf numFmtId="0" fontId="35" fillId="6" borderId="36" xfId="0" applyFont="1" applyFill="1" applyBorder="1" applyAlignment="1">
      <alignment horizontal="center" vertical="center"/>
    </xf>
    <xf numFmtId="0" fontId="4" fillId="4" borderId="26" xfId="0" applyFont="1" applyFill="1" applyBorder="1" applyAlignment="1">
      <alignment horizontal="center" vertical="center"/>
    </xf>
    <xf numFmtId="0" fontId="6" fillId="4" borderId="25" xfId="0" applyFont="1" applyFill="1" applyBorder="1" applyAlignment="1">
      <alignment horizontal="center" vertical="center" wrapText="1"/>
    </xf>
    <xf numFmtId="0" fontId="6" fillId="4" borderId="26" xfId="0" applyFont="1" applyFill="1" applyBorder="1" applyAlignment="1">
      <alignment horizontal="center" vertical="center" wrapText="1"/>
    </xf>
    <xf numFmtId="0" fontId="4" fillId="4" borderId="41" xfId="0" applyFont="1" applyFill="1" applyBorder="1" applyAlignment="1">
      <alignment horizontal="center" vertical="center" wrapText="1"/>
    </xf>
    <xf numFmtId="0" fontId="4" fillId="4" borderId="42" xfId="0" applyFont="1" applyFill="1" applyBorder="1" applyAlignment="1">
      <alignment horizontal="center" vertical="center" wrapText="1"/>
    </xf>
    <xf numFmtId="0" fontId="5" fillId="0" borderId="38" xfId="0" applyFont="1" applyBorder="1" applyAlignment="1" applyProtection="1">
      <alignment horizontal="center" vertical="center"/>
      <protection locked="0"/>
    </xf>
    <xf numFmtId="0" fontId="5" fillId="0" borderId="32" xfId="0" applyFont="1" applyBorder="1" applyAlignment="1" applyProtection="1">
      <alignment horizontal="center" vertical="center"/>
      <protection locked="0"/>
    </xf>
    <xf numFmtId="0" fontId="5" fillId="0" borderId="31" xfId="0" applyFont="1" applyBorder="1" applyAlignment="1" applyProtection="1">
      <alignment horizontal="center" vertical="center" wrapText="1"/>
      <protection locked="0"/>
    </xf>
    <xf numFmtId="0" fontId="5" fillId="0" borderId="32" xfId="0" applyFont="1" applyBorder="1" applyAlignment="1" applyProtection="1">
      <alignment horizontal="center" vertical="center" wrapText="1"/>
      <protection locked="0"/>
    </xf>
    <xf numFmtId="0" fontId="5" fillId="5" borderId="31" xfId="0" applyFont="1" applyFill="1" applyBorder="1" applyAlignment="1" applyProtection="1">
      <alignment horizontal="center" vertical="center"/>
      <protection locked="0"/>
    </xf>
    <xf numFmtId="0" fontId="5" fillId="5" borderId="32" xfId="0" applyFont="1" applyFill="1" applyBorder="1" applyAlignment="1" applyProtection="1">
      <alignment horizontal="center" vertical="center"/>
      <protection locked="0"/>
    </xf>
    <xf numFmtId="0" fontId="5" fillId="5" borderId="38" xfId="0" applyFont="1" applyFill="1" applyBorder="1" applyAlignment="1" applyProtection="1">
      <alignment horizontal="center" vertical="center"/>
      <protection locked="0"/>
    </xf>
    <xf numFmtId="0" fontId="5" fillId="5" borderId="36" xfId="0" applyFont="1" applyFill="1" applyBorder="1" applyAlignment="1" applyProtection="1">
      <alignment horizontal="center" vertical="center"/>
      <protection locked="0"/>
    </xf>
    <xf numFmtId="0" fontId="4" fillId="4" borderId="24" xfId="0" applyFont="1" applyFill="1" applyBorder="1" applyAlignment="1">
      <alignment horizontal="center" vertical="center"/>
    </xf>
    <xf numFmtId="0" fontId="7" fillId="4" borderId="24" xfId="0" applyFont="1" applyFill="1" applyBorder="1" applyAlignment="1">
      <alignment horizontal="center" vertical="center" wrapText="1"/>
    </xf>
    <xf numFmtId="0" fontId="7" fillId="4" borderId="26" xfId="0" applyFont="1" applyFill="1" applyBorder="1" applyAlignment="1">
      <alignment horizontal="center" vertical="center" wrapText="1"/>
    </xf>
    <xf numFmtId="0" fontId="7" fillId="4" borderId="41" xfId="0" applyFont="1" applyFill="1" applyBorder="1" applyAlignment="1">
      <alignment horizontal="center" vertical="center" wrapText="1"/>
    </xf>
    <xf numFmtId="0" fontId="5" fillId="0" borderId="8" xfId="0" applyFont="1" applyBorder="1" applyAlignment="1" applyProtection="1">
      <alignment horizontal="center" vertical="center" wrapText="1"/>
      <protection locked="0"/>
    </xf>
    <xf numFmtId="0" fontId="5" fillId="5" borderId="8" xfId="0" applyFont="1" applyFill="1" applyBorder="1" applyAlignment="1" applyProtection="1">
      <alignment horizontal="center" vertical="center"/>
      <protection locked="0"/>
    </xf>
    <xf numFmtId="0" fontId="27" fillId="4" borderId="24" xfId="0" applyFont="1" applyFill="1" applyBorder="1" applyAlignment="1">
      <alignment horizontal="center" vertical="center" wrapText="1"/>
    </xf>
    <xf numFmtId="0" fontId="27" fillId="4" borderId="41" xfId="0" applyFont="1" applyFill="1" applyBorder="1" applyAlignment="1">
      <alignment horizontal="center" vertical="center" wrapText="1"/>
    </xf>
    <xf numFmtId="0" fontId="27" fillId="4" borderId="25" xfId="0" applyFont="1" applyFill="1" applyBorder="1" applyAlignment="1">
      <alignment horizontal="center" vertical="center" wrapText="1"/>
    </xf>
    <xf numFmtId="49" fontId="4" fillId="6" borderId="32" xfId="0" applyNumberFormat="1" applyFont="1" applyFill="1" applyBorder="1" applyAlignment="1" applyProtection="1">
      <alignment horizontal="center" vertical="center"/>
    </xf>
    <xf numFmtId="49" fontId="4" fillId="6" borderId="36" xfId="0" applyNumberFormat="1" applyFont="1" applyFill="1" applyBorder="1" applyAlignment="1" applyProtection="1">
      <alignment horizontal="center" vertical="center"/>
    </xf>
    <xf numFmtId="0" fontId="5" fillId="4" borderId="40" xfId="0" applyFont="1" applyFill="1" applyBorder="1" applyAlignment="1" applyProtection="1">
      <alignment horizontal="center" vertical="center"/>
    </xf>
    <xf numFmtId="0" fontId="4" fillId="4" borderId="11" xfId="0" applyFont="1" applyFill="1" applyBorder="1" applyAlignment="1">
      <alignment horizontal="center" vertical="center" wrapText="1"/>
    </xf>
    <xf numFmtId="0" fontId="5" fillId="0" borderId="31" xfId="0" applyFont="1" applyBorder="1" applyAlignment="1" applyProtection="1">
      <alignment horizontal="center" vertical="center"/>
      <protection locked="0"/>
    </xf>
    <xf numFmtId="0" fontId="5" fillId="0" borderId="8" xfId="0" applyFont="1" applyBorder="1" applyAlignment="1" applyProtection="1">
      <alignment horizontal="center" vertical="center"/>
      <protection locked="0"/>
    </xf>
    <xf numFmtId="0" fontId="5" fillId="4" borderId="34" xfId="0" applyFont="1" applyFill="1" applyBorder="1" applyAlignment="1" applyProtection="1">
      <alignment horizontal="center" vertical="center"/>
    </xf>
    <xf numFmtId="0" fontId="13" fillId="6" borderId="32" xfId="2" applyFont="1" applyFill="1" applyBorder="1" applyAlignment="1" applyProtection="1">
      <alignment horizontal="center" vertical="center"/>
    </xf>
    <xf numFmtId="0" fontId="4" fillId="4" borderId="52" xfId="0" applyFont="1" applyFill="1" applyBorder="1" applyAlignment="1">
      <alignment horizontal="center" vertical="center" wrapText="1"/>
    </xf>
    <xf numFmtId="0" fontId="5" fillId="0" borderId="40" xfId="0" applyFont="1" applyBorder="1" applyAlignment="1" applyProtection="1">
      <alignment horizontal="center" vertical="center"/>
      <protection locked="0"/>
    </xf>
    <xf numFmtId="0" fontId="5" fillId="6" borderId="32" xfId="0" applyFont="1" applyFill="1" applyBorder="1" applyAlignment="1" applyProtection="1">
      <alignment horizontal="center" vertical="center"/>
    </xf>
    <xf numFmtId="0" fontId="13" fillId="6" borderId="31" xfId="2" applyFont="1" applyFill="1" applyBorder="1" applyAlignment="1" applyProtection="1">
      <alignment horizontal="center" vertical="center"/>
    </xf>
    <xf numFmtId="0" fontId="5" fillId="0" borderId="36" xfId="0" applyFont="1" applyBorder="1" applyAlignment="1" applyProtection="1">
      <alignment horizontal="center" vertical="center"/>
      <protection locked="0"/>
    </xf>
    <xf numFmtId="0" fontId="6" fillId="4" borderId="41" xfId="0" applyFont="1" applyFill="1" applyBorder="1" applyAlignment="1">
      <alignment horizontal="center" vertical="center" wrapText="1"/>
    </xf>
    <xf numFmtId="0" fontId="27" fillId="4" borderId="26" xfId="0" applyFont="1" applyFill="1" applyBorder="1" applyAlignment="1">
      <alignment horizontal="center" vertical="center" wrapText="1"/>
    </xf>
    <xf numFmtId="0" fontId="6" fillId="4" borderId="11" xfId="0" applyFont="1" applyFill="1" applyBorder="1" applyAlignment="1">
      <alignment horizontal="center" vertical="center" wrapText="1"/>
    </xf>
    <xf numFmtId="1" fontId="7" fillId="5" borderId="31" xfId="1" applyNumberFormat="1" applyFont="1" applyFill="1" applyBorder="1" applyAlignment="1" applyProtection="1">
      <alignment horizontal="center" vertical="center"/>
      <protection locked="0"/>
    </xf>
    <xf numFmtId="1" fontId="7" fillId="5" borderId="8" xfId="1" applyNumberFormat="1" applyFont="1" applyFill="1" applyBorder="1" applyAlignment="1" applyProtection="1">
      <alignment horizontal="center" vertical="center"/>
      <protection locked="0"/>
    </xf>
    <xf numFmtId="1" fontId="7" fillId="5" borderId="32" xfId="1" applyNumberFormat="1" applyFont="1" applyFill="1" applyBorder="1" applyAlignment="1" applyProtection="1">
      <alignment horizontal="center" vertical="center"/>
      <protection locked="0"/>
    </xf>
    <xf numFmtId="0" fontId="5" fillId="3" borderId="32" xfId="0" applyFont="1" applyFill="1" applyBorder="1" applyAlignment="1" applyProtection="1">
      <alignment horizontal="center" vertical="center"/>
    </xf>
    <xf numFmtId="0" fontId="5" fillId="4" borderId="24" xfId="0" applyFont="1" applyFill="1" applyBorder="1" applyAlignment="1">
      <alignment horizontal="center" vertical="center" wrapText="1"/>
    </xf>
    <xf numFmtId="0" fontId="5" fillId="4" borderId="26" xfId="0" applyFont="1" applyFill="1" applyBorder="1" applyAlignment="1">
      <alignment horizontal="center" vertical="center" wrapText="1"/>
    </xf>
    <xf numFmtId="0" fontId="14" fillId="3" borderId="26" xfId="0" applyFont="1" applyFill="1" applyBorder="1" applyAlignment="1">
      <alignment horizontal="center" vertical="center" wrapText="1"/>
    </xf>
    <xf numFmtId="49" fontId="7" fillId="4" borderId="31" xfId="1" applyNumberFormat="1" applyFont="1" applyFill="1" applyBorder="1" applyAlignment="1">
      <alignment horizontal="center" vertical="center"/>
    </xf>
    <xf numFmtId="49" fontId="7" fillId="4" borderId="8" xfId="1" applyNumberFormat="1" applyFont="1" applyFill="1" applyBorder="1" applyAlignment="1">
      <alignment horizontal="center" vertical="center"/>
    </xf>
    <xf numFmtId="49" fontId="7" fillId="4" borderId="36" xfId="1" applyNumberFormat="1" applyFont="1" applyFill="1" applyBorder="1" applyAlignment="1">
      <alignment horizontal="center" vertical="center"/>
    </xf>
    <xf numFmtId="0" fontId="6" fillId="4" borderId="42" xfId="0" applyFont="1" applyFill="1" applyBorder="1" applyAlignment="1">
      <alignment horizontal="center" vertical="center" wrapText="1"/>
    </xf>
    <xf numFmtId="0" fontId="5" fillId="2" borderId="43" xfId="0" applyFont="1" applyFill="1" applyBorder="1" applyAlignment="1">
      <alignment horizontal="left" vertical="top"/>
    </xf>
    <xf numFmtId="0" fontId="5" fillId="2" borderId="22" xfId="0" applyFont="1" applyFill="1" applyBorder="1" applyAlignment="1">
      <alignment horizontal="left" vertical="top"/>
    </xf>
    <xf numFmtId="0" fontId="4" fillId="7" borderId="23" xfId="0" applyFont="1" applyFill="1" applyBorder="1" applyAlignment="1">
      <alignment horizontal="center" vertical="center"/>
    </xf>
    <xf numFmtId="0" fontId="24" fillId="0" borderId="0" xfId="0" applyFont="1" applyAlignment="1">
      <alignment horizontal="center" wrapText="1"/>
    </xf>
    <xf numFmtId="0" fontId="24" fillId="0" borderId="0" xfId="0" applyFont="1" applyAlignment="1">
      <alignment wrapText="1"/>
    </xf>
    <xf numFmtId="0" fontId="25" fillId="0" borderId="0" xfId="0" applyFont="1" applyAlignment="1">
      <alignment wrapText="1"/>
    </xf>
    <xf numFmtId="0" fontId="48" fillId="0" borderId="7" xfId="0" applyFont="1" applyBorder="1" applyAlignment="1" applyProtection="1">
      <alignment horizontal="center" vertical="center"/>
      <protection locked="0"/>
    </xf>
    <xf numFmtId="0" fontId="49" fillId="0" borderId="7" xfId="0" applyFont="1" applyBorder="1" applyAlignment="1" applyProtection="1">
      <alignment horizontal="center" vertical="center"/>
      <protection locked="0"/>
    </xf>
    <xf numFmtId="0" fontId="48" fillId="4" borderId="7" xfId="0" applyFont="1" applyFill="1" applyBorder="1" applyAlignment="1" applyProtection="1">
      <alignment horizontal="center" vertical="center"/>
    </xf>
    <xf numFmtId="0" fontId="49" fillId="4" borderId="7" xfId="0" applyFont="1" applyFill="1" applyBorder="1" applyAlignment="1" applyProtection="1">
      <alignment horizontal="center" vertical="center"/>
    </xf>
    <xf numFmtId="0" fontId="48" fillId="4" borderId="15" xfId="0" applyFont="1" applyFill="1" applyBorder="1" applyAlignment="1" applyProtection="1">
      <alignment horizontal="center" vertical="center"/>
    </xf>
    <xf numFmtId="0" fontId="48" fillId="0" borderId="15" xfId="0" applyFont="1" applyBorder="1" applyAlignment="1" applyProtection="1">
      <alignment horizontal="center" vertical="center"/>
      <protection locked="0"/>
    </xf>
    <xf numFmtId="0" fontId="49" fillId="4" borderId="15" xfId="0" applyFont="1" applyFill="1" applyBorder="1" applyAlignment="1" applyProtection="1">
      <alignment horizontal="center" vertical="center"/>
    </xf>
    <xf numFmtId="0" fontId="49" fillId="0" borderId="15" xfId="0" applyFont="1" applyBorder="1" applyAlignment="1" applyProtection="1">
      <alignment horizontal="center" vertical="center"/>
      <protection locked="0"/>
    </xf>
    <xf numFmtId="0" fontId="50" fillId="4" borderId="25" xfId="0" applyFont="1" applyFill="1" applyBorder="1" applyAlignment="1">
      <alignment horizontal="center" vertical="center" wrapText="1"/>
    </xf>
    <xf numFmtId="0" fontId="28" fillId="4" borderId="8" xfId="0" applyFont="1" applyFill="1" applyBorder="1" applyAlignment="1" applyProtection="1">
      <alignment horizontal="center" vertical="center"/>
    </xf>
    <xf numFmtId="0" fontId="28" fillId="4" borderId="7" xfId="0" applyFont="1" applyFill="1" applyBorder="1" applyAlignment="1" applyProtection="1">
      <alignment horizontal="center" vertical="center"/>
    </xf>
    <xf numFmtId="0" fontId="48" fillId="5" borderId="31" xfId="0" applyFont="1" applyFill="1" applyBorder="1" applyAlignment="1" applyProtection="1">
      <alignment horizontal="center" vertical="center"/>
      <protection locked="0"/>
    </xf>
    <xf numFmtId="0" fontId="48" fillId="5" borderId="12" xfId="0" applyFont="1" applyFill="1" applyBorder="1" applyAlignment="1" applyProtection="1">
      <alignment horizontal="center" vertical="center"/>
      <protection locked="0"/>
    </xf>
    <xf numFmtId="0" fontId="48" fillId="5" borderId="8" xfId="0" applyFont="1" applyFill="1" applyBorder="1" applyAlignment="1" applyProtection="1">
      <alignment horizontal="center" vertical="center"/>
      <protection locked="0"/>
    </xf>
    <xf numFmtId="0" fontId="48" fillId="5" borderId="7" xfId="0" applyFont="1" applyFill="1" applyBorder="1" applyAlignment="1" applyProtection="1">
      <alignment horizontal="center" vertical="center"/>
      <protection locked="0"/>
    </xf>
    <xf numFmtId="0" fontId="4" fillId="2" borderId="23" xfId="0" applyFont="1" applyFill="1" applyBorder="1" applyAlignment="1">
      <alignment horizontal="left" vertical="top"/>
    </xf>
    <xf numFmtId="0" fontId="5" fillId="2" borderId="23" xfId="0" applyFont="1" applyFill="1" applyBorder="1" applyAlignment="1">
      <alignment horizontal="left" vertical="top"/>
    </xf>
    <xf numFmtId="0" fontId="6" fillId="4" borderId="52" xfId="0" applyFont="1" applyFill="1" applyBorder="1" applyAlignment="1">
      <alignment horizontal="center" vertical="center"/>
    </xf>
    <xf numFmtId="0" fontId="6" fillId="4" borderId="65" xfId="0" applyFont="1" applyFill="1" applyBorder="1" applyAlignment="1">
      <alignment horizontal="center" vertical="center"/>
    </xf>
    <xf numFmtId="0" fontId="6" fillId="4" borderId="64" xfId="0" applyFont="1" applyFill="1" applyBorder="1" applyAlignment="1">
      <alignment horizontal="center" vertical="center"/>
    </xf>
    <xf numFmtId="0" fontId="4" fillId="6" borderId="72" xfId="0" applyFont="1" applyFill="1" applyBorder="1" applyAlignment="1">
      <alignment horizontal="center" vertical="center"/>
    </xf>
    <xf numFmtId="0" fontId="4" fillId="6" borderId="66" xfId="0" applyFont="1" applyFill="1" applyBorder="1" applyAlignment="1">
      <alignment horizontal="center" vertical="center"/>
    </xf>
    <xf numFmtId="0" fontId="6" fillId="4" borderId="11" xfId="0" applyFont="1" applyFill="1" applyBorder="1" applyAlignment="1">
      <alignment horizontal="center" vertical="center"/>
    </xf>
    <xf numFmtId="0" fontId="4" fillId="2" borderId="43" xfId="0" applyFont="1" applyFill="1" applyBorder="1" applyAlignment="1">
      <alignment vertical="top"/>
    </xf>
    <xf numFmtId="0" fontId="5" fillId="4" borderId="7" xfId="0" applyFont="1" applyFill="1" applyBorder="1" applyAlignment="1" applyProtection="1">
      <alignment horizontal="center" vertical="center"/>
      <protection locked="0"/>
    </xf>
    <xf numFmtId="0" fontId="5" fillId="0" borderId="0" xfId="0" applyFont="1"/>
    <xf numFmtId="0" fontId="4" fillId="0" borderId="0" xfId="0" applyFont="1" applyAlignment="1">
      <alignment wrapText="1"/>
    </xf>
    <xf numFmtId="0" fontId="18" fillId="0" borderId="0" xfId="0" applyFont="1" applyAlignment="1">
      <alignment horizontal="left" vertical="center" wrapText="1"/>
    </xf>
    <xf numFmtId="0" fontId="19" fillId="0" borderId="0" xfId="0" applyFont="1" applyAlignment="1">
      <alignment horizontal="left" vertical="center" wrapText="1"/>
    </xf>
    <xf numFmtId="0" fontId="5" fillId="0" borderId="0" xfId="0" applyFont="1" applyAlignment="1"/>
    <xf numFmtId="0" fontId="5" fillId="4" borderId="7" xfId="0" applyFont="1" applyFill="1" applyBorder="1" applyAlignment="1" applyProtection="1">
      <alignment horizontal="center" vertical="center"/>
    </xf>
    <xf numFmtId="0" fontId="5" fillId="0" borderId="7" xfId="0" applyFont="1" applyBorder="1" applyAlignment="1" applyProtection="1">
      <alignment horizontal="center" vertical="center"/>
      <protection locked="0"/>
    </xf>
    <xf numFmtId="0" fontId="5" fillId="5" borderId="7" xfId="0" applyFont="1" applyFill="1" applyBorder="1" applyAlignment="1" applyProtection="1">
      <alignment horizontal="center" vertical="center"/>
      <protection locked="0"/>
    </xf>
    <xf numFmtId="0" fontId="5" fillId="0" borderId="7" xfId="0" applyFont="1" applyBorder="1" applyAlignment="1" applyProtection="1">
      <alignment horizontal="center" vertical="center" wrapText="1"/>
      <protection locked="0"/>
    </xf>
    <xf numFmtId="0" fontId="5" fillId="2" borderId="7" xfId="0" applyFont="1" applyFill="1" applyBorder="1" applyAlignment="1" applyProtection="1">
      <alignment horizontal="center" vertical="center"/>
    </xf>
    <xf numFmtId="0" fontId="5" fillId="3" borderId="7" xfId="0" applyFont="1" applyFill="1" applyBorder="1" applyAlignment="1" applyProtection="1">
      <alignment horizontal="center" vertical="center"/>
    </xf>
    <xf numFmtId="49" fontId="7" fillId="4" borderId="9" xfId="1" applyNumberFormat="1" applyFont="1" applyFill="1" applyBorder="1" applyAlignment="1">
      <alignment horizontal="center" vertical="center"/>
    </xf>
    <xf numFmtId="0" fontId="5" fillId="0" borderId="10" xfId="0" applyFont="1" applyBorder="1" applyAlignment="1" applyProtection="1">
      <alignment horizontal="center" vertical="center"/>
      <protection locked="0"/>
    </xf>
    <xf numFmtId="0" fontId="5" fillId="4" borderId="10"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0" fontId="4" fillId="6" borderId="13" xfId="0" applyFont="1" applyFill="1" applyBorder="1" applyAlignment="1">
      <alignment horizontal="center" vertical="center"/>
    </xf>
    <xf numFmtId="0" fontId="4" fillId="6" borderId="14" xfId="0" applyFont="1" applyFill="1" applyBorder="1" applyAlignment="1">
      <alignment horizontal="center" vertical="center"/>
    </xf>
    <xf numFmtId="0" fontId="5" fillId="4" borderId="15" xfId="0" applyFont="1" applyFill="1" applyBorder="1" applyAlignment="1" applyProtection="1">
      <alignment horizontal="center" vertical="center"/>
    </xf>
    <xf numFmtId="0" fontId="5" fillId="0" borderId="15" xfId="0" applyFont="1" applyBorder="1" applyAlignment="1" applyProtection="1">
      <alignment horizontal="center" vertical="center"/>
      <protection locked="0"/>
    </xf>
    <xf numFmtId="0" fontId="4" fillId="6" borderId="16" xfId="0" applyFont="1" applyFill="1" applyBorder="1" applyAlignment="1">
      <alignment horizontal="center" vertical="center"/>
    </xf>
    <xf numFmtId="0" fontId="5" fillId="4" borderId="9" xfId="0" applyFont="1" applyFill="1" applyBorder="1" applyAlignment="1" applyProtection="1">
      <alignment horizontal="center" vertical="center"/>
    </xf>
    <xf numFmtId="0" fontId="5" fillId="0" borderId="9" xfId="0" applyFont="1" applyBorder="1" applyAlignment="1" applyProtection="1">
      <alignment horizontal="center" vertical="center"/>
      <protection locked="0"/>
    </xf>
    <xf numFmtId="0" fontId="5" fillId="2" borderId="15" xfId="0" applyFont="1" applyFill="1" applyBorder="1" applyAlignment="1" applyProtection="1">
      <alignment horizontal="center" vertical="center"/>
    </xf>
    <xf numFmtId="49" fontId="4" fillId="6" borderId="14" xfId="0" applyNumberFormat="1" applyFont="1" applyFill="1" applyBorder="1" applyAlignment="1">
      <alignment horizontal="center" vertical="center"/>
    </xf>
    <xf numFmtId="0" fontId="5" fillId="6" borderId="15" xfId="0" applyFont="1" applyFill="1" applyBorder="1" applyAlignment="1" applyProtection="1">
      <alignment horizontal="center" vertical="center"/>
    </xf>
    <xf numFmtId="0" fontId="4" fillId="2" borderId="23" xfId="0" applyFont="1" applyFill="1" applyBorder="1" applyAlignment="1">
      <alignment vertical="top"/>
    </xf>
    <xf numFmtId="0" fontId="5" fillId="10" borderId="23" xfId="0" applyFont="1" applyFill="1" applyBorder="1" applyAlignment="1">
      <alignment horizontal="left" vertical="top" wrapText="1"/>
    </xf>
    <xf numFmtId="0" fontId="5" fillId="10" borderId="23" xfId="0" applyFont="1" applyFill="1" applyBorder="1" applyAlignment="1">
      <alignment horizontal="left" vertical="top"/>
    </xf>
    <xf numFmtId="0" fontId="5" fillId="2" borderId="23" xfId="0" applyFont="1" applyFill="1" applyBorder="1" applyAlignment="1">
      <alignment horizontal="left" vertical="top"/>
    </xf>
    <xf numFmtId="0" fontId="13" fillId="6" borderId="19" xfId="2" applyFont="1" applyFill="1" applyBorder="1" applyAlignment="1" applyProtection="1">
      <alignment horizontal="center" vertical="center" wrapText="1"/>
    </xf>
    <xf numFmtId="0" fontId="4" fillId="6" borderId="35" xfId="0" applyFont="1" applyFill="1" applyBorder="1" applyAlignment="1">
      <alignment horizontal="center" vertical="center"/>
    </xf>
    <xf numFmtId="0" fontId="5" fillId="3" borderId="9" xfId="0" applyFont="1" applyFill="1" applyBorder="1" applyAlignment="1" applyProtection="1">
      <alignment horizontal="center" vertical="center"/>
    </xf>
    <xf numFmtId="0" fontId="4" fillId="6" borderId="37" xfId="0" applyFont="1" applyFill="1" applyBorder="1" applyAlignment="1">
      <alignment horizontal="center" vertical="center"/>
    </xf>
    <xf numFmtId="0" fontId="5" fillId="2" borderId="23" xfId="0" applyFont="1" applyFill="1" applyBorder="1" applyAlignment="1">
      <alignment vertical="top"/>
    </xf>
    <xf numFmtId="0" fontId="5" fillId="10" borderId="44" xfId="0" applyFont="1" applyFill="1" applyBorder="1" applyAlignment="1">
      <alignment horizontal="left" vertical="top" wrapText="1"/>
    </xf>
    <xf numFmtId="49" fontId="4" fillId="6" borderId="9" xfId="0" applyNumberFormat="1" applyFont="1" applyFill="1" applyBorder="1" applyAlignment="1" applyProtection="1">
      <alignment horizontal="center" vertical="center"/>
    </xf>
    <xf numFmtId="0" fontId="33" fillId="6" borderId="12" xfId="0" applyFont="1" applyFill="1" applyBorder="1" applyAlignment="1">
      <alignment horizontal="center" vertical="center"/>
    </xf>
    <xf numFmtId="0" fontId="32" fillId="6" borderId="18" xfId="0" applyFont="1" applyFill="1" applyBorder="1" applyAlignment="1">
      <alignment horizontal="left" vertical="center" wrapText="1"/>
    </xf>
    <xf numFmtId="0" fontId="18" fillId="0" borderId="48" xfId="0" applyFont="1" applyBorder="1" applyAlignment="1">
      <alignment horizontal="left" vertical="center" wrapText="1"/>
    </xf>
    <xf numFmtId="0" fontId="37" fillId="5" borderId="0" xfId="0" applyFont="1" applyFill="1" applyAlignment="1"/>
    <xf numFmtId="0" fontId="36" fillId="5" borderId="1" xfId="0" applyFont="1" applyFill="1" applyBorder="1" applyAlignment="1">
      <alignment horizontal="center" vertical="top"/>
    </xf>
    <xf numFmtId="0" fontId="37" fillId="5" borderId="0" xfId="0" applyFont="1" applyFill="1" applyAlignment="1">
      <alignment horizontal="left"/>
    </xf>
    <xf numFmtId="0" fontId="38" fillId="5" borderId="0" xfId="0" applyFont="1" applyFill="1" applyAlignment="1">
      <alignment horizontal="left"/>
    </xf>
    <xf numFmtId="0" fontId="38" fillId="5" borderId="0" xfId="0" applyFont="1" applyFill="1" applyAlignment="1"/>
    <xf numFmtId="0" fontId="38" fillId="5" borderId="0" xfId="0" applyFont="1" applyFill="1" applyAlignment="1">
      <alignment vertical="center"/>
    </xf>
    <xf numFmtId="0" fontId="40" fillId="5" borderId="0" xfId="0" applyFont="1" applyFill="1" applyAlignment="1"/>
    <xf numFmtId="0" fontId="39" fillId="0" borderId="0" xfId="0" applyFont="1" applyAlignment="1"/>
    <xf numFmtId="0" fontId="38" fillId="5" borderId="0" xfId="0" applyFont="1" applyFill="1" applyAlignment="1">
      <alignment horizontal="center" vertical="top"/>
    </xf>
    <xf numFmtId="0" fontId="19" fillId="0" borderId="44" xfId="0" applyFont="1" applyBorder="1" applyAlignment="1">
      <alignment horizontal="left" vertical="center" wrapText="1"/>
    </xf>
    <xf numFmtId="0" fontId="19" fillId="0" borderId="23" xfId="0" applyFont="1" applyBorder="1" applyAlignment="1">
      <alignment horizontal="left" vertical="center" wrapText="1"/>
    </xf>
    <xf numFmtId="0" fontId="19" fillId="0" borderId="43" xfId="0" applyFont="1" applyBorder="1" applyAlignment="1">
      <alignment horizontal="left" vertical="center" wrapText="1"/>
    </xf>
    <xf numFmtId="0" fontId="5" fillId="4" borderId="38" xfId="0" applyFont="1" applyFill="1" applyBorder="1" applyAlignment="1" applyProtection="1">
      <alignment horizontal="center" vertical="center"/>
    </xf>
    <xf numFmtId="0" fontId="5" fillId="4" borderId="36" xfId="0" applyFont="1" applyFill="1" applyBorder="1" applyAlignment="1" applyProtection="1">
      <alignment horizontal="center" vertical="center"/>
    </xf>
    <xf numFmtId="0" fontId="6" fillId="4" borderId="24" xfId="0" applyFont="1" applyFill="1" applyBorder="1" applyAlignment="1">
      <alignment horizontal="center" vertical="center" wrapText="1"/>
    </xf>
    <xf numFmtId="0" fontId="18" fillId="0" borderId="23" xfId="0" applyFont="1" applyFill="1" applyBorder="1" applyAlignment="1">
      <alignment horizontal="left" vertical="center" wrapText="1"/>
    </xf>
    <xf numFmtId="0" fontId="19" fillId="0" borderId="57" xfId="0" applyFont="1" applyBorder="1" applyAlignment="1">
      <alignment horizontal="left" vertical="center" wrapText="1"/>
    </xf>
    <xf numFmtId="0" fontId="4" fillId="4" borderId="24" xfId="0" applyFont="1" applyFill="1" applyBorder="1" applyAlignment="1">
      <alignment horizontal="center" vertical="center" wrapText="1"/>
    </xf>
    <xf numFmtId="0" fontId="19" fillId="0" borderId="58" xfId="0" applyFont="1" applyBorder="1" applyAlignment="1">
      <alignment horizontal="left" vertical="center" wrapText="1"/>
    </xf>
    <xf numFmtId="0" fontId="18" fillId="0" borderId="57" xfId="0" applyFont="1" applyBorder="1" applyAlignment="1">
      <alignment horizontal="left" vertical="center" wrapText="1"/>
    </xf>
    <xf numFmtId="0" fontId="5" fillId="4" borderId="31" xfId="0" applyFont="1" applyFill="1" applyBorder="1" applyAlignment="1" applyProtection="1">
      <alignment horizontal="center" vertical="center"/>
    </xf>
    <xf numFmtId="0" fontId="5" fillId="4" borderId="32" xfId="0" applyFont="1" applyFill="1" applyBorder="1" applyAlignment="1" applyProtection="1">
      <alignment horizontal="center" vertical="center"/>
    </xf>
    <xf numFmtId="0" fontId="18" fillId="6" borderId="58" xfId="0" applyFont="1" applyFill="1" applyBorder="1" applyAlignment="1">
      <alignment horizontal="left" vertical="center" wrapText="1"/>
    </xf>
    <xf numFmtId="0" fontId="6" fillId="4" borderId="25" xfId="0" applyFont="1" applyFill="1" applyBorder="1" applyAlignment="1">
      <alignment horizontal="center" vertical="center" wrapText="1"/>
    </xf>
    <xf numFmtId="0" fontId="6" fillId="4" borderId="26" xfId="0" applyFont="1" applyFill="1" applyBorder="1" applyAlignment="1">
      <alignment horizontal="center" vertical="center" wrapText="1"/>
    </xf>
    <xf numFmtId="0" fontId="19" fillId="5" borderId="58" xfId="0" applyFont="1" applyFill="1" applyBorder="1" applyAlignment="1">
      <alignment horizontal="left" vertical="center" wrapText="1"/>
    </xf>
    <xf numFmtId="0" fontId="19" fillId="5" borderId="43" xfId="0" applyFont="1" applyFill="1" applyBorder="1" applyAlignment="1">
      <alignment horizontal="left" vertical="center" wrapText="1"/>
    </xf>
    <xf numFmtId="0" fontId="4" fillId="4" borderId="41" xfId="0" applyFont="1" applyFill="1" applyBorder="1" applyAlignment="1">
      <alignment horizontal="center" vertical="center" wrapText="1"/>
    </xf>
    <xf numFmtId="0" fontId="20" fillId="5" borderId="58" xfId="0" applyFont="1" applyFill="1" applyBorder="1" applyAlignment="1">
      <alignment horizontal="left" vertical="center" wrapText="1"/>
    </xf>
    <xf numFmtId="0" fontId="20" fillId="5" borderId="57" xfId="0" applyFont="1" applyFill="1" applyBorder="1" applyAlignment="1">
      <alignment horizontal="left" vertical="center" wrapText="1"/>
    </xf>
    <xf numFmtId="0" fontId="20" fillId="5" borderId="44" xfId="0" applyFont="1" applyFill="1" applyBorder="1" applyAlignment="1">
      <alignment horizontal="left" vertical="center" wrapText="1"/>
    </xf>
    <xf numFmtId="0" fontId="20" fillId="5" borderId="43" xfId="0" applyFont="1" applyFill="1" applyBorder="1" applyAlignment="1">
      <alignment horizontal="left" vertical="center" wrapText="1"/>
    </xf>
    <xf numFmtId="0" fontId="5" fillId="5" borderId="32" xfId="0" applyFont="1" applyFill="1" applyBorder="1" applyAlignment="1" applyProtection="1">
      <alignment horizontal="center" vertical="center"/>
      <protection locked="0"/>
    </xf>
    <xf numFmtId="0" fontId="19" fillId="5" borderId="23" xfId="0" applyFont="1" applyFill="1" applyBorder="1" applyAlignment="1">
      <alignment horizontal="left" vertical="center" wrapText="1"/>
    </xf>
    <xf numFmtId="0" fontId="19" fillId="5" borderId="57" xfId="0" applyFont="1" applyFill="1" applyBorder="1" applyAlignment="1">
      <alignment horizontal="left" vertical="center" wrapText="1"/>
    </xf>
    <xf numFmtId="0" fontId="5" fillId="5" borderId="8" xfId="0" applyFont="1" applyFill="1" applyBorder="1" applyAlignment="1" applyProtection="1">
      <alignment horizontal="center" vertical="center"/>
      <protection locked="0"/>
    </xf>
    <xf numFmtId="0" fontId="26" fillId="12" borderId="44" xfId="0" applyFont="1" applyFill="1" applyBorder="1" applyAlignment="1">
      <alignment horizontal="left" vertical="center" wrapText="1"/>
    </xf>
    <xf numFmtId="0" fontId="26" fillId="12" borderId="23" xfId="0" applyFont="1" applyFill="1" applyBorder="1" applyAlignment="1">
      <alignment horizontal="left" vertical="center" wrapText="1"/>
    </xf>
    <xf numFmtId="0" fontId="26" fillId="0" borderId="23" xfId="0" applyFont="1" applyBorder="1" applyAlignment="1">
      <alignment horizontal="left" vertical="center" wrapText="1"/>
    </xf>
    <xf numFmtId="0" fontId="26" fillId="12" borderId="58" xfId="0" applyFont="1" applyFill="1" applyBorder="1" applyAlignment="1">
      <alignment horizontal="left" wrapText="1"/>
    </xf>
    <xf numFmtId="0" fontId="26" fillId="0" borderId="57" xfId="0" applyFont="1" applyBorder="1" applyAlignment="1">
      <alignment horizontal="left" vertical="center" wrapText="1"/>
    </xf>
    <xf numFmtId="0" fontId="26" fillId="0" borderId="58" xfId="0" applyFont="1" applyBorder="1" applyAlignment="1">
      <alignment horizontal="left" vertical="center" wrapText="1"/>
    </xf>
    <xf numFmtId="49" fontId="4" fillId="6" borderId="36" xfId="0" applyNumberFormat="1" applyFont="1" applyFill="1" applyBorder="1" applyAlignment="1" applyProtection="1">
      <alignment horizontal="center" vertical="center"/>
    </xf>
    <xf numFmtId="0" fontId="26" fillId="0" borderId="44" xfId="0" applyFont="1" applyBorder="1" applyAlignment="1">
      <alignment horizontal="left" vertical="center" wrapText="1"/>
    </xf>
    <xf numFmtId="0" fontId="26" fillId="0" borderId="39" xfId="0" applyFont="1" applyBorder="1" applyAlignment="1">
      <alignment horizontal="left" vertical="center" wrapText="1"/>
    </xf>
    <xf numFmtId="0" fontId="26" fillId="0" borderId="43" xfId="0" applyFont="1" applyBorder="1" applyAlignment="1">
      <alignment horizontal="left" vertical="center" wrapText="1"/>
    </xf>
    <xf numFmtId="0" fontId="19" fillId="0" borderId="28" xfId="0" applyFont="1" applyBorder="1" applyAlignment="1">
      <alignment horizontal="left" vertical="center" wrapText="1"/>
    </xf>
    <xf numFmtId="0" fontId="19" fillId="0" borderId="29" xfId="0" applyFont="1" applyBorder="1" applyAlignment="1">
      <alignment horizontal="left" vertical="center" wrapText="1"/>
    </xf>
    <xf numFmtId="0" fontId="19" fillId="0" borderId="30" xfId="0" applyFont="1" applyBorder="1" applyAlignment="1">
      <alignment horizontal="left" vertical="center" wrapText="1"/>
    </xf>
    <xf numFmtId="0" fontId="22" fillId="0" borderId="0" xfId="0" applyFont="1" applyBorder="1" applyAlignment="1">
      <alignment horizontal="left" vertical="center" wrapText="1"/>
    </xf>
    <xf numFmtId="0" fontId="32" fillId="6" borderId="57" xfId="0" applyFont="1" applyFill="1" applyBorder="1" applyAlignment="1">
      <alignment horizontal="left" vertical="center" wrapText="1"/>
    </xf>
    <xf numFmtId="0" fontId="13" fillId="6" borderId="32" xfId="2" applyFont="1" applyFill="1" applyBorder="1" applyAlignment="1" applyProtection="1">
      <alignment horizontal="center" vertical="center"/>
    </xf>
    <xf numFmtId="0" fontId="26" fillId="0" borderId="29" xfId="0" applyFont="1" applyBorder="1" applyAlignment="1">
      <alignment horizontal="left" vertical="center" wrapText="1"/>
    </xf>
    <xf numFmtId="0" fontId="32" fillId="6" borderId="30" xfId="0" applyFont="1" applyFill="1" applyBorder="1" applyAlignment="1">
      <alignment horizontal="left" vertical="center" wrapText="1"/>
    </xf>
    <xf numFmtId="0" fontId="26" fillId="0" borderId="28" xfId="0" applyFont="1" applyBorder="1" applyAlignment="1">
      <alignment horizontal="left" vertical="center" wrapText="1"/>
    </xf>
    <xf numFmtId="0" fontId="26" fillId="0" borderId="45" xfId="0" applyFont="1" applyBorder="1" applyAlignment="1">
      <alignment horizontal="left" vertical="center" wrapText="1"/>
    </xf>
    <xf numFmtId="0" fontId="32" fillId="6" borderId="58" xfId="0" applyFont="1" applyFill="1" applyBorder="1" applyAlignment="1">
      <alignment horizontal="left" vertical="center" wrapText="1"/>
    </xf>
    <xf numFmtId="0" fontId="5" fillId="0" borderId="40" xfId="0" applyFont="1" applyBorder="1" applyAlignment="1" applyProtection="1">
      <alignment horizontal="center" vertical="center"/>
      <protection locked="0"/>
    </xf>
    <xf numFmtId="0" fontId="13" fillId="6" borderId="31" xfId="2" applyFont="1" applyFill="1" applyBorder="1" applyAlignment="1" applyProtection="1">
      <alignment horizontal="center" vertical="center"/>
    </xf>
    <xf numFmtId="0" fontId="18" fillId="3" borderId="57" xfId="0" applyFont="1" applyFill="1" applyBorder="1" applyAlignment="1">
      <alignment horizontal="left" vertical="center" wrapText="1"/>
    </xf>
    <xf numFmtId="0" fontId="19" fillId="5" borderId="28" xfId="0" applyFont="1" applyFill="1" applyBorder="1" applyAlignment="1">
      <alignment horizontal="left" vertical="center" wrapText="1"/>
    </xf>
    <xf numFmtId="0" fontId="6" fillId="4" borderId="42" xfId="0" applyFont="1" applyFill="1" applyBorder="1" applyAlignment="1">
      <alignment horizontal="center" vertical="center" wrapText="1"/>
    </xf>
    <xf numFmtId="0" fontId="32" fillId="12" borderId="23" xfId="0" applyFont="1" applyFill="1" applyBorder="1" applyAlignment="1">
      <alignment horizontal="left" vertical="center" wrapText="1"/>
    </xf>
    <xf numFmtId="0" fontId="32" fillId="0" borderId="23" xfId="0" applyFont="1" applyBorder="1" applyAlignment="1">
      <alignment horizontal="left" vertical="center" wrapText="1"/>
    </xf>
    <xf numFmtId="0" fontId="32" fillId="0" borderId="57" xfId="0" applyFont="1" applyBorder="1" applyAlignment="1">
      <alignment horizontal="left" vertical="center" wrapText="1"/>
    </xf>
    <xf numFmtId="0" fontId="11" fillId="5" borderId="0" xfId="0" applyFont="1" applyFill="1" applyBorder="1" applyAlignment="1">
      <alignment horizontal="left"/>
    </xf>
    <xf numFmtId="0" fontId="11" fillId="5" borderId="0" xfId="0" applyFont="1" applyFill="1" applyBorder="1"/>
    <xf numFmtId="0" fontId="11" fillId="5" borderId="0" xfId="0" applyFont="1" applyFill="1" applyBorder="1" applyAlignment="1">
      <alignment vertical="center"/>
    </xf>
    <xf numFmtId="0" fontId="10" fillId="5" borderId="0" xfId="0" applyFont="1" applyFill="1" applyBorder="1"/>
    <xf numFmtId="0" fontId="10" fillId="5" borderId="0" xfId="0" applyFont="1" applyFill="1" applyBorder="1" applyAlignment="1"/>
    <xf numFmtId="0" fontId="10" fillId="5" borderId="0" xfId="0" applyFont="1" applyFill="1" applyBorder="1" applyAlignment="1">
      <alignment vertical="center"/>
    </xf>
    <xf numFmtId="0" fontId="11" fillId="5" borderId="0" xfId="0" applyFont="1" applyFill="1" applyBorder="1" applyAlignment="1"/>
    <xf numFmtId="0" fontId="10" fillId="5" borderId="0" xfId="0" applyFont="1" applyFill="1" applyBorder="1" applyAlignment="1">
      <alignment wrapText="1"/>
    </xf>
    <xf numFmtId="0" fontId="19" fillId="0" borderId="55" xfId="0" applyFont="1" applyBorder="1" applyAlignment="1">
      <alignment horizontal="left" vertical="center" wrapText="1"/>
    </xf>
    <xf numFmtId="0" fontId="6" fillId="4" borderId="64" xfId="0" applyFont="1" applyFill="1" applyBorder="1" applyAlignment="1">
      <alignment horizontal="center" vertical="center" wrapText="1"/>
    </xf>
    <xf numFmtId="0" fontId="6" fillId="4" borderId="64" xfId="0" applyFont="1" applyFill="1" applyBorder="1" applyAlignment="1">
      <alignment horizontal="center" vertical="center"/>
    </xf>
    <xf numFmtId="0" fontId="4" fillId="6" borderId="70" xfId="0" applyFont="1" applyFill="1" applyBorder="1" applyAlignment="1">
      <alignment horizontal="center" vertical="center"/>
    </xf>
    <xf numFmtId="0" fontId="32" fillId="6" borderId="56" xfId="0" applyFont="1" applyFill="1" applyBorder="1" applyAlignment="1">
      <alignment horizontal="left" vertical="center" wrapText="1"/>
    </xf>
    <xf numFmtId="0" fontId="5" fillId="4" borderId="7" xfId="0" applyFont="1" applyFill="1" applyBorder="1" applyAlignment="1" applyProtection="1">
      <alignment horizontal="center" vertical="center"/>
      <protection locked="0"/>
    </xf>
    <xf numFmtId="0" fontId="5" fillId="4" borderId="78" xfId="0" applyFont="1" applyFill="1" applyBorder="1" applyAlignment="1" applyProtection="1">
      <alignment horizontal="center" vertical="center"/>
    </xf>
    <xf numFmtId="0" fontId="5" fillId="4" borderId="79" xfId="0" applyFont="1" applyFill="1" applyBorder="1" applyAlignment="1" applyProtection="1">
      <alignment horizontal="center" vertical="center"/>
    </xf>
    <xf numFmtId="0" fontId="5" fillId="4" borderId="80" xfId="0" applyFont="1" applyFill="1" applyBorder="1" applyAlignment="1" applyProtection="1">
      <alignment horizontal="center" vertical="center"/>
    </xf>
    <xf numFmtId="49" fontId="4" fillId="6" borderId="81" xfId="0" applyNumberFormat="1" applyFont="1" applyFill="1" applyBorder="1" applyAlignment="1" applyProtection="1">
      <alignment horizontal="center" vertical="center"/>
    </xf>
    <xf numFmtId="0" fontId="6" fillId="4" borderId="52" xfId="0" applyFont="1" applyFill="1" applyBorder="1" applyAlignment="1">
      <alignment horizontal="center" vertical="center" wrapText="1"/>
    </xf>
    <xf numFmtId="0" fontId="4" fillId="6" borderId="82" xfId="0" applyFont="1" applyFill="1" applyBorder="1" applyAlignment="1">
      <alignment horizontal="center" vertical="center"/>
    </xf>
    <xf numFmtId="0" fontId="5" fillId="0" borderId="36" xfId="0" applyFont="1" applyBorder="1" applyAlignment="1" applyProtection="1">
      <alignment horizontal="center" vertical="center" wrapText="1"/>
      <protection locked="0"/>
    </xf>
    <xf numFmtId="0" fontId="5" fillId="0" borderId="38" xfId="0" applyFont="1" applyBorder="1" applyAlignment="1" applyProtection="1">
      <alignment horizontal="center" vertical="center" wrapText="1"/>
      <protection locked="0"/>
    </xf>
    <xf numFmtId="0" fontId="5" fillId="0" borderId="73" xfId="0" applyFont="1" applyBorder="1" applyAlignment="1" applyProtection="1">
      <alignment horizontal="center" vertical="center" wrapText="1"/>
      <protection locked="0"/>
    </xf>
    <xf numFmtId="0" fontId="5" fillId="0" borderId="74"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5" fillId="0" borderId="86" xfId="0" applyFont="1" applyBorder="1" applyAlignment="1" applyProtection="1">
      <alignment horizontal="center" vertical="center" wrapText="1"/>
      <protection locked="0"/>
    </xf>
    <xf numFmtId="0" fontId="6" fillId="4" borderId="65" xfId="0" applyFont="1" applyFill="1" applyBorder="1" applyAlignment="1">
      <alignment horizontal="center" vertical="center" wrapText="1"/>
    </xf>
    <xf numFmtId="0" fontId="4" fillId="4" borderId="65" xfId="0" applyFont="1" applyFill="1" applyBorder="1" applyAlignment="1">
      <alignment horizontal="center" vertical="center" wrapText="1"/>
    </xf>
    <xf numFmtId="0" fontId="19" fillId="0" borderId="90" xfId="0" applyFont="1" applyBorder="1" applyAlignment="1">
      <alignment horizontal="left" vertical="center" wrapText="1"/>
    </xf>
    <xf numFmtId="0" fontId="19" fillId="0" borderId="91" xfId="0" applyFont="1" applyBorder="1" applyAlignment="1">
      <alignment horizontal="left" vertical="center" wrapText="1"/>
    </xf>
    <xf numFmtId="0" fontId="19" fillId="0" borderId="92" xfId="0" applyFont="1" applyBorder="1" applyAlignment="1">
      <alignment horizontal="left" vertical="center" wrapText="1"/>
    </xf>
    <xf numFmtId="0" fontId="5" fillId="0" borderId="84" xfId="0" applyFont="1" applyBorder="1" applyAlignment="1" applyProtection="1">
      <alignment horizontal="center" vertical="center" wrapText="1"/>
      <protection locked="0"/>
    </xf>
    <xf numFmtId="0" fontId="5" fillId="0" borderId="93" xfId="0" applyFont="1" applyBorder="1" applyAlignment="1" applyProtection="1">
      <alignment horizontal="center" vertical="center" wrapText="1"/>
      <protection locked="0"/>
    </xf>
    <xf numFmtId="0" fontId="4" fillId="6" borderId="85" xfId="0" applyFont="1" applyFill="1" applyBorder="1" applyAlignment="1">
      <alignment horizontal="center" vertical="center"/>
    </xf>
    <xf numFmtId="0" fontId="32" fillId="6" borderId="91" xfId="0" applyFont="1" applyFill="1" applyBorder="1" applyAlignment="1">
      <alignment horizontal="left" vertical="center" wrapText="1"/>
    </xf>
    <xf numFmtId="0" fontId="32" fillId="3" borderId="23" xfId="0" applyFont="1" applyFill="1" applyBorder="1" applyAlignment="1">
      <alignment horizontal="left" vertical="center" wrapText="1"/>
    </xf>
    <xf numFmtId="49" fontId="32" fillId="6" borderId="58" xfId="0" applyNumberFormat="1" applyFont="1" applyFill="1" applyBorder="1" applyAlignment="1">
      <alignment horizontal="left" vertical="center" wrapText="1"/>
    </xf>
    <xf numFmtId="0" fontId="19" fillId="0" borderId="94" xfId="0" applyFont="1" applyBorder="1" applyAlignment="1">
      <alignment horizontal="left" vertical="center" wrapText="1"/>
    </xf>
    <xf numFmtId="0" fontId="28" fillId="6" borderId="71" xfId="0" applyFont="1" applyFill="1" applyBorder="1" applyAlignment="1">
      <alignment horizontal="center" vertical="center"/>
    </xf>
    <xf numFmtId="0" fontId="5" fillId="0" borderId="77" xfId="0" applyFont="1" applyBorder="1" applyAlignment="1" applyProtection="1">
      <alignment horizontal="center" vertical="center" wrapText="1"/>
      <protection locked="0"/>
    </xf>
    <xf numFmtId="0" fontId="28" fillId="6" borderId="95" xfId="0" applyFont="1" applyFill="1" applyBorder="1" applyAlignment="1" applyProtection="1">
      <alignment horizontal="center" vertical="center" wrapText="1"/>
    </xf>
    <xf numFmtId="1" fontId="4" fillId="6" borderId="31" xfId="0" applyNumberFormat="1" applyFont="1" applyFill="1" applyBorder="1" applyAlignment="1" applyProtection="1">
      <alignment horizontal="center" vertical="center"/>
    </xf>
    <xf numFmtId="0" fontId="4" fillId="6" borderId="96" xfId="0" applyFont="1" applyFill="1" applyBorder="1" applyAlignment="1">
      <alignment horizontal="center" vertical="center"/>
    </xf>
    <xf numFmtId="49" fontId="4" fillId="6" borderId="34" xfId="0" applyNumberFormat="1" applyFont="1" applyFill="1" applyBorder="1" applyAlignment="1" applyProtection="1">
      <alignment horizontal="center" vertical="center"/>
    </xf>
    <xf numFmtId="0" fontId="28" fillId="6" borderId="97" xfId="0" applyFont="1" applyFill="1" applyBorder="1" applyAlignment="1" applyProtection="1">
      <alignment horizontal="center" vertical="center" wrapText="1"/>
    </xf>
    <xf numFmtId="1" fontId="4" fillId="0" borderId="31" xfId="0" applyNumberFormat="1" applyFont="1" applyFill="1" applyBorder="1" applyAlignment="1" applyProtection="1">
      <alignment horizontal="center" vertical="center"/>
      <protection locked="0"/>
    </xf>
    <xf numFmtId="0" fontId="36" fillId="5" borderId="5" xfId="0" applyFont="1" applyFill="1" applyBorder="1" applyAlignment="1">
      <alignment horizontal="left" wrapText="1"/>
    </xf>
    <xf numFmtId="0" fontId="36" fillId="5" borderId="6" xfId="0" applyFont="1" applyFill="1" applyBorder="1" applyAlignment="1">
      <alignment horizontal="center" vertical="top"/>
    </xf>
    <xf numFmtId="0" fontId="36" fillId="5" borderId="99" xfId="0" applyFont="1" applyFill="1" applyBorder="1" applyAlignment="1">
      <alignment horizontal="left" vertical="center"/>
    </xf>
    <xf numFmtId="0" fontId="43" fillId="4" borderId="83" xfId="0" applyFont="1" applyFill="1" applyBorder="1" applyAlignment="1">
      <alignment horizontal="center" vertical="center"/>
    </xf>
    <xf numFmtId="0" fontId="37" fillId="5" borderId="83" xfId="0" applyFont="1" applyFill="1" applyBorder="1" applyAlignment="1"/>
    <xf numFmtId="0" fontId="37" fillId="0" borderId="83" xfId="0" applyFont="1" applyBorder="1" applyAlignment="1">
      <alignment horizontal="left" vertical="center" wrapText="1"/>
    </xf>
    <xf numFmtId="0" fontId="36" fillId="4" borderId="83" xfId="0" applyFont="1" applyFill="1" applyBorder="1" applyAlignment="1">
      <alignment horizontal="center" vertical="center"/>
    </xf>
    <xf numFmtId="0" fontId="37" fillId="12" borderId="83" xfId="0" applyFont="1" applyFill="1" applyBorder="1" applyAlignment="1"/>
    <xf numFmtId="0" fontId="37" fillId="4" borderId="83" xfId="0" applyFont="1" applyFill="1" applyBorder="1" applyAlignment="1">
      <alignment horizontal="center" vertical="center"/>
    </xf>
    <xf numFmtId="0" fontId="36" fillId="6" borderId="83" xfId="0" applyFont="1" applyFill="1" applyBorder="1" applyAlignment="1">
      <alignment horizontal="left" vertical="center" wrapText="1"/>
    </xf>
    <xf numFmtId="0" fontId="37" fillId="5" borderId="83" xfId="0" applyFont="1" applyFill="1" applyBorder="1" applyAlignment="1">
      <alignment horizontal="left" vertical="center" wrapText="1"/>
    </xf>
    <xf numFmtId="49" fontId="37" fillId="6" borderId="83" xfId="0" applyNumberFormat="1" applyFont="1" applyFill="1" applyBorder="1" applyAlignment="1">
      <alignment horizontal="left" vertical="center" wrapText="1"/>
    </xf>
    <xf numFmtId="0" fontId="56" fillId="4" borderId="83" xfId="0" applyFont="1" applyFill="1" applyBorder="1" applyAlignment="1">
      <alignment horizontal="center" vertical="center"/>
    </xf>
    <xf numFmtId="0" fontId="43" fillId="4" borderId="83" xfId="0" applyFont="1" applyFill="1" applyBorder="1" applyAlignment="1">
      <alignment horizontal="center" vertical="center" wrapText="1"/>
    </xf>
    <xf numFmtId="0" fontId="37" fillId="12" borderId="83" xfId="0" applyFont="1" applyFill="1" applyBorder="1"/>
    <xf numFmtId="49" fontId="36" fillId="6" borderId="83" xfId="0" applyNumberFormat="1" applyFont="1" applyFill="1" applyBorder="1" applyAlignment="1">
      <alignment horizontal="center" vertical="center"/>
    </xf>
    <xf numFmtId="0" fontId="57" fillId="4" borderId="83" xfId="0" applyFont="1" applyFill="1" applyBorder="1" applyAlignment="1">
      <alignment horizontal="center" vertical="center"/>
    </xf>
    <xf numFmtId="0" fontId="36" fillId="12" borderId="83" xfId="0" applyFont="1" applyFill="1" applyBorder="1" applyAlignment="1"/>
    <xf numFmtId="0" fontId="37" fillId="13" borderId="83" xfId="0" applyFont="1" applyFill="1" applyBorder="1" applyAlignment="1"/>
    <xf numFmtId="0" fontId="37" fillId="0" borderId="83" xfId="0" applyFont="1" applyBorder="1" applyAlignment="1" applyProtection="1">
      <alignment horizontal="center" vertical="center"/>
    </xf>
    <xf numFmtId="0" fontId="37" fillId="5" borderId="83" xfId="0" applyFont="1" applyFill="1" applyBorder="1" applyAlignment="1">
      <alignment horizontal="left" vertical="center"/>
    </xf>
    <xf numFmtId="0" fontId="59" fillId="3" borderId="83" xfId="0" applyFont="1" applyFill="1" applyBorder="1" applyAlignment="1">
      <alignment horizontal="center" vertical="center"/>
    </xf>
    <xf numFmtId="0" fontId="57" fillId="0" borderId="83" xfId="0" applyFont="1" applyFill="1" applyBorder="1" applyAlignment="1">
      <alignment horizontal="center" vertical="center"/>
    </xf>
    <xf numFmtId="0" fontId="43" fillId="0" borderId="83" xfId="0" applyFont="1" applyFill="1" applyBorder="1" applyAlignment="1">
      <alignment horizontal="center" vertical="center"/>
    </xf>
    <xf numFmtId="0" fontId="36" fillId="5" borderId="2" xfId="0" applyFont="1" applyFill="1" applyBorder="1" applyAlignment="1"/>
    <xf numFmtId="0" fontId="36" fillId="5" borderId="1" xfId="0" applyFont="1" applyFill="1" applyBorder="1" applyAlignment="1">
      <alignment horizontal="left" vertical="top" wrapText="1"/>
    </xf>
    <xf numFmtId="0" fontId="36" fillId="5" borderId="6" xfId="0" applyFont="1" applyFill="1" applyBorder="1" applyAlignment="1">
      <alignment horizontal="left" vertical="top" wrapText="1"/>
    </xf>
    <xf numFmtId="0" fontId="37" fillId="5" borderId="83" xfId="0" applyFont="1" applyFill="1" applyBorder="1" applyAlignment="1">
      <alignment wrapText="1"/>
    </xf>
    <xf numFmtId="0" fontId="37" fillId="0" borderId="83" xfId="0" applyFont="1" applyBorder="1" applyAlignment="1" applyProtection="1">
      <alignment horizontal="left" vertical="center" wrapText="1"/>
      <protection locked="0"/>
    </xf>
    <xf numFmtId="0" fontId="37" fillId="12" borderId="83" xfId="0" applyFont="1" applyFill="1" applyBorder="1" applyAlignment="1">
      <alignment wrapText="1"/>
    </xf>
    <xf numFmtId="0" fontId="36" fillId="12" borderId="83" xfId="0" applyFont="1" applyFill="1" applyBorder="1" applyAlignment="1">
      <alignment wrapText="1"/>
    </xf>
    <xf numFmtId="0" fontId="37" fillId="0" borderId="83" xfId="0" applyFont="1" applyFill="1" applyBorder="1" applyAlignment="1">
      <alignment wrapText="1"/>
    </xf>
    <xf numFmtId="0" fontId="37" fillId="0" borderId="83" xfId="0" applyFont="1" applyBorder="1" applyAlignment="1" applyProtection="1">
      <alignment horizontal="left" vertical="center" wrapText="1"/>
    </xf>
    <xf numFmtId="0" fontId="37" fillId="5" borderId="0" xfId="0" applyFont="1" applyFill="1" applyAlignment="1">
      <alignment vertical="top" wrapText="1"/>
    </xf>
    <xf numFmtId="0" fontId="43" fillId="4" borderId="100" xfId="0" applyFont="1" applyFill="1" applyBorder="1" applyAlignment="1">
      <alignment horizontal="center" vertical="center"/>
    </xf>
    <xf numFmtId="0" fontId="37" fillId="5" borderId="105" xfId="0" applyFont="1" applyFill="1" applyBorder="1" applyAlignment="1"/>
    <xf numFmtId="0" fontId="43" fillId="4" borderId="107" xfId="0" applyFont="1" applyFill="1" applyBorder="1" applyAlignment="1">
      <alignment horizontal="center" vertical="center"/>
    </xf>
    <xf numFmtId="0" fontId="37" fillId="5" borderId="107" xfId="0" applyFont="1" applyFill="1" applyBorder="1" applyAlignment="1">
      <alignment wrapText="1"/>
    </xf>
    <xf numFmtId="0" fontId="37" fillId="5" borderId="108" xfId="0" applyFont="1" applyFill="1" applyBorder="1" applyAlignment="1"/>
    <xf numFmtId="0" fontId="37" fillId="5" borderId="100" xfId="0" applyFont="1" applyFill="1" applyBorder="1" applyAlignment="1">
      <alignment wrapText="1"/>
    </xf>
    <xf numFmtId="0" fontId="37" fillId="5" borderId="109" xfId="0" applyFont="1" applyFill="1" applyBorder="1" applyAlignment="1"/>
    <xf numFmtId="0" fontId="43" fillId="4" borderId="102" xfId="0" applyFont="1" applyFill="1" applyBorder="1" applyAlignment="1">
      <alignment horizontal="center" vertical="center"/>
    </xf>
    <xf numFmtId="0" fontId="37" fillId="0" borderId="102" xfId="0" applyFont="1" applyBorder="1" applyAlignment="1" applyProtection="1">
      <alignment horizontal="left" vertical="center" wrapText="1"/>
      <protection locked="0"/>
    </xf>
    <xf numFmtId="0" fontId="37" fillId="0" borderId="103" xfId="0" applyFont="1" applyBorder="1" applyAlignment="1" applyProtection="1">
      <alignment horizontal="left" vertical="center"/>
      <protection locked="0"/>
    </xf>
    <xf numFmtId="0" fontId="37" fillId="0" borderId="105" xfId="0" applyFont="1" applyBorder="1" applyAlignment="1" applyProtection="1">
      <alignment horizontal="left" vertical="center"/>
      <protection locked="0"/>
    </xf>
    <xf numFmtId="0" fontId="37" fillId="0" borderId="107" xfId="0" applyFont="1" applyBorder="1" applyAlignment="1" applyProtection="1">
      <alignment horizontal="left" vertical="center" wrapText="1"/>
      <protection locked="0"/>
    </xf>
    <xf numFmtId="0" fontId="37" fillId="0" borderId="108" xfId="0" applyFont="1" applyBorder="1" applyAlignment="1" applyProtection="1">
      <alignment horizontal="left" vertical="center"/>
      <protection locked="0"/>
    </xf>
    <xf numFmtId="0" fontId="36" fillId="4" borderId="100" xfId="0" applyFont="1" applyFill="1" applyBorder="1" applyAlignment="1">
      <alignment horizontal="center" vertical="center"/>
    </xf>
    <xf numFmtId="0" fontId="36" fillId="4" borderId="102" xfId="0" applyFont="1" applyFill="1" applyBorder="1" applyAlignment="1">
      <alignment horizontal="center" vertical="center"/>
    </xf>
    <xf numFmtId="0" fontId="37" fillId="12" borderId="102" xfId="0" applyFont="1" applyFill="1" applyBorder="1" applyAlignment="1">
      <alignment wrapText="1"/>
    </xf>
    <xf numFmtId="0" fontId="37" fillId="12" borderId="103" xfId="0" applyFont="1" applyFill="1" applyBorder="1" applyAlignment="1"/>
    <xf numFmtId="0" fontId="37" fillId="12" borderId="105" xfId="0" applyFont="1" applyFill="1" applyBorder="1" applyAlignment="1"/>
    <xf numFmtId="0" fontId="36" fillId="4" borderId="107" xfId="0" applyFont="1" applyFill="1" applyBorder="1" applyAlignment="1">
      <alignment horizontal="center" vertical="center"/>
    </xf>
    <xf numFmtId="0" fontId="37" fillId="12" borderId="107" xfId="0" applyFont="1" applyFill="1" applyBorder="1" applyAlignment="1">
      <alignment wrapText="1"/>
    </xf>
    <xf numFmtId="0" fontId="37" fillId="12" borderId="108" xfId="0" applyFont="1" applyFill="1" applyBorder="1" applyAlignment="1"/>
    <xf numFmtId="0" fontId="37" fillId="12" borderId="107" xfId="0" applyFont="1" applyFill="1" applyBorder="1" applyAlignment="1">
      <alignment vertical="center" wrapText="1"/>
    </xf>
    <xf numFmtId="0" fontId="37" fillId="12" borderId="108" xfId="0" applyFont="1" applyFill="1" applyBorder="1" applyAlignment="1">
      <alignment vertical="center"/>
    </xf>
    <xf numFmtId="0" fontId="36" fillId="6" borderId="100" xfId="0" applyFont="1" applyFill="1" applyBorder="1" applyAlignment="1">
      <alignment horizontal="left" vertical="center" wrapText="1"/>
    </xf>
    <xf numFmtId="0" fontId="37" fillId="5" borderId="100" xfId="0" applyFont="1" applyFill="1" applyBorder="1" applyAlignment="1"/>
    <xf numFmtId="1" fontId="4" fillId="6" borderId="13" xfId="0" applyNumberFormat="1" applyFont="1" applyFill="1" applyBorder="1" applyAlignment="1">
      <alignment horizontal="center" vertical="center"/>
    </xf>
    <xf numFmtId="0" fontId="27" fillId="4" borderId="41" xfId="0" applyFont="1" applyFill="1" applyBorder="1" applyAlignment="1">
      <alignment horizontal="center" vertical="center"/>
    </xf>
    <xf numFmtId="0" fontId="26" fillId="0" borderId="30" xfId="0" applyFont="1" applyBorder="1" applyAlignment="1">
      <alignment horizontal="left" vertical="center" wrapText="1"/>
    </xf>
    <xf numFmtId="0" fontId="10" fillId="5" borderId="0" xfId="0" applyFont="1" applyFill="1" applyBorder="1" applyAlignment="1">
      <alignment horizontal="center"/>
    </xf>
    <xf numFmtId="0" fontId="10" fillId="5" borderId="51" xfId="0" applyFont="1" applyFill="1" applyBorder="1" applyAlignment="1">
      <alignment horizontal="center"/>
    </xf>
    <xf numFmtId="0" fontId="16" fillId="0" borderId="54" xfId="0" applyFont="1" applyBorder="1" applyAlignment="1">
      <alignment vertical="center" wrapText="1"/>
    </xf>
    <xf numFmtId="0" fontId="16" fillId="0" borderId="88" xfId="0" applyFont="1" applyBorder="1" applyAlignment="1">
      <alignment vertical="center" wrapText="1"/>
    </xf>
    <xf numFmtId="0" fontId="16" fillId="0" borderId="88" xfId="0" applyFont="1" applyBorder="1" applyAlignment="1">
      <alignment vertical="center"/>
    </xf>
    <xf numFmtId="0" fontId="45" fillId="0" borderId="88" xfId="0" applyFont="1" applyBorder="1" applyAlignment="1">
      <alignment vertical="center" wrapText="1"/>
    </xf>
    <xf numFmtId="0" fontId="18" fillId="6" borderId="43" xfId="0" applyFont="1" applyFill="1" applyBorder="1" applyAlignment="1">
      <alignment horizontal="left" vertical="center" wrapText="1"/>
    </xf>
    <xf numFmtId="49" fontId="25" fillId="6" borderId="23" xfId="0" applyNumberFormat="1" applyFont="1" applyFill="1" applyBorder="1" applyAlignment="1">
      <alignment horizontal="left" vertical="center" wrapText="1"/>
    </xf>
    <xf numFmtId="49" fontId="25" fillId="6" borderId="57" xfId="0" applyNumberFormat="1" applyFont="1" applyFill="1" applyBorder="1" applyAlignment="1">
      <alignment horizontal="left" vertical="center" wrapText="1"/>
    </xf>
    <xf numFmtId="49" fontId="32" fillId="6" borderId="57" xfId="0" applyNumberFormat="1" applyFont="1" applyFill="1" applyBorder="1" applyAlignment="1">
      <alignment horizontal="left" vertical="center" wrapText="1"/>
    </xf>
    <xf numFmtId="49" fontId="32" fillId="6" borderId="43" xfId="0" applyNumberFormat="1" applyFont="1" applyFill="1" applyBorder="1" applyAlignment="1">
      <alignment horizontal="left" vertical="center" wrapText="1"/>
    </xf>
    <xf numFmtId="49" fontId="18" fillId="6" borderId="23" xfId="0" applyNumberFormat="1" applyFont="1" applyFill="1" applyBorder="1" applyAlignment="1">
      <alignment horizontal="left" vertical="center" wrapText="1"/>
    </xf>
    <xf numFmtId="49" fontId="18" fillId="6" borderId="43" xfId="0" applyNumberFormat="1" applyFont="1" applyFill="1" applyBorder="1" applyAlignment="1">
      <alignment horizontal="left" vertical="center" wrapText="1"/>
    </xf>
    <xf numFmtId="0" fontId="19" fillId="5" borderId="29" xfId="0" applyFont="1" applyFill="1" applyBorder="1" applyAlignment="1">
      <alignment horizontal="left" vertical="center" wrapText="1"/>
    </xf>
    <xf numFmtId="49" fontId="18" fillId="6" borderId="30" xfId="0" applyNumberFormat="1" applyFont="1" applyFill="1" applyBorder="1" applyAlignment="1">
      <alignment horizontal="left" vertical="center" wrapText="1"/>
    </xf>
    <xf numFmtId="0" fontId="32" fillId="6" borderId="47" xfId="0" applyFont="1" applyFill="1" applyBorder="1" applyAlignment="1">
      <alignment vertical="top" wrapText="1"/>
    </xf>
    <xf numFmtId="0" fontId="32" fillId="0" borderId="0" xfId="0" applyFont="1" applyAlignment="1">
      <alignment vertical="top" wrapText="1"/>
    </xf>
    <xf numFmtId="0" fontId="26" fillId="12" borderId="52" xfId="0" applyFont="1" applyFill="1" applyBorder="1" applyAlignment="1">
      <alignment vertical="top" wrapText="1"/>
    </xf>
    <xf numFmtId="0" fontId="26" fillId="6" borderId="39" xfId="0" applyFont="1" applyFill="1" applyBorder="1" applyAlignment="1">
      <alignment vertical="top" wrapText="1"/>
    </xf>
    <xf numFmtId="0" fontId="26" fillId="5" borderId="11" xfId="0" applyFont="1" applyFill="1" applyBorder="1" applyAlignment="1">
      <alignment vertical="top" wrapText="1"/>
    </xf>
    <xf numFmtId="0" fontId="32" fillId="0" borderId="39" xfId="0" applyFont="1" applyBorder="1" applyAlignment="1">
      <alignment vertical="top" wrapText="1"/>
    </xf>
    <xf numFmtId="0" fontId="26" fillId="0" borderId="11" xfId="0" applyFont="1" applyBorder="1" applyAlignment="1">
      <alignment vertical="top" wrapText="1"/>
    </xf>
    <xf numFmtId="0" fontId="61" fillId="0" borderId="0" xfId="0" applyFont="1" applyAlignment="1">
      <alignment vertical="top" wrapText="1"/>
    </xf>
    <xf numFmtId="0" fontId="26" fillId="0" borderId="0" xfId="0" applyFont="1" applyAlignment="1">
      <alignment vertical="top" wrapText="1"/>
    </xf>
    <xf numFmtId="0" fontId="64" fillId="5" borderId="0" xfId="0" applyFont="1" applyFill="1" applyBorder="1"/>
    <xf numFmtId="0" fontId="55" fillId="0" borderId="0" xfId="0" applyFont="1"/>
    <xf numFmtId="0" fontId="62" fillId="5" borderId="0" xfId="0" applyFont="1" applyFill="1" applyBorder="1" applyAlignment="1">
      <alignment vertical="center"/>
    </xf>
    <xf numFmtId="0" fontId="63" fillId="0" borderId="0" xfId="0" applyFont="1" applyAlignment="1">
      <alignment vertical="center"/>
    </xf>
    <xf numFmtId="0" fontId="32" fillId="7" borderId="41" xfId="0" applyFont="1" applyFill="1" applyBorder="1" applyAlignment="1">
      <alignment horizontal="center" vertical="center" wrapText="1"/>
    </xf>
    <xf numFmtId="0" fontId="4" fillId="8" borderId="21" xfId="0" applyFont="1" applyFill="1" applyBorder="1" applyAlignment="1">
      <alignment vertical="center"/>
    </xf>
    <xf numFmtId="0" fontId="32" fillId="0" borderId="26" xfId="0" applyFont="1" applyFill="1" applyBorder="1" applyAlignment="1">
      <alignment horizontal="center" vertical="center" wrapText="1"/>
    </xf>
    <xf numFmtId="0" fontId="18" fillId="0" borderId="46" xfId="0" applyFont="1" applyFill="1" applyBorder="1" applyAlignment="1">
      <alignment vertical="center"/>
    </xf>
    <xf numFmtId="0" fontId="37" fillId="0" borderId="83" xfId="0" applyFont="1" applyBorder="1" applyAlignment="1">
      <alignment horizontal="left" vertical="center" wrapText="1"/>
    </xf>
    <xf numFmtId="0" fontId="37" fillId="5" borderId="83" xfId="0" applyFont="1" applyFill="1" applyBorder="1" applyAlignment="1">
      <alignment horizontal="left" vertical="center" wrapText="1"/>
    </xf>
    <xf numFmtId="0" fontId="6" fillId="4" borderId="59" xfId="0" applyFont="1" applyFill="1" applyBorder="1" applyAlignment="1">
      <alignment horizontal="center" vertical="center" wrapText="1"/>
    </xf>
    <xf numFmtId="0" fontId="6" fillId="4" borderId="51" xfId="0" applyFont="1" applyFill="1" applyBorder="1" applyAlignment="1">
      <alignment horizontal="center" vertical="center"/>
    </xf>
    <xf numFmtId="0" fontId="6" fillId="4" borderId="87" xfId="0" applyFont="1" applyFill="1" applyBorder="1" applyAlignment="1">
      <alignment horizontal="center" vertical="center"/>
    </xf>
    <xf numFmtId="0" fontId="5" fillId="4" borderId="141" xfId="0" applyFont="1" applyFill="1" applyBorder="1" applyAlignment="1" applyProtection="1">
      <alignment horizontal="center" vertical="center"/>
    </xf>
    <xf numFmtId="0" fontId="5" fillId="4" borderId="142" xfId="0" applyFont="1" applyFill="1" applyBorder="1" applyAlignment="1" applyProtection="1">
      <alignment horizontal="center" vertical="center"/>
    </xf>
    <xf numFmtId="0" fontId="24" fillId="0" borderId="24" xfId="0" applyFont="1" applyBorder="1" applyAlignment="1" applyProtection="1">
      <alignment horizontal="center" vertical="center"/>
      <protection locked="0"/>
    </xf>
    <xf numFmtId="0" fontId="24" fillId="0" borderId="25" xfId="0" applyFont="1" applyBorder="1" applyAlignment="1" applyProtection="1">
      <alignment horizontal="center" vertical="center"/>
      <protection locked="0"/>
    </xf>
    <xf numFmtId="0" fontId="24" fillId="0" borderId="26" xfId="0" applyFont="1" applyBorder="1" applyAlignment="1" applyProtection="1">
      <alignment horizontal="center" vertical="center"/>
      <protection locked="0"/>
    </xf>
    <xf numFmtId="0" fontId="4" fillId="6" borderId="143" xfId="0" applyFont="1" applyFill="1" applyBorder="1" applyAlignment="1">
      <alignment horizontal="center" vertical="center"/>
    </xf>
    <xf numFmtId="0" fontId="5" fillId="4" borderId="144" xfId="0" applyFont="1" applyFill="1" applyBorder="1" applyAlignment="1" applyProtection="1">
      <alignment horizontal="center" vertical="center"/>
    </xf>
    <xf numFmtId="0" fontId="5" fillId="4" borderId="145" xfId="0" applyFont="1" applyFill="1" applyBorder="1" applyAlignment="1" applyProtection="1">
      <alignment horizontal="center" vertical="center"/>
    </xf>
    <xf numFmtId="0" fontId="5" fillId="4" borderId="146" xfId="0" applyFont="1" applyFill="1" applyBorder="1" applyAlignment="1" applyProtection="1">
      <alignment horizontal="center" vertical="center"/>
    </xf>
    <xf numFmtId="0" fontId="5" fillId="4" borderId="147" xfId="0" applyFont="1" applyFill="1" applyBorder="1" applyAlignment="1" applyProtection="1">
      <alignment horizontal="center" vertical="center"/>
    </xf>
    <xf numFmtId="0" fontId="5" fillId="4" borderId="148" xfId="0" applyFont="1" applyFill="1" applyBorder="1" applyAlignment="1" applyProtection="1">
      <alignment horizontal="center" vertical="center"/>
    </xf>
    <xf numFmtId="0" fontId="5" fillId="4" borderId="149" xfId="0" applyFont="1" applyFill="1" applyBorder="1" applyAlignment="1" applyProtection="1">
      <alignment horizontal="center" vertical="center"/>
    </xf>
    <xf numFmtId="0" fontId="5" fillId="4" borderId="150" xfId="0" applyFont="1" applyFill="1" applyBorder="1" applyAlignment="1" applyProtection="1">
      <alignment horizontal="center" vertical="center"/>
    </xf>
    <xf numFmtId="0" fontId="5" fillId="4" borderId="151" xfId="0" applyFont="1" applyFill="1" applyBorder="1" applyAlignment="1" applyProtection="1">
      <alignment horizontal="center" vertical="center"/>
    </xf>
    <xf numFmtId="0" fontId="5" fillId="4" borderId="152" xfId="0" applyFont="1" applyFill="1" applyBorder="1" applyAlignment="1" applyProtection="1">
      <alignment horizontal="center" vertical="center"/>
    </xf>
    <xf numFmtId="0" fontId="5" fillId="4" borderId="153" xfId="0" applyFont="1" applyFill="1" applyBorder="1" applyAlignment="1" applyProtection="1">
      <alignment horizontal="center" vertical="center"/>
    </xf>
    <xf numFmtId="0" fontId="5" fillId="4" borderId="154" xfId="0" applyFont="1" applyFill="1" applyBorder="1" applyAlignment="1" applyProtection="1">
      <alignment horizontal="center" vertical="center"/>
    </xf>
    <xf numFmtId="0" fontId="24" fillId="0" borderId="143" xfId="0" applyFont="1" applyBorder="1" applyAlignment="1" applyProtection="1">
      <alignment horizontal="center" vertical="center"/>
      <protection locked="0"/>
    </xf>
    <xf numFmtId="0" fontId="5" fillId="4" borderId="155" xfId="0" applyFont="1" applyFill="1" applyBorder="1" applyAlignment="1" applyProtection="1">
      <alignment horizontal="center" vertical="center"/>
    </xf>
    <xf numFmtId="0" fontId="5" fillId="4" borderId="156" xfId="0" applyFont="1" applyFill="1" applyBorder="1" applyAlignment="1" applyProtection="1">
      <alignment horizontal="center" vertical="center"/>
    </xf>
    <xf numFmtId="0" fontId="28" fillId="5" borderId="98" xfId="0" applyFont="1" applyFill="1" applyBorder="1" applyAlignment="1" applyProtection="1">
      <alignment horizontal="center" vertical="center" wrapText="1"/>
      <protection locked="0"/>
    </xf>
    <xf numFmtId="0" fontId="28" fillId="5" borderId="157" xfId="0" applyFont="1" applyFill="1" applyBorder="1" applyAlignment="1" applyProtection="1">
      <alignment horizontal="center" vertical="center" wrapText="1"/>
      <protection locked="0"/>
    </xf>
    <xf numFmtId="0" fontId="28" fillId="5" borderId="158" xfId="0" applyFont="1" applyFill="1" applyBorder="1" applyAlignment="1" applyProtection="1">
      <alignment horizontal="center" vertical="center" wrapText="1"/>
      <protection locked="0"/>
    </xf>
    <xf numFmtId="0" fontId="28" fillId="5" borderId="159" xfId="0" applyFont="1" applyFill="1" applyBorder="1" applyAlignment="1" applyProtection="1">
      <alignment horizontal="center" vertical="center" wrapText="1"/>
      <protection locked="0"/>
    </xf>
    <xf numFmtId="0" fontId="36" fillId="5" borderId="1" xfId="0" applyFont="1" applyFill="1" applyBorder="1" applyAlignment="1">
      <alignment vertical="center" wrapText="1"/>
    </xf>
    <xf numFmtId="0" fontId="36" fillId="5" borderId="6" xfId="0" applyFont="1" applyFill="1" applyBorder="1" applyAlignment="1">
      <alignment vertical="center" wrapText="1"/>
    </xf>
    <xf numFmtId="0" fontId="37" fillId="0" borderId="112" xfId="0" applyFont="1" applyBorder="1" applyAlignment="1">
      <alignment horizontal="left" vertical="center" wrapText="1"/>
    </xf>
    <xf numFmtId="0" fontId="37" fillId="0" borderId="113" xfId="0" applyFont="1" applyBorder="1" applyAlignment="1">
      <alignment horizontal="left" vertical="center" wrapText="1"/>
    </xf>
    <xf numFmtId="0" fontId="37" fillId="0" borderId="114" xfId="0" applyFont="1" applyBorder="1" applyAlignment="1">
      <alignment horizontal="left" vertical="center" wrapText="1"/>
    </xf>
    <xf numFmtId="0" fontId="37" fillId="0" borderId="115" xfId="0" applyFont="1" applyBorder="1" applyAlignment="1">
      <alignment horizontal="left" vertical="center" wrapText="1"/>
    </xf>
    <xf numFmtId="0" fontId="37" fillId="0" borderId="102" xfId="0" applyFont="1" applyBorder="1" applyAlignment="1">
      <alignment horizontal="left" vertical="center" wrapText="1"/>
    </xf>
    <xf numFmtId="0" fontId="37" fillId="0" borderId="107" xfId="0" applyFont="1" applyBorder="1" applyAlignment="1">
      <alignment horizontal="left" vertical="center" wrapText="1"/>
    </xf>
    <xf numFmtId="0" fontId="37" fillId="0" borderId="113" xfId="0" applyFont="1" applyBorder="1" applyAlignment="1">
      <alignment vertical="center" wrapText="1"/>
    </xf>
    <xf numFmtId="0" fontId="36" fillId="0" borderId="113" xfId="0" applyFont="1" applyBorder="1" applyAlignment="1">
      <alignment horizontal="left" vertical="center" wrapText="1"/>
    </xf>
    <xf numFmtId="0" fontId="36" fillId="0" borderId="107" xfId="0" applyFont="1" applyBorder="1" applyAlignment="1">
      <alignment horizontal="left" vertical="center" wrapText="1"/>
    </xf>
    <xf numFmtId="0" fontId="37" fillId="0" borderId="83" xfId="0" applyFont="1" applyBorder="1" applyAlignment="1">
      <alignment vertical="center" wrapText="1"/>
    </xf>
    <xf numFmtId="0" fontId="37" fillId="5" borderId="83" xfId="0" applyFont="1" applyFill="1" applyBorder="1" applyAlignment="1">
      <alignment vertical="center" wrapText="1"/>
    </xf>
    <xf numFmtId="0" fontId="37" fillId="12" borderId="83" xfId="0" applyFont="1" applyFill="1" applyBorder="1" applyAlignment="1">
      <alignment horizontal="left" vertical="center" wrapText="1"/>
    </xf>
    <xf numFmtId="0" fontId="37" fillId="12" borderId="83" xfId="0" applyFont="1" applyFill="1" applyBorder="1" applyAlignment="1">
      <alignment horizontal="left" wrapText="1"/>
    </xf>
    <xf numFmtId="49" fontId="36" fillId="6" borderId="83" xfId="0" applyNumberFormat="1" applyFont="1" applyFill="1" applyBorder="1" applyAlignment="1">
      <alignment horizontal="left" vertical="center" wrapText="1"/>
    </xf>
    <xf numFmtId="0" fontId="37" fillId="0" borderId="83" xfId="0" applyFont="1" applyFill="1" applyBorder="1" applyAlignment="1">
      <alignment horizontal="left" vertical="center" wrapText="1"/>
    </xf>
    <xf numFmtId="0" fontId="37" fillId="6" borderId="83" xfId="0" applyFont="1" applyFill="1" applyBorder="1" applyAlignment="1">
      <alignment horizontal="left" vertical="center" wrapText="1"/>
    </xf>
    <xf numFmtId="0" fontId="41" fillId="0" borderId="83" xfId="0" applyFont="1" applyBorder="1" applyAlignment="1">
      <alignment horizontal="left" vertical="center" wrapText="1"/>
    </xf>
    <xf numFmtId="0" fontId="37" fillId="13" borderId="83" xfId="0" applyFont="1" applyFill="1" applyBorder="1" applyAlignment="1">
      <alignment horizontal="left" vertical="center" wrapText="1"/>
    </xf>
    <xf numFmtId="0" fontId="36" fillId="3" borderId="83" xfId="0" applyFont="1" applyFill="1" applyBorder="1" applyAlignment="1">
      <alignment horizontal="left" vertical="center" wrapText="1"/>
    </xf>
    <xf numFmtId="0" fontId="38" fillId="5" borderId="0" xfId="0" applyFont="1" applyFill="1" applyAlignment="1">
      <alignment vertical="center" wrapText="1"/>
    </xf>
    <xf numFmtId="0" fontId="68" fillId="5" borderId="140" xfId="0" applyFont="1" applyFill="1" applyBorder="1" applyAlignment="1">
      <alignment horizontal="center" wrapText="1"/>
    </xf>
    <xf numFmtId="0" fontId="68" fillId="5" borderId="0" xfId="0" applyFont="1" applyFill="1" applyAlignment="1">
      <alignment horizontal="center" wrapText="1"/>
    </xf>
    <xf numFmtId="0" fontId="37" fillId="0" borderId="101" xfId="0" applyFont="1" applyBorder="1" applyAlignment="1">
      <alignment horizontal="left" vertical="center" wrapText="1"/>
    </xf>
    <xf numFmtId="0" fontId="37" fillId="0" borderId="106" xfId="0" applyFont="1" applyBorder="1" applyAlignment="1">
      <alignment horizontal="left" vertical="center" wrapText="1"/>
    </xf>
    <xf numFmtId="0" fontId="43" fillId="3" borderId="47" xfId="0" applyFont="1" applyFill="1" applyBorder="1" applyAlignment="1">
      <alignment horizontal="left" vertical="center"/>
    </xf>
    <xf numFmtId="0" fontId="43" fillId="3" borderId="110" xfId="0" applyFont="1" applyFill="1" applyBorder="1" applyAlignment="1">
      <alignment horizontal="left" vertical="center"/>
    </xf>
    <xf numFmtId="0" fontId="43" fillId="3" borderId="111" xfId="0" applyFont="1" applyFill="1" applyBorder="1" applyAlignment="1">
      <alignment horizontal="left" vertical="center"/>
    </xf>
    <xf numFmtId="0" fontId="37" fillId="12" borderId="61" xfId="0" applyFont="1" applyFill="1" applyBorder="1" applyAlignment="1">
      <alignment vertical="center"/>
    </xf>
    <xf numFmtId="0" fontId="37" fillId="12" borderId="62" xfId="0" applyFont="1" applyFill="1" applyBorder="1" applyAlignment="1">
      <alignment vertical="center"/>
    </xf>
    <xf numFmtId="0" fontId="37" fillId="12" borderId="63" xfId="0" applyFont="1" applyFill="1" applyBorder="1" applyAlignment="1">
      <alignment vertical="center"/>
    </xf>
    <xf numFmtId="0" fontId="43" fillId="3" borderId="116" xfId="0" applyFont="1" applyFill="1" applyBorder="1" applyAlignment="1">
      <alignment horizontal="left" vertical="center"/>
    </xf>
    <xf numFmtId="0" fontId="37" fillId="0" borderId="61" xfId="0" applyFont="1" applyBorder="1" applyAlignment="1">
      <alignment horizontal="left" vertical="center" wrapText="1"/>
    </xf>
    <xf numFmtId="0" fontId="37" fillId="0" borderId="62" xfId="0" applyFont="1" applyBorder="1" applyAlignment="1">
      <alignment horizontal="left" vertical="center" wrapText="1"/>
    </xf>
    <xf numFmtId="0" fontId="37" fillId="0" borderId="63" xfId="0" applyFont="1" applyBorder="1" applyAlignment="1">
      <alignment horizontal="left" vertical="center" wrapText="1"/>
    </xf>
    <xf numFmtId="0" fontId="37" fillId="12" borderId="101" xfId="0" applyFont="1" applyFill="1" applyBorder="1" applyAlignment="1">
      <alignment vertical="center"/>
    </xf>
    <xf numFmtId="0" fontId="37" fillId="12" borderId="104" xfId="0" applyFont="1" applyFill="1" applyBorder="1" applyAlignment="1">
      <alignment vertical="center"/>
    </xf>
    <xf numFmtId="0" fontId="37" fillId="12" borderId="106" xfId="0" applyFont="1" applyFill="1" applyBorder="1" applyAlignment="1">
      <alignment vertical="center"/>
    </xf>
    <xf numFmtId="0" fontId="37" fillId="0" borderId="83" xfId="0" applyFont="1" applyBorder="1" applyAlignment="1">
      <alignment horizontal="left" vertical="center" wrapText="1"/>
    </xf>
    <xf numFmtId="0" fontId="43" fillId="3" borderId="83" xfId="0" applyFont="1" applyFill="1" applyBorder="1" applyAlignment="1">
      <alignment horizontal="left" vertical="center"/>
    </xf>
    <xf numFmtId="0" fontId="37" fillId="5" borderId="83" xfId="0" applyFont="1" applyFill="1" applyBorder="1" applyAlignment="1">
      <alignment horizontal="left" vertical="center" wrapText="1"/>
    </xf>
    <xf numFmtId="0" fontId="36" fillId="5" borderId="83" xfId="0" applyFont="1" applyFill="1" applyBorder="1" applyAlignment="1">
      <alignment horizontal="left" vertical="center" wrapText="1"/>
    </xf>
    <xf numFmtId="0" fontId="36" fillId="0" borderId="83" xfId="0" applyFont="1" applyBorder="1" applyAlignment="1">
      <alignment horizontal="left" vertical="center" wrapText="1"/>
    </xf>
    <xf numFmtId="0" fontId="36" fillId="0" borderId="83" xfId="0" applyFont="1" applyFill="1" applyBorder="1" applyAlignment="1">
      <alignment horizontal="left" vertical="center" wrapText="1"/>
    </xf>
    <xf numFmtId="0" fontId="43" fillId="5" borderId="83" xfId="0" applyFont="1" applyFill="1" applyBorder="1" applyAlignment="1">
      <alignment horizontal="left" vertical="center" wrapText="1"/>
    </xf>
    <xf numFmtId="0" fontId="36" fillId="0" borderId="83" xfId="0" applyFont="1" applyBorder="1" applyAlignment="1">
      <alignment horizontal="center" vertical="center" wrapText="1"/>
    </xf>
    <xf numFmtId="0" fontId="36" fillId="5" borderId="3" xfId="0" applyFont="1" applyFill="1" applyBorder="1" applyAlignment="1">
      <alignment horizontal="center"/>
    </xf>
    <xf numFmtId="0" fontId="36" fillId="5" borderId="4" xfId="0" applyFont="1" applyFill="1" applyBorder="1" applyAlignment="1">
      <alignment horizontal="center"/>
    </xf>
    <xf numFmtId="0" fontId="37" fillId="0" borderId="83" xfId="0" applyFont="1" applyBorder="1" applyAlignment="1">
      <alignment horizontal="center" vertical="center" wrapText="1"/>
    </xf>
    <xf numFmtId="0" fontId="26" fillId="12" borderId="68" xfId="0" applyFont="1" applyFill="1" applyBorder="1" applyAlignment="1">
      <alignment vertical="top" wrapText="1"/>
    </xf>
    <xf numFmtId="0" fontId="26" fillId="12" borderId="62" xfId="0" applyFont="1" applyFill="1" applyBorder="1" applyAlignment="1">
      <alignment vertical="top" wrapText="1"/>
    </xf>
    <xf numFmtId="0" fontId="26" fillId="12" borderId="63" xfId="0" applyFont="1" applyFill="1" applyBorder="1" applyAlignment="1">
      <alignment vertical="top" wrapText="1"/>
    </xf>
    <xf numFmtId="0" fontId="26" fillId="12" borderId="61" xfId="0" applyFont="1" applyFill="1" applyBorder="1" applyAlignment="1">
      <alignment vertical="top" wrapText="1"/>
    </xf>
    <xf numFmtId="0" fontId="69" fillId="2" borderId="64" xfId="0" applyFont="1" applyFill="1" applyBorder="1" applyAlignment="1">
      <alignment horizontal="center" vertical="center" wrapText="1"/>
    </xf>
    <xf numFmtId="0" fontId="69" fillId="2" borderId="52" xfId="0" applyFont="1" applyFill="1" applyBorder="1" applyAlignment="1">
      <alignment horizontal="center" vertical="center" wrapText="1"/>
    </xf>
    <xf numFmtId="0" fontId="69" fillId="2" borderId="65" xfId="0" applyFont="1" applyFill="1" applyBorder="1" applyAlignment="1">
      <alignment horizontal="center" vertical="center" wrapText="1"/>
    </xf>
    <xf numFmtId="0" fontId="17" fillId="8" borderId="59" xfId="0" applyFont="1" applyFill="1" applyBorder="1" applyAlignment="1">
      <alignment horizontal="center" vertical="center" wrapText="1"/>
    </xf>
    <xf numFmtId="0" fontId="17" fillId="8" borderId="51" xfId="0" applyFont="1" applyFill="1" applyBorder="1" applyAlignment="1">
      <alignment horizontal="center" vertical="center" wrapText="1"/>
    </xf>
    <xf numFmtId="0" fontId="17" fillId="8" borderId="87" xfId="0" applyFont="1" applyFill="1" applyBorder="1" applyAlignment="1">
      <alignment horizontal="center" vertical="center" wrapText="1"/>
    </xf>
    <xf numFmtId="0" fontId="15" fillId="3" borderId="17" xfId="0" applyFont="1" applyFill="1" applyBorder="1" applyAlignment="1">
      <alignment horizontal="left" vertical="center"/>
    </xf>
    <xf numFmtId="0" fontId="15" fillId="3" borderId="7" xfId="0" applyFont="1" applyFill="1" applyBorder="1" applyAlignment="1">
      <alignment horizontal="left" vertical="center"/>
    </xf>
    <xf numFmtId="0" fontId="15" fillId="3" borderId="33" xfId="0" applyFont="1" applyFill="1" applyBorder="1" applyAlignment="1">
      <alignment horizontal="left" vertical="center"/>
    </xf>
    <xf numFmtId="0" fontId="61" fillId="5" borderId="24" xfId="0" applyFont="1" applyFill="1" applyBorder="1" applyAlignment="1">
      <alignment vertical="top" wrapText="1"/>
    </xf>
    <xf numFmtId="0" fontId="61" fillId="5" borderId="25" xfId="0" applyFont="1" applyFill="1" applyBorder="1" applyAlignment="1">
      <alignment vertical="top" wrapText="1"/>
    </xf>
    <xf numFmtId="0" fontId="61" fillId="5" borderId="26" xfId="0" applyFont="1" applyFill="1" applyBorder="1" applyAlignment="1">
      <alignment vertical="top" wrapText="1"/>
    </xf>
    <xf numFmtId="0" fontId="26" fillId="0" borderId="24" xfId="0" applyFont="1" applyBorder="1" applyAlignment="1">
      <alignment vertical="top" wrapText="1"/>
    </xf>
    <xf numFmtId="0" fontId="26" fillId="0" borderId="25" xfId="0" applyFont="1" applyBorder="1" applyAlignment="1">
      <alignment vertical="top" wrapText="1"/>
    </xf>
    <xf numFmtId="0" fontId="26" fillId="0" borderId="26" xfId="0" applyFont="1" applyBorder="1" applyAlignment="1">
      <alignment vertical="top" wrapText="1"/>
    </xf>
    <xf numFmtId="0" fontId="26" fillId="0" borderId="24" xfId="0" applyFont="1" applyBorder="1" applyAlignment="1">
      <alignment horizontal="center" vertical="top" wrapText="1"/>
    </xf>
    <xf numFmtId="0" fontId="26" fillId="0" borderId="26" xfId="0" applyFont="1" applyBorder="1" applyAlignment="1">
      <alignment horizontal="center" vertical="top" wrapText="1"/>
    </xf>
    <xf numFmtId="0" fontId="26" fillId="0" borderId="28" xfId="0" applyFont="1" applyBorder="1" applyAlignment="1">
      <alignment vertical="top" wrapText="1"/>
    </xf>
    <xf numFmtId="0" fontId="26" fillId="0" borderId="29" xfId="0" applyFont="1" applyBorder="1" applyAlignment="1">
      <alignment vertical="top" wrapText="1"/>
    </xf>
    <xf numFmtId="0" fontId="26" fillId="0" borderId="30" xfId="0" applyFont="1" applyBorder="1" applyAlignment="1">
      <alignment vertical="top" wrapText="1"/>
    </xf>
    <xf numFmtId="0" fontId="26" fillId="5" borderId="24" xfId="0" applyFont="1" applyFill="1" applyBorder="1" applyAlignment="1">
      <alignment vertical="top" wrapText="1"/>
    </xf>
    <xf numFmtId="0" fontId="26" fillId="5" borderId="25" xfId="0" applyFont="1" applyFill="1" applyBorder="1" applyAlignment="1">
      <alignment vertical="top" wrapText="1"/>
    </xf>
    <xf numFmtId="0" fontId="26" fillId="5" borderId="26" xfId="0" applyFont="1" applyFill="1" applyBorder="1" applyAlignment="1">
      <alignment vertical="top" wrapText="1"/>
    </xf>
    <xf numFmtId="0" fontId="4" fillId="8" borderId="45" xfId="0" applyFont="1" applyFill="1" applyBorder="1" applyAlignment="1">
      <alignment horizontal="center" vertical="center"/>
    </xf>
    <xf numFmtId="0" fontId="4" fillId="8" borderId="30" xfId="0" applyFont="1" applyFill="1" applyBorder="1" applyAlignment="1">
      <alignment horizontal="center" vertical="center"/>
    </xf>
    <xf numFmtId="0" fontId="15" fillId="3" borderId="18" xfId="0" applyFont="1" applyFill="1" applyBorder="1" applyAlignment="1">
      <alignment horizontal="left" vertical="center"/>
    </xf>
    <xf numFmtId="0" fontId="15" fillId="3" borderId="19" xfId="0" applyFont="1" applyFill="1" applyBorder="1" applyAlignment="1">
      <alignment horizontal="left" vertical="center"/>
    </xf>
    <xf numFmtId="0" fontId="15" fillId="3" borderId="56" xfId="0" applyFont="1" applyFill="1" applyBorder="1" applyAlignment="1">
      <alignment horizontal="left" vertical="center"/>
    </xf>
    <xf numFmtId="0" fontId="4" fillId="8" borderId="44" xfId="0" applyFont="1" applyFill="1" applyBorder="1" applyAlignment="1">
      <alignment horizontal="center" vertical="center"/>
    </xf>
    <xf numFmtId="0" fontId="4" fillId="8" borderId="23" xfId="0" applyFont="1" applyFill="1" applyBorder="1" applyAlignment="1">
      <alignment horizontal="center" vertical="center"/>
    </xf>
    <xf numFmtId="0" fontId="24" fillId="7" borderId="24" xfId="0" applyFont="1" applyFill="1" applyBorder="1" applyAlignment="1">
      <alignment horizontal="center" vertical="center" wrapText="1"/>
    </xf>
    <xf numFmtId="0" fontId="24" fillId="7" borderId="26" xfId="0" applyFont="1" applyFill="1" applyBorder="1" applyAlignment="1">
      <alignment horizontal="center" vertical="center" wrapText="1"/>
    </xf>
    <xf numFmtId="0" fontId="24" fillId="7" borderId="41" xfId="0" applyFont="1" applyFill="1" applyBorder="1" applyAlignment="1">
      <alignment horizontal="center" vertical="center" wrapText="1"/>
    </xf>
    <xf numFmtId="0" fontId="60" fillId="5" borderId="24" xfId="0" applyFont="1" applyFill="1" applyBorder="1" applyAlignment="1">
      <alignment vertical="top" wrapText="1"/>
    </xf>
    <xf numFmtId="0" fontId="60" fillId="5" borderId="26" xfId="0" applyFont="1" applyFill="1" applyBorder="1" applyAlignment="1">
      <alignment vertical="top" wrapText="1"/>
    </xf>
    <xf numFmtId="0" fontId="32" fillId="2" borderId="24" xfId="0" applyFont="1" applyFill="1" applyBorder="1" applyAlignment="1">
      <alignment vertical="top" wrapText="1"/>
    </xf>
    <xf numFmtId="0" fontId="32" fillId="2" borderId="26" xfId="0" applyFont="1" applyFill="1" applyBorder="1" applyAlignment="1">
      <alignment vertical="top" wrapText="1"/>
    </xf>
    <xf numFmtId="0" fontId="18" fillId="2" borderId="28" xfId="0" applyFont="1" applyFill="1" applyBorder="1" applyAlignment="1">
      <alignment horizontal="left" vertical="center" wrapText="1"/>
    </xf>
    <xf numFmtId="0" fontId="18" fillId="2" borderId="30" xfId="0" applyFont="1" applyFill="1" applyBorder="1" applyAlignment="1">
      <alignment horizontal="left" vertical="center" wrapText="1"/>
    </xf>
    <xf numFmtId="0" fontId="32" fillId="2" borderId="42" xfId="0" applyFont="1" applyFill="1" applyBorder="1" applyAlignment="1">
      <alignment vertical="top" wrapText="1"/>
    </xf>
    <xf numFmtId="0" fontId="60" fillId="5" borderId="42" xfId="0" applyFont="1" applyFill="1" applyBorder="1" applyAlignment="1">
      <alignment vertical="top" wrapText="1"/>
    </xf>
    <xf numFmtId="0" fontId="4" fillId="4" borderId="10" xfId="0" applyFont="1" applyFill="1" applyBorder="1" applyAlignment="1">
      <alignment horizontal="center" vertical="center" wrapText="1"/>
    </xf>
    <xf numFmtId="0" fontId="4" fillId="4" borderId="9" xfId="0" applyFont="1" applyFill="1" applyBorder="1" applyAlignment="1">
      <alignment horizontal="center" vertical="center" wrapText="1"/>
    </xf>
    <xf numFmtId="0" fontId="5" fillId="10" borderId="45" xfId="0" applyFont="1" applyFill="1" applyBorder="1" applyAlignment="1">
      <alignment horizontal="left" vertical="top" wrapText="1"/>
    </xf>
    <xf numFmtId="0" fontId="5" fillId="10" borderId="29" xfId="0" applyFont="1" applyFill="1" applyBorder="1" applyAlignment="1">
      <alignment horizontal="left" vertical="top" wrapText="1"/>
    </xf>
    <xf numFmtId="0" fontId="5" fillId="10" borderId="55" xfId="0" applyFont="1" applyFill="1" applyBorder="1" applyAlignment="1">
      <alignment horizontal="left" vertical="top" wrapText="1"/>
    </xf>
    <xf numFmtId="0" fontId="47" fillId="2" borderId="41" xfId="0" applyFont="1" applyFill="1" applyBorder="1" applyAlignment="1">
      <alignment horizontal="left" vertical="top" wrapText="1"/>
    </xf>
    <xf numFmtId="0" fontId="47" fillId="2" borderId="25" xfId="0" applyFont="1" applyFill="1" applyBorder="1" applyAlignment="1">
      <alignment horizontal="left" vertical="top" wrapText="1"/>
    </xf>
    <xf numFmtId="0" fontId="47" fillId="2" borderId="42" xfId="0" applyFont="1" applyFill="1" applyBorder="1" applyAlignment="1">
      <alignment horizontal="left" vertical="top" wrapText="1"/>
    </xf>
    <xf numFmtId="49" fontId="7" fillId="4" borderId="12" xfId="1" applyNumberFormat="1" applyFont="1" applyFill="1" applyBorder="1" applyAlignment="1">
      <alignment horizontal="center" vertical="center"/>
    </xf>
    <xf numFmtId="49" fontId="7" fillId="4" borderId="31" xfId="1" applyNumberFormat="1" applyFont="1" applyFill="1" applyBorder="1" applyAlignment="1">
      <alignment horizontal="center" vertical="center"/>
    </xf>
    <xf numFmtId="0" fontId="32" fillId="0" borderId="24" xfId="0" applyFont="1" applyBorder="1" applyAlignment="1">
      <alignment horizontal="left" vertical="top" wrapText="1"/>
    </xf>
    <xf numFmtId="0" fontId="32" fillId="0" borderId="25" xfId="0" applyFont="1" applyBorder="1" applyAlignment="1">
      <alignment horizontal="left" vertical="top" wrapText="1"/>
    </xf>
    <xf numFmtId="0" fontId="32" fillId="0" borderId="42" xfId="0" applyFont="1" applyBorder="1" applyAlignment="1">
      <alignment horizontal="left" vertical="top" wrapText="1"/>
    </xf>
    <xf numFmtId="0" fontId="32" fillId="5" borderId="24" xfId="0" applyFont="1" applyFill="1" applyBorder="1" applyAlignment="1">
      <alignment vertical="top" wrapText="1"/>
    </xf>
    <xf numFmtId="0" fontId="32" fillId="5" borderId="25" xfId="0" applyFont="1" applyFill="1" applyBorder="1" applyAlignment="1">
      <alignment vertical="top" wrapText="1"/>
    </xf>
    <xf numFmtId="0" fontId="32" fillId="5" borderId="26" xfId="0" applyFont="1" applyFill="1" applyBorder="1" applyAlignment="1">
      <alignment vertical="top" wrapText="1"/>
    </xf>
    <xf numFmtId="0" fontId="32" fillId="5" borderId="42" xfId="0" applyFont="1" applyFill="1" applyBorder="1" applyAlignment="1">
      <alignment vertical="top" wrapText="1"/>
    </xf>
    <xf numFmtId="0" fontId="18" fillId="2" borderId="24" xfId="0" applyFont="1" applyFill="1" applyBorder="1" applyAlignment="1">
      <alignment horizontal="left" vertical="center" wrapText="1"/>
    </xf>
    <xf numFmtId="0" fontId="18" fillId="2" borderId="26" xfId="0" applyFont="1" applyFill="1" applyBorder="1" applyAlignment="1">
      <alignment horizontal="left" vertical="center" wrapText="1"/>
    </xf>
    <xf numFmtId="0" fontId="32" fillId="0" borderId="41" xfId="0" applyFont="1" applyBorder="1" applyAlignment="1">
      <alignment vertical="top" wrapText="1"/>
    </xf>
    <xf numFmtId="0" fontId="32" fillId="0" borderId="25" xfId="0" applyFont="1" applyBorder="1" applyAlignment="1">
      <alignment vertical="top" wrapText="1"/>
    </xf>
    <xf numFmtId="0" fontId="32" fillId="0" borderId="26" xfId="0" applyFont="1" applyBorder="1" applyAlignment="1">
      <alignment vertical="top" wrapText="1"/>
    </xf>
    <xf numFmtId="0" fontId="32" fillId="0" borderId="24" xfId="0" applyFont="1" applyBorder="1" applyAlignment="1">
      <alignment vertical="top" wrapText="1"/>
    </xf>
    <xf numFmtId="0" fontId="29" fillId="2" borderId="42" xfId="0" applyFont="1" applyFill="1" applyBorder="1" applyAlignment="1">
      <alignment horizontal="center" vertical="top" wrapText="1"/>
    </xf>
    <xf numFmtId="0" fontId="29" fillId="2" borderId="52" xfId="0" applyFont="1" applyFill="1" applyBorder="1" applyAlignment="1">
      <alignment horizontal="center" vertical="top" wrapText="1"/>
    </xf>
    <xf numFmtId="0" fontId="29" fillId="2" borderId="65" xfId="0" applyFont="1" applyFill="1" applyBorder="1" applyAlignment="1">
      <alignment horizontal="center" vertical="top" wrapText="1"/>
    </xf>
    <xf numFmtId="0" fontId="5" fillId="10" borderId="55" xfId="0" applyFont="1" applyFill="1" applyBorder="1" applyAlignment="1">
      <alignment horizontal="center" vertical="top" wrapText="1"/>
    </xf>
    <xf numFmtId="0" fontId="5" fillId="10" borderId="51" xfId="0" applyFont="1" applyFill="1" applyBorder="1" applyAlignment="1">
      <alignment horizontal="center" vertical="top" wrapText="1"/>
    </xf>
    <xf numFmtId="0" fontId="5" fillId="10" borderId="87" xfId="0" applyFont="1" applyFill="1" applyBorder="1" applyAlignment="1">
      <alignment horizontal="center" vertical="top" wrapText="1"/>
    </xf>
    <xf numFmtId="0" fontId="32" fillId="0" borderId="42" xfId="0" applyFont="1" applyBorder="1" applyAlignment="1">
      <alignment vertical="top" wrapText="1"/>
    </xf>
    <xf numFmtId="0" fontId="4" fillId="8" borderId="38" xfId="0" applyFont="1" applyFill="1" applyBorder="1" applyAlignment="1">
      <alignment horizontal="center" vertical="center"/>
    </xf>
    <xf numFmtId="0" fontId="4" fillId="8" borderId="32" xfId="0" applyFont="1" applyFill="1" applyBorder="1" applyAlignment="1">
      <alignment horizontal="center" vertical="center"/>
    </xf>
    <xf numFmtId="0" fontId="32" fillId="5" borderId="41" xfId="0" applyFont="1" applyFill="1" applyBorder="1" applyAlignment="1">
      <alignment vertical="top" wrapText="1"/>
    </xf>
    <xf numFmtId="0" fontId="26" fillId="5" borderId="41" xfId="0" applyFont="1" applyFill="1" applyBorder="1" applyAlignment="1">
      <alignment horizontal="left" vertical="top" wrapText="1"/>
    </xf>
    <xf numFmtId="0" fontId="26" fillId="5" borderId="25" xfId="0" applyFont="1" applyFill="1" applyBorder="1" applyAlignment="1">
      <alignment horizontal="left" vertical="top" wrapText="1"/>
    </xf>
    <xf numFmtId="0" fontId="26" fillId="5" borderId="26" xfId="0" applyFont="1" applyFill="1" applyBorder="1" applyAlignment="1">
      <alignment horizontal="left" vertical="top" wrapText="1"/>
    </xf>
    <xf numFmtId="0" fontId="4" fillId="8" borderId="28" xfId="0" applyFont="1" applyFill="1" applyBorder="1" applyAlignment="1">
      <alignment horizontal="center" vertical="center"/>
    </xf>
    <xf numFmtId="0" fontId="5" fillId="10" borderId="59" xfId="0" applyFont="1" applyFill="1" applyBorder="1" applyAlignment="1">
      <alignment horizontal="left" vertical="top" wrapText="1"/>
    </xf>
    <xf numFmtId="0" fontId="5" fillId="10" borderId="51" xfId="0" applyFont="1" applyFill="1" applyBorder="1" applyAlignment="1">
      <alignment horizontal="left" vertical="top" wrapText="1"/>
    </xf>
    <xf numFmtId="0" fontId="5" fillId="10" borderId="87" xfId="0" applyFont="1" applyFill="1" applyBorder="1" applyAlignment="1">
      <alignment horizontal="left" vertical="top" wrapText="1"/>
    </xf>
    <xf numFmtId="0" fontId="5" fillId="2" borderId="23" xfId="0" applyFont="1" applyFill="1" applyBorder="1" applyAlignment="1">
      <alignment horizontal="left" vertical="top"/>
    </xf>
    <xf numFmtId="0" fontId="4" fillId="7" borderId="21" xfId="0" applyFont="1" applyFill="1" applyBorder="1" applyAlignment="1">
      <alignment horizontal="center" vertical="center"/>
    </xf>
    <xf numFmtId="0" fontId="4" fillId="7" borderId="22" xfId="0" applyFont="1" applyFill="1" applyBorder="1" applyAlignment="1">
      <alignment horizontal="center" vertical="center"/>
    </xf>
    <xf numFmtId="0" fontId="4" fillId="7" borderId="12" xfId="0" applyFont="1" applyFill="1" applyBorder="1" applyAlignment="1">
      <alignment horizontal="center" vertical="center"/>
    </xf>
    <xf numFmtId="0" fontId="4" fillId="7" borderId="15" xfId="0" applyFont="1" applyFill="1" applyBorder="1" applyAlignment="1">
      <alignment horizontal="center" vertical="center"/>
    </xf>
    <xf numFmtId="0" fontId="24" fillId="10" borderId="45" xfId="0" applyFont="1" applyFill="1" applyBorder="1" applyAlignment="1">
      <alignment horizontal="left" vertical="top" wrapText="1"/>
    </xf>
    <xf numFmtId="0" fontId="24" fillId="10" borderId="29" xfId="0" applyFont="1" applyFill="1" applyBorder="1" applyAlignment="1">
      <alignment horizontal="left" vertical="top" wrapText="1"/>
    </xf>
    <xf numFmtId="0" fontId="24" fillId="10" borderId="55" xfId="0" applyFont="1" applyFill="1" applyBorder="1" applyAlignment="1">
      <alignment horizontal="left" vertical="top" wrapText="1"/>
    </xf>
    <xf numFmtId="0" fontId="46" fillId="2" borderId="24" xfId="0" applyFont="1" applyFill="1" applyBorder="1" applyAlignment="1">
      <alignment horizontal="left" vertical="top" wrapText="1"/>
    </xf>
    <xf numFmtId="0" fontId="46" fillId="2" borderId="25" xfId="0" applyFont="1" applyFill="1" applyBorder="1" applyAlignment="1">
      <alignment horizontal="left" vertical="top" wrapText="1"/>
    </xf>
    <xf numFmtId="0" fontId="46" fillId="2" borderId="42" xfId="0" applyFont="1" applyFill="1" applyBorder="1" applyAlignment="1">
      <alignment horizontal="left" vertical="top" wrapText="1"/>
    </xf>
    <xf numFmtId="0" fontId="4" fillId="2" borderId="23" xfId="0" applyFont="1" applyFill="1" applyBorder="1" applyAlignment="1">
      <alignment horizontal="left" vertical="top"/>
    </xf>
    <xf numFmtId="49" fontId="7" fillId="4" borderId="10" xfId="1" applyNumberFormat="1" applyFont="1" applyFill="1" applyBorder="1" applyAlignment="1">
      <alignment horizontal="center" vertical="center"/>
    </xf>
    <xf numFmtId="0" fontId="12" fillId="2" borderId="10" xfId="0" applyFont="1" applyFill="1" applyBorder="1" applyAlignment="1">
      <alignment horizontal="center" vertical="center" wrapText="1"/>
    </xf>
    <xf numFmtId="0" fontId="12" fillId="2" borderId="9"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18" fillId="0" borderId="48" xfId="0" applyFont="1" applyBorder="1" applyAlignment="1">
      <alignment horizontal="center" vertical="center" wrapText="1"/>
    </xf>
    <xf numFmtId="0" fontId="18" fillId="0" borderId="49" xfId="0" applyFont="1" applyBorder="1" applyAlignment="1">
      <alignment horizontal="center" vertical="center" wrapText="1"/>
    </xf>
    <xf numFmtId="0" fontId="4" fillId="2" borderId="44" xfId="0" applyFont="1" applyFill="1" applyBorder="1" applyAlignment="1">
      <alignment horizontal="left" vertical="top"/>
    </xf>
    <xf numFmtId="0" fontId="24" fillId="10" borderId="28" xfId="0" applyFont="1" applyFill="1" applyBorder="1" applyAlignment="1">
      <alignment horizontal="left" vertical="top" wrapText="1"/>
    </xf>
    <xf numFmtId="0" fontId="4" fillId="8" borderId="21" xfId="0" applyFont="1" applyFill="1" applyBorder="1" applyAlignment="1">
      <alignment horizontal="center" vertical="center"/>
    </xf>
    <xf numFmtId="0" fontId="4" fillId="8" borderId="46" xfId="0" applyFont="1" applyFill="1" applyBorder="1" applyAlignment="1">
      <alignment horizontal="center" vertical="center"/>
    </xf>
    <xf numFmtId="0" fontId="15" fillId="3" borderId="76" xfId="0" applyFont="1" applyFill="1" applyBorder="1" applyAlignment="1">
      <alignment horizontal="left" vertical="center"/>
    </xf>
    <xf numFmtId="0" fontId="15" fillId="3" borderId="67" xfId="0" applyFont="1" applyFill="1" applyBorder="1" applyAlignment="1">
      <alignment horizontal="left" vertical="center"/>
    </xf>
    <xf numFmtId="0" fontId="46" fillId="2" borderId="41" xfId="0" applyFont="1" applyFill="1" applyBorder="1" applyAlignment="1">
      <alignment horizontal="left" vertical="top" wrapText="1"/>
    </xf>
    <xf numFmtId="0" fontId="32" fillId="6" borderId="24" xfId="0" applyFont="1" applyFill="1" applyBorder="1" applyAlignment="1">
      <alignment vertical="top" wrapText="1"/>
    </xf>
    <xf numFmtId="0" fontId="32" fillId="6" borderId="42" xfId="0" applyFont="1" applyFill="1" applyBorder="1" applyAlignment="1">
      <alignment vertical="top" wrapText="1"/>
    </xf>
    <xf numFmtId="0" fontId="23" fillId="9" borderId="50" xfId="0" applyFont="1" applyFill="1" applyBorder="1" applyAlignment="1">
      <alignment horizontal="center" vertical="center" wrapText="1"/>
    </xf>
    <xf numFmtId="0" fontId="23" fillId="9" borderId="48" xfId="0" applyFont="1" applyFill="1" applyBorder="1" applyAlignment="1">
      <alignment horizontal="center" vertical="center" wrapText="1"/>
    </xf>
    <xf numFmtId="0" fontId="4" fillId="0" borderId="0" xfId="0" applyFont="1" applyAlignment="1">
      <alignment horizontal="center" wrapText="1"/>
    </xf>
    <xf numFmtId="0" fontId="26" fillId="0" borderId="41" xfId="0" applyFont="1" applyBorder="1" applyAlignment="1">
      <alignment vertical="top" wrapText="1"/>
    </xf>
    <xf numFmtId="0" fontId="4" fillId="4" borderId="24" xfId="0" applyFont="1" applyFill="1" applyBorder="1" applyAlignment="1">
      <alignment horizontal="center" vertical="center"/>
    </xf>
    <xf numFmtId="0" fontId="4" fillId="4" borderId="26" xfId="0" applyFont="1" applyFill="1" applyBorder="1" applyAlignment="1">
      <alignment horizontal="center" vertical="center"/>
    </xf>
    <xf numFmtId="0" fontId="4" fillId="7" borderId="46" xfId="0" applyFont="1" applyFill="1" applyBorder="1" applyAlignment="1">
      <alignment horizontal="center" vertical="center"/>
    </xf>
    <xf numFmtId="0" fontId="4" fillId="4" borderId="10" xfId="0" applyFont="1" applyFill="1" applyBorder="1" applyAlignment="1">
      <alignment horizontal="center" wrapText="1"/>
    </xf>
    <xf numFmtId="0" fontId="4" fillId="4" borderId="15" xfId="0" applyFont="1" applyFill="1" applyBorder="1" applyAlignment="1">
      <alignment horizontal="center" wrapText="1"/>
    </xf>
    <xf numFmtId="0" fontId="26" fillId="0" borderId="42" xfId="0" applyFont="1" applyBorder="1" applyAlignment="1">
      <alignment vertical="top" wrapText="1"/>
    </xf>
    <xf numFmtId="0" fontId="4" fillId="4" borderId="42" xfId="0" applyFont="1" applyFill="1" applyBorder="1" applyAlignment="1">
      <alignment horizontal="center" vertical="center"/>
    </xf>
    <xf numFmtId="0" fontId="4" fillId="7" borderId="10" xfId="0" applyFont="1" applyFill="1" applyBorder="1" applyAlignment="1">
      <alignment horizontal="center" vertical="center"/>
    </xf>
    <xf numFmtId="0" fontId="4" fillId="7" borderId="7" xfId="0" applyFont="1" applyFill="1" applyBorder="1" applyAlignment="1">
      <alignment horizontal="center" vertical="center"/>
    </xf>
    <xf numFmtId="0" fontId="26" fillId="0" borderId="64" xfId="0" applyFont="1" applyBorder="1" applyAlignment="1">
      <alignment horizontal="center" vertical="top" wrapText="1"/>
    </xf>
    <xf numFmtId="0" fontId="26" fillId="0" borderId="52" xfId="0" applyFont="1" applyBorder="1" applyAlignment="1">
      <alignment horizontal="center" vertical="top" wrapText="1"/>
    </xf>
    <xf numFmtId="0" fontId="26" fillId="0" borderId="65" xfId="0" applyFont="1" applyBorder="1" applyAlignment="1">
      <alignment horizontal="center" vertical="top" wrapText="1"/>
    </xf>
    <xf numFmtId="0" fontId="18" fillId="6" borderId="50" xfId="0" applyFont="1" applyFill="1" applyBorder="1" applyAlignment="1">
      <alignment horizontal="center" vertical="center"/>
    </xf>
    <xf numFmtId="0" fontId="18" fillId="6" borderId="48" xfId="0" applyFont="1" applyFill="1" applyBorder="1" applyAlignment="1">
      <alignment horizontal="center" vertical="center"/>
    </xf>
    <xf numFmtId="0" fontId="18" fillId="0" borderId="48" xfId="0" applyFont="1" applyBorder="1" applyAlignment="1">
      <alignment horizontal="center" vertical="center"/>
    </xf>
    <xf numFmtId="0" fontId="18" fillId="0" borderId="49" xfId="0" applyFont="1" applyBorder="1" applyAlignment="1">
      <alignment horizontal="center" vertical="center"/>
    </xf>
    <xf numFmtId="0" fontId="15" fillId="3" borderId="60" xfId="0" applyFont="1" applyFill="1" applyBorder="1" applyAlignment="1">
      <alignment horizontal="left" vertical="center"/>
    </xf>
    <xf numFmtId="0" fontId="15" fillId="3" borderId="69" xfId="0" applyFont="1" applyFill="1" applyBorder="1" applyAlignment="1">
      <alignment horizontal="left" vertical="center"/>
    </xf>
    <xf numFmtId="0" fontId="31" fillId="0" borderId="0" xfId="0" applyFont="1" applyBorder="1" applyAlignment="1">
      <alignment horizontal="left" vertical="center" wrapText="1"/>
    </xf>
    <xf numFmtId="0" fontId="31" fillId="0" borderId="6" xfId="0" applyFont="1" applyBorder="1" applyAlignment="1">
      <alignment horizontal="left" vertical="center" wrapText="1"/>
    </xf>
    <xf numFmtId="0" fontId="15" fillId="0" borderId="53" xfId="0" applyFont="1" applyBorder="1" applyAlignment="1">
      <alignment horizontal="center" vertical="center" wrapText="1"/>
    </xf>
    <xf numFmtId="0" fontId="15" fillId="0" borderId="54" xfId="0" applyFont="1" applyBorder="1" applyAlignment="1">
      <alignment horizontal="center" vertical="center" wrapText="1"/>
    </xf>
    <xf numFmtId="0" fontId="32" fillId="0" borderId="26" xfId="0" applyFont="1" applyBorder="1" applyAlignment="1">
      <alignment horizontal="left" vertical="top" wrapText="1"/>
    </xf>
    <xf numFmtId="0" fontId="32" fillId="0" borderId="21" xfId="0" applyFont="1" applyBorder="1" applyAlignment="1">
      <alignment horizontal="left" vertical="top" wrapText="1"/>
    </xf>
    <xf numFmtId="0" fontId="32" fillId="0" borderId="22" xfId="0" applyFont="1" applyBorder="1" applyAlignment="1">
      <alignment horizontal="left" vertical="top" wrapText="1"/>
    </xf>
    <xf numFmtId="0" fontId="32" fillId="0" borderId="27" xfId="0" applyFont="1" applyBorder="1" applyAlignment="1">
      <alignment horizontal="left" vertical="top" wrapText="1"/>
    </xf>
    <xf numFmtId="0" fontId="47" fillId="2" borderId="24" xfId="0" applyFont="1" applyFill="1" applyBorder="1" applyAlignment="1">
      <alignment horizontal="center" vertical="top" wrapText="1"/>
    </xf>
    <xf numFmtId="0" fontId="47" fillId="2" borderId="25" xfId="0" applyFont="1" applyFill="1" applyBorder="1" applyAlignment="1">
      <alignment horizontal="center" vertical="top" wrapText="1"/>
    </xf>
    <xf numFmtId="0" fontId="47" fillId="2" borderId="26" xfId="0" applyFont="1" applyFill="1" applyBorder="1" applyAlignment="1">
      <alignment horizontal="center" vertical="top" wrapText="1"/>
    </xf>
    <xf numFmtId="0" fontId="5" fillId="10" borderId="24" xfId="0" applyFont="1" applyFill="1" applyBorder="1" applyAlignment="1">
      <alignment horizontal="center" vertical="top" wrapText="1"/>
    </xf>
    <xf numFmtId="0" fontId="5" fillId="10" borderId="25" xfId="0" applyFont="1" applyFill="1" applyBorder="1" applyAlignment="1">
      <alignment horizontal="center" vertical="top" wrapText="1"/>
    </xf>
    <xf numFmtId="0" fontId="5" fillId="10" borderId="26" xfId="0" applyFont="1" applyFill="1" applyBorder="1" applyAlignment="1">
      <alignment horizontal="center" vertical="top" wrapText="1"/>
    </xf>
    <xf numFmtId="0" fontId="5" fillId="10" borderId="28" xfId="0" applyFont="1" applyFill="1" applyBorder="1" applyAlignment="1">
      <alignment horizontal="center" vertical="top" wrapText="1"/>
    </xf>
    <xf numFmtId="0" fontId="5" fillId="10" borderId="29" xfId="0" applyFont="1" applyFill="1" applyBorder="1" applyAlignment="1">
      <alignment horizontal="center" vertical="top" wrapText="1"/>
    </xf>
    <xf numFmtId="0" fontId="5" fillId="10" borderId="30" xfId="0" applyFont="1" applyFill="1" applyBorder="1" applyAlignment="1">
      <alignment horizontal="center" vertical="top" wrapText="1"/>
    </xf>
    <xf numFmtId="0" fontId="18" fillId="2" borderId="42" xfId="0" applyFont="1" applyFill="1" applyBorder="1" applyAlignment="1">
      <alignment horizontal="left" vertical="center" wrapText="1"/>
    </xf>
    <xf numFmtId="0" fontId="26" fillId="5" borderId="24" xfId="0" applyFont="1" applyFill="1" applyBorder="1" applyAlignment="1">
      <alignment horizontal="center" vertical="top" wrapText="1"/>
    </xf>
    <xf numFmtId="0" fontId="26" fillId="5" borderId="25" xfId="0" applyFont="1" applyFill="1" applyBorder="1" applyAlignment="1">
      <alignment horizontal="center" vertical="top" wrapText="1"/>
    </xf>
    <xf numFmtId="0" fontId="26" fillId="5" borderId="26" xfId="0" applyFont="1" applyFill="1" applyBorder="1" applyAlignment="1">
      <alignment horizontal="center" vertical="top" wrapText="1"/>
    </xf>
    <xf numFmtId="0" fontId="26" fillId="0" borderId="45" xfId="0" applyFont="1" applyBorder="1" applyAlignment="1">
      <alignment horizontal="left" vertical="top" wrapText="1"/>
    </xf>
    <xf numFmtId="0" fontId="26" fillId="0" borderId="30" xfId="0" applyFont="1" applyBorder="1" applyAlignment="1">
      <alignment horizontal="left" vertical="top" wrapText="1"/>
    </xf>
    <xf numFmtId="0" fontId="12" fillId="2" borderId="59" xfId="0" applyFont="1" applyFill="1" applyBorder="1" applyAlignment="1">
      <alignment horizontal="center" vertical="center" wrapText="1"/>
    </xf>
    <xf numFmtId="0" fontId="12" fillId="2" borderId="117" xfId="0" applyFont="1" applyFill="1" applyBorder="1" applyAlignment="1">
      <alignment horizontal="center" vertical="center" wrapText="1"/>
    </xf>
    <xf numFmtId="0" fontId="12" fillId="2" borderId="89" xfId="0" applyFont="1" applyFill="1" applyBorder="1" applyAlignment="1">
      <alignment horizontal="center" vertical="center" wrapText="1"/>
    </xf>
    <xf numFmtId="0" fontId="12" fillId="2" borderId="51"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2" borderId="34" xfId="0" applyFont="1" applyFill="1" applyBorder="1" applyAlignment="1">
      <alignment horizontal="center" vertical="center" wrapText="1"/>
    </xf>
    <xf numFmtId="0" fontId="37" fillId="0" borderId="120" xfId="0" applyFont="1" applyBorder="1" applyAlignment="1">
      <alignment horizontal="left" vertical="top" wrapText="1"/>
    </xf>
    <xf numFmtId="0" fontId="37" fillId="0" borderId="121" xfId="0" applyFont="1" applyBorder="1" applyAlignment="1">
      <alignment horizontal="left" vertical="top" wrapText="1"/>
    </xf>
    <xf numFmtId="0" fontId="37" fillId="0" borderId="122" xfId="0" applyFont="1" applyBorder="1" applyAlignment="1">
      <alignment horizontal="left" vertical="top" wrapText="1"/>
    </xf>
    <xf numFmtId="0" fontId="37" fillId="0" borderId="123" xfId="0" applyFont="1" applyBorder="1" applyAlignment="1">
      <alignment horizontal="left" vertical="top" wrapText="1"/>
    </xf>
    <xf numFmtId="0" fontId="37" fillId="0" borderId="0" xfId="0" applyFont="1" applyBorder="1" applyAlignment="1">
      <alignment horizontal="left" vertical="top" wrapText="1"/>
    </xf>
    <xf numFmtId="0" fontId="37" fillId="0" borderId="124" xfId="0" applyFont="1" applyBorder="1" applyAlignment="1">
      <alignment horizontal="left" vertical="top" wrapText="1"/>
    </xf>
    <xf numFmtId="0" fontId="37" fillId="0" borderId="125" xfId="0" applyFont="1" applyBorder="1" applyAlignment="1">
      <alignment horizontal="left" vertical="top" wrapText="1"/>
    </xf>
    <xf numFmtId="0" fontId="37" fillId="0" borderId="126" xfId="0" applyFont="1" applyBorder="1" applyAlignment="1">
      <alignment horizontal="left" vertical="top" wrapText="1"/>
    </xf>
    <xf numFmtId="0" fontId="37" fillId="0" borderId="127" xfId="0" applyFont="1" applyBorder="1" applyAlignment="1">
      <alignment horizontal="left" vertical="top" wrapText="1"/>
    </xf>
    <xf numFmtId="0" fontId="67" fillId="0" borderId="120" xfId="0" applyFont="1" applyBorder="1" applyAlignment="1" applyProtection="1">
      <alignment horizontal="left" vertical="top"/>
      <protection locked="0"/>
    </xf>
    <xf numFmtId="0" fontId="67" fillId="0" borderId="121" xfId="0" applyFont="1" applyBorder="1" applyAlignment="1" applyProtection="1">
      <alignment horizontal="left" vertical="top"/>
      <protection locked="0"/>
    </xf>
    <xf numFmtId="0" fontId="67" fillId="0" borderId="122" xfId="0" applyFont="1" applyBorder="1" applyAlignment="1" applyProtection="1">
      <alignment horizontal="left" vertical="top"/>
      <protection locked="0"/>
    </xf>
    <xf numFmtId="0" fontId="67" fillId="0" borderId="123" xfId="0" applyFont="1" applyBorder="1" applyAlignment="1" applyProtection="1">
      <alignment horizontal="left" vertical="top"/>
      <protection locked="0"/>
    </xf>
    <xf numFmtId="0" fontId="67" fillId="0" borderId="0" xfId="0" applyFont="1" applyBorder="1" applyAlignment="1" applyProtection="1">
      <alignment horizontal="left" vertical="top"/>
      <protection locked="0"/>
    </xf>
    <xf numFmtId="0" fontId="67" fillId="0" borderId="124" xfId="0" applyFont="1" applyBorder="1" applyAlignment="1" applyProtection="1">
      <alignment horizontal="left" vertical="top"/>
      <protection locked="0"/>
    </xf>
    <xf numFmtId="0" fontId="67" fillId="0" borderId="125" xfId="0" applyFont="1" applyBorder="1" applyAlignment="1" applyProtection="1">
      <alignment horizontal="left" vertical="top"/>
      <protection locked="0"/>
    </xf>
    <xf numFmtId="0" fontId="67" fillId="0" borderId="126" xfId="0" applyFont="1" applyBorder="1" applyAlignment="1" applyProtection="1">
      <alignment horizontal="left" vertical="top"/>
      <protection locked="0"/>
    </xf>
    <xf numFmtId="0" fontId="67" fillId="0" borderId="127" xfId="0" applyFont="1" applyBorder="1" applyAlignment="1" applyProtection="1">
      <alignment horizontal="left" vertical="top"/>
      <protection locked="0"/>
    </xf>
    <xf numFmtId="0" fontId="54" fillId="13" borderId="118" xfId="0" applyFont="1" applyFill="1" applyBorder="1" applyAlignment="1">
      <alignment horizontal="center" vertical="top" wrapText="1"/>
    </xf>
    <xf numFmtId="0" fontId="54" fillId="13" borderId="0" xfId="0" applyFont="1" applyFill="1" applyBorder="1" applyAlignment="1">
      <alignment horizontal="center" vertical="top" wrapText="1"/>
    </xf>
    <xf numFmtId="0" fontId="54" fillId="13" borderId="119" xfId="0" applyFont="1" applyFill="1" applyBorder="1" applyAlignment="1">
      <alignment horizontal="center" vertical="top" wrapText="1"/>
    </xf>
    <xf numFmtId="0" fontId="54" fillId="13" borderId="0" xfId="0" applyFont="1" applyFill="1" applyBorder="1" applyAlignment="1">
      <alignment horizontal="left" vertical="top" wrapText="1"/>
    </xf>
    <xf numFmtId="0" fontId="54" fillId="13" borderId="72" xfId="0" applyFont="1" applyFill="1" applyBorder="1" applyAlignment="1">
      <alignment horizontal="left" vertical="top" wrapText="1"/>
    </xf>
    <xf numFmtId="0" fontId="53" fillId="0" borderId="128" xfId="0" applyFont="1" applyBorder="1" applyAlignment="1">
      <alignment horizontal="left" vertical="top" wrapText="1"/>
    </xf>
    <xf numFmtId="0" fontId="53" fillId="0" borderId="129" xfId="0" applyFont="1" applyBorder="1" applyAlignment="1">
      <alignment horizontal="left" vertical="top" wrapText="1"/>
    </xf>
    <xf numFmtId="0" fontId="53" fillId="0" borderId="130" xfId="0" applyFont="1" applyBorder="1" applyAlignment="1">
      <alignment horizontal="left" vertical="top" wrapText="1"/>
    </xf>
    <xf numFmtId="0" fontId="53" fillId="0" borderId="131" xfId="0" applyFont="1" applyBorder="1" applyAlignment="1">
      <alignment horizontal="left" vertical="top" wrapText="1"/>
    </xf>
    <xf numFmtId="0" fontId="53" fillId="0" borderId="0" xfId="0" applyFont="1" applyBorder="1" applyAlignment="1">
      <alignment horizontal="left" vertical="top" wrapText="1"/>
    </xf>
    <xf numFmtId="0" fontId="53" fillId="0" borderId="132" xfId="0" applyFont="1" applyBorder="1" applyAlignment="1">
      <alignment horizontal="left" vertical="top" wrapText="1"/>
    </xf>
    <xf numFmtId="0" fontId="53" fillId="0" borderId="133" xfId="0" applyFont="1" applyBorder="1" applyAlignment="1">
      <alignment horizontal="left" vertical="top" wrapText="1"/>
    </xf>
    <xf numFmtId="0" fontId="53" fillId="0" borderId="134" xfId="0" applyFont="1" applyBorder="1" applyAlignment="1">
      <alignment horizontal="left" vertical="top" wrapText="1"/>
    </xf>
    <xf numFmtId="0" fontId="53" fillId="0" borderId="135" xfId="0" applyFont="1" applyBorder="1" applyAlignment="1">
      <alignment horizontal="left" vertical="top" wrapText="1"/>
    </xf>
    <xf numFmtId="0" fontId="65" fillId="14" borderId="136" xfId="0" applyFont="1" applyFill="1" applyBorder="1" applyAlignment="1">
      <alignment horizontal="center" vertical="center" wrapText="1"/>
    </xf>
    <xf numFmtId="0" fontId="65" fillId="14" borderId="137" xfId="0" applyFont="1" applyFill="1" applyBorder="1" applyAlignment="1">
      <alignment horizontal="center" vertical="center" wrapText="1"/>
    </xf>
    <xf numFmtId="0" fontId="65" fillId="14" borderId="139" xfId="0" applyFont="1" applyFill="1" applyBorder="1" applyAlignment="1">
      <alignment horizontal="center" vertical="center" wrapText="1"/>
    </xf>
    <xf numFmtId="0" fontId="65" fillId="14" borderId="138" xfId="0" applyFont="1" applyFill="1" applyBorder="1" applyAlignment="1">
      <alignment horizontal="center" vertical="center" wrapText="1"/>
    </xf>
    <xf numFmtId="0" fontId="66" fillId="0" borderId="128" xfId="0" applyFont="1" applyBorder="1" applyAlignment="1" applyProtection="1">
      <alignment horizontal="left" vertical="top" wrapText="1"/>
      <protection locked="0"/>
    </xf>
    <xf numFmtId="0" fontId="66" fillId="0" borderId="129" xfId="0" applyFont="1" applyBorder="1" applyAlignment="1" applyProtection="1">
      <alignment horizontal="left" vertical="top" wrapText="1"/>
      <protection locked="0"/>
    </xf>
    <xf numFmtId="0" fontId="66" fillId="0" borderId="130" xfId="0" applyFont="1" applyBorder="1" applyAlignment="1" applyProtection="1">
      <alignment horizontal="left" vertical="top" wrapText="1"/>
      <protection locked="0"/>
    </xf>
    <xf numFmtId="0" fontId="66" fillId="0" borderId="131" xfId="0" applyFont="1" applyBorder="1" applyAlignment="1" applyProtection="1">
      <alignment horizontal="left" vertical="top" wrapText="1"/>
      <protection locked="0"/>
    </xf>
    <xf numFmtId="0" fontId="66" fillId="0" borderId="0" xfId="0" applyFont="1" applyBorder="1" applyAlignment="1" applyProtection="1">
      <alignment horizontal="left" vertical="top" wrapText="1"/>
      <protection locked="0"/>
    </xf>
    <xf numFmtId="0" fontId="66" fillId="0" borderId="132" xfId="0" applyFont="1" applyBorder="1" applyAlignment="1" applyProtection="1">
      <alignment horizontal="left" vertical="top" wrapText="1"/>
      <protection locked="0"/>
    </xf>
    <xf numFmtId="0" fontId="66" fillId="0" borderId="133" xfId="0" applyFont="1" applyBorder="1" applyAlignment="1" applyProtection="1">
      <alignment horizontal="left" vertical="top" wrapText="1"/>
      <protection locked="0"/>
    </xf>
    <xf numFmtId="0" fontId="66" fillId="0" borderId="134" xfId="0" applyFont="1" applyBorder="1" applyAlignment="1" applyProtection="1">
      <alignment horizontal="left" vertical="top" wrapText="1"/>
      <protection locked="0"/>
    </xf>
    <xf numFmtId="0" fontId="66" fillId="0" borderId="135" xfId="0" applyFont="1" applyBorder="1" applyAlignment="1" applyProtection="1">
      <alignment horizontal="left" vertical="top" wrapText="1"/>
      <protection locked="0"/>
    </xf>
    <xf numFmtId="0" fontId="46" fillId="2" borderId="64" xfId="0" applyFont="1" applyFill="1" applyBorder="1" applyAlignment="1">
      <alignment horizontal="center" vertical="top" wrapText="1"/>
    </xf>
    <xf numFmtId="0" fontId="46" fillId="2" borderId="52" xfId="0" applyFont="1" applyFill="1" applyBorder="1" applyAlignment="1">
      <alignment horizontal="center" vertical="top" wrapText="1"/>
    </xf>
    <xf numFmtId="0" fontId="46" fillId="2" borderId="41" xfId="0" applyFont="1" applyFill="1" applyBorder="1" applyAlignment="1">
      <alignment horizontal="center" vertical="top" wrapText="1"/>
    </xf>
    <xf numFmtId="0" fontId="52" fillId="2" borderId="64" xfId="0" applyFont="1" applyFill="1" applyBorder="1" applyAlignment="1">
      <alignment horizontal="center" vertical="top" wrapText="1"/>
    </xf>
    <xf numFmtId="0" fontId="52" fillId="2" borderId="52" xfId="0" applyFont="1" applyFill="1" applyBorder="1" applyAlignment="1">
      <alignment horizontal="center" vertical="top" wrapText="1"/>
    </xf>
    <xf numFmtId="0" fontId="52" fillId="2" borderId="41" xfId="0" applyFont="1" applyFill="1" applyBorder="1" applyAlignment="1">
      <alignment horizontal="center" vertical="top" wrapText="1"/>
    </xf>
    <xf numFmtId="0" fontId="69" fillId="2" borderId="42" xfId="0" applyFont="1" applyFill="1" applyBorder="1" applyAlignment="1">
      <alignment horizontal="center" vertical="top" wrapText="1"/>
    </xf>
    <xf numFmtId="0" fontId="69" fillId="2" borderId="52" xfId="0" applyFont="1" applyFill="1" applyBorder="1" applyAlignment="1">
      <alignment horizontal="center" vertical="top" wrapText="1"/>
    </xf>
    <xf numFmtId="0" fontId="69" fillId="2" borderId="65" xfId="0" applyFont="1" applyFill="1" applyBorder="1" applyAlignment="1">
      <alignment horizontal="center" vertical="top" wrapText="1"/>
    </xf>
    <xf numFmtId="0" fontId="29" fillId="2" borderId="64" xfId="0" applyFont="1" applyFill="1" applyBorder="1" applyAlignment="1">
      <alignment horizontal="center" vertical="top" wrapText="1"/>
    </xf>
    <xf numFmtId="0" fontId="29" fillId="2" borderId="41" xfId="0" applyFont="1" applyFill="1" applyBorder="1" applyAlignment="1">
      <alignment horizontal="center" vertical="top" wrapText="1"/>
    </xf>
    <xf numFmtId="0" fontId="5" fillId="10" borderId="59" xfId="0" applyFont="1" applyFill="1" applyBorder="1" applyAlignment="1">
      <alignment horizontal="center" vertical="top" wrapText="1"/>
    </xf>
    <xf numFmtId="0" fontId="5" fillId="10" borderId="45" xfId="0" applyFont="1" applyFill="1" applyBorder="1" applyAlignment="1">
      <alignment horizontal="center" vertical="top" wrapText="1"/>
    </xf>
    <xf numFmtId="0" fontId="47" fillId="2" borderId="64" xfId="0" applyFont="1" applyFill="1" applyBorder="1" applyAlignment="1">
      <alignment horizontal="center" vertical="top" wrapText="1"/>
    </xf>
    <xf numFmtId="0" fontId="47" fillId="2" borderId="52" xfId="0" applyFont="1" applyFill="1" applyBorder="1" applyAlignment="1">
      <alignment horizontal="center" vertical="top" wrapText="1"/>
    </xf>
    <xf numFmtId="0" fontId="47" fillId="2" borderId="41" xfId="0" applyFont="1" applyFill="1" applyBorder="1" applyAlignment="1">
      <alignment horizontal="center" vertical="top" wrapText="1"/>
    </xf>
    <xf numFmtId="0" fontId="47" fillId="2" borderId="42" xfId="0" applyFont="1" applyFill="1" applyBorder="1" applyAlignment="1">
      <alignment horizontal="center" vertical="top" wrapText="1"/>
    </xf>
    <xf numFmtId="0" fontId="47" fillId="2" borderId="65" xfId="0" applyFont="1" applyFill="1" applyBorder="1" applyAlignment="1">
      <alignment horizontal="center" vertical="top" wrapText="1"/>
    </xf>
    <xf numFmtId="0" fontId="26" fillId="5" borderId="42" xfId="0" applyFont="1" applyFill="1" applyBorder="1" applyAlignment="1">
      <alignment vertical="top" wrapText="1"/>
    </xf>
    <xf numFmtId="0" fontId="32" fillId="5" borderId="24" xfId="0" applyFont="1" applyFill="1" applyBorder="1" applyAlignment="1">
      <alignment horizontal="left" vertical="center" wrapText="1"/>
    </xf>
    <xf numFmtId="0" fontId="32" fillId="5" borderId="65" xfId="0" applyFont="1" applyFill="1" applyBorder="1" applyAlignment="1">
      <alignment horizontal="left" vertical="center" wrapText="1"/>
    </xf>
  </cellXfs>
  <cellStyles count="3">
    <cellStyle name="Neutral" xfId="2" builtinId="28"/>
    <cellStyle name="Normal" xfId="0" builtinId="0"/>
    <cellStyle name="Normal 3" xfId="1" xr:uid="{931A1C79-423E-4C1D-A52E-ECC68AACDB72}"/>
  </cellStyles>
  <dxfs count="918">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color theme="1"/>
      </font>
      <fill>
        <patternFill>
          <bgColor rgb="FFFFFF00"/>
        </patternFill>
      </fill>
    </dxf>
    <dxf>
      <font>
        <color theme="0"/>
      </font>
      <fill>
        <patternFill>
          <bgColor rgb="FFFF0000"/>
        </patternFill>
      </fill>
    </dxf>
    <dxf>
      <font>
        <b/>
        <i val="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dxf>
    <dxf>
      <font>
        <color theme="0"/>
      </font>
      <fill>
        <patternFill>
          <bgColor rgb="FFFF0000"/>
        </patternFill>
      </fill>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AD82AD95-1030-4F11-9231-CBE77875848A}">
      <tableStyleElement type="wholeTable" dxfId="917"/>
      <tableStyleElement type="headerRow" dxfId="91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3A049-50D5-45C5-90FE-2DFC491C2753}">
  <sheetPr>
    <pageSetUpPr fitToPage="1"/>
  </sheetPr>
  <dimension ref="A1:AI293"/>
  <sheetViews>
    <sheetView showGridLines="0" showWhiteSpace="0" zoomScale="55" zoomScaleNormal="55" zoomScalePageLayoutView="30" workbookViewId="0">
      <pane xSplit="4" ySplit="2" topLeftCell="E244" activePane="bottomRight" state="frozen"/>
      <selection pane="topRight" activeCell="D1" sqref="D1"/>
      <selection pane="bottomLeft" activeCell="A3" sqref="A3"/>
      <selection pane="bottomRight" activeCell="C265" sqref="C265"/>
    </sheetView>
  </sheetViews>
  <sheetFormatPr defaultColWidth="9" defaultRowHeight="36.9" x14ac:dyDescent="0.85"/>
  <cols>
    <col min="1" max="1" width="6.3828125" style="269" customWidth="1"/>
    <col min="2" max="2" width="66.3828125" style="17" customWidth="1" collapsed="1"/>
    <col min="3" max="3" width="79.53515625" style="520" customWidth="1" collapsed="1"/>
    <col min="4" max="4" width="20.15234375" style="273" bestFit="1" customWidth="1" collapsed="1"/>
    <col min="5" max="5" width="116.15234375" style="409" customWidth="1" collapsed="1"/>
    <col min="6" max="6" width="86" style="124" customWidth="1" collapsed="1"/>
    <col min="7" max="35" width="9" style="121"/>
    <col min="36" max="16384" width="9" style="121" collapsed="1"/>
  </cols>
  <sheetData>
    <row r="1" spans="1:6" s="117" customFormat="1" ht="79.5" customHeight="1" x14ac:dyDescent="1.35">
      <c r="A1" s="265"/>
      <c r="B1" s="546" t="s">
        <v>110</v>
      </c>
      <c r="C1" s="547"/>
      <c r="D1" s="547"/>
      <c r="E1" s="547"/>
      <c r="F1" s="400"/>
    </row>
    <row r="2" spans="1:6" s="119" customFormat="1" ht="37.75" x14ac:dyDescent="1.35">
      <c r="A2" s="267"/>
      <c r="B2" s="16" t="s">
        <v>37</v>
      </c>
      <c r="C2" s="499" t="s">
        <v>38</v>
      </c>
      <c r="D2" s="266" t="s">
        <v>145</v>
      </c>
      <c r="E2" s="401" t="s">
        <v>36</v>
      </c>
      <c r="F2" s="118" t="s">
        <v>134</v>
      </c>
    </row>
    <row r="3" spans="1:6" s="119" customFormat="1" ht="7.5" customHeight="1" thickBot="1" x14ac:dyDescent="1.4">
      <c r="A3" s="267"/>
      <c r="B3" s="376"/>
      <c r="C3" s="500"/>
      <c r="D3" s="377"/>
      <c r="E3" s="402"/>
      <c r="F3" s="378"/>
    </row>
    <row r="4" spans="1:6" s="120" customFormat="1" ht="38.15" thickBot="1" x14ac:dyDescent="0.9">
      <c r="A4" s="268"/>
      <c r="B4" s="525" t="s">
        <v>471</v>
      </c>
      <c r="C4" s="526"/>
      <c r="D4" s="526"/>
      <c r="E4" s="526"/>
      <c r="F4" s="527"/>
    </row>
    <row r="5" spans="1:6" ht="37.75" x14ac:dyDescent="1.25">
      <c r="B5" s="528" t="s">
        <v>879</v>
      </c>
      <c r="C5" s="501" t="s">
        <v>726</v>
      </c>
      <c r="D5" s="410" t="s">
        <v>473</v>
      </c>
      <c r="E5" s="415" t="s">
        <v>727</v>
      </c>
      <c r="F5" s="416" t="s">
        <v>728</v>
      </c>
    </row>
    <row r="6" spans="1:6" ht="37.75" x14ac:dyDescent="1.25">
      <c r="B6" s="529"/>
      <c r="C6" s="502" t="s">
        <v>729</v>
      </c>
      <c r="D6" s="379" t="s">
        <v>474</v>
      </c>
      <c r="E6" s="403" t="s">
        <v>730</v>
      </c>
      <c r="F6" s="411" t="s">
        <v>731</v>
      </c>
    </row>
    <row r="7" spans="1:6" ht="74.150000000000006" thickBot="1" x14ac:dyDescent="1.3">
      <c r="B7" s="530"/>
      <c r="C7" s="503" t="s">
        <v>732</v>
      </c>
      <c r="D7" s="412" t="s">
        <v>475</v>
      </c>
      <c r="E7" s="413" t="s">
        <v>733</v>
      </c>
      <c r="F7" s="414" t="s">
        <v>731</v>
      </c>
    </row>
    <row r="8" spans="1:6" s="225" customFormat="1" ht="37.75" x14ac:dyDescent="0.85">
      <c r="B8" s="528" t="s">
        <v>880</v>
      </c>
      <c r="C8" s="504" t="s">
        <v>889</v>
      </c>
      <c r="D8" s="417" t="s">
        <v>882</v>
      </c>
      <c r="E8" s="418" t="s">
        <v>727</v>
      </c>
      <c r="F8" s="419" t="s">
        <v>728</v>
      </c>
    </row>
    <row r="9" spans="1:6" s="225" customFormat="1" ht="37.75" hidden="1" x14ac:dyDescent="0.85">
      <c r="B9" s="529"/>
      <c r="C9" s="502" t="s">
        <v>654</v>
      </c>
      <c r="D9" s="379" t="s">
        <v>883</v>
      </c>
      <c r="E9" s="404" t="s">
        <v>730</v>
      </c>
      <c r="F9" s="420" t="s">
        <v>731</v>
      </c>
    </row>
    <row r="10" spans="1:6" s="225" customFormat="1" ht="74.150000000000006" hidden="1" thickBot="1" x14ac:dyDescent="0.9">
      <c r="B10" s="530"/>
      <c r="C10" s="503" t="s">
        <v>472</v>
      </c>
      <c r="D10" s="412" t="s">
        <v>884</v>
      </c>
      <c r="E10" s="421" t="s">
        <v>733</v>
      </c>
      <c r="F10" s="422" t="s">
        <v>731</v>
      </c>
    </row>
    <row r="11" spans="1:6" s="225" customFormat="1" ht="37.75" hidden="1" x14ac:dyDescent="0.85">
      <c r="B11" s="535" t="s">
        <v>881</v>
      </c>
      <c r="C11" s="505" t="s">
        <v>890</v>
      </c>
      <c r="D11" s="417" t="s">
        <v>886</v>
      </c>
      <c r="E11" s="418" t="s">
        <v>727</v>
      </c>
      <c r="F11" s="419" t="s">
        <v>728</v>
      </c>
    </row>
    <row r="12" spans="1:6" s="225" customFormat="1" ht="37.75" hidden="1" x14ac:dyDescent="0.85">
      <c r="B12" s="536"/>
      <c r="C12" s="470" t="s">
        <v>654</v>
      </c>
      <c r="D12" s="379" t="s">
        <v>887</v>
      </c>
      <c r="E12" s="404" t="s">
        <v>730</v>
      </c>
      <c r="F12" s="420" t="s">
        <v>731</v>
      </c>
    </row>
    <row r="13" spans="1:6" s="225" customFormat="1" ht="74.150000000000006" hidden="1" thickBot="1" x14ac:dyDescent="0.9">
      <c r="B13" s="537"/>
      <c r="C13" s="506" t="s">
        <v>472</v>
      </c>
      <c r="D13" s="412" t="s">
        <v>888</v>
      </c>
      <c r="E13" s="421" t="s">
        <v>733</v>
      </c>
      <c r="F13" s="422" t="s">
        <v>731</v>
      </c>
    </row>
    <row r="14" spans="1:6" ht="38.15" thickBot="1" x14ac:dyDescent="0.9">
      <c r="B14" s="531" t="s">
        <v>12</v>
      </c>
      <c r="C14" s="531"/>
      <c r="D14" s="531"/>
      <c r="E14" s="531"/>
      <c r="F14" s="531"/>
    </row>
    <row r="15" spans="1:6" ht="147.44999999999999" x14ac:dyDescent="1.25">
      <c r="B15" s="532" t="s">
        <v>121</v>
      </c>
      <c r="C15" s="504" t="s">
        <v>643</v>
      </c>
      <c r="D15" s="424" t="s">
        <v>144</v>
      </c>
      <c r="E15" s="425" t="s">
        <v>92</v>
      </c>
      <c r="F15" s="426" t="s">
        <v>633</v>
      </c>
    </row>
    <row r="16" spans="1:6" ht="110.6" x14ac:dyDescent="1.25">
      <c r="B16" s="533"/>
      <c r="C16" s="507" t="s">
        <v>644</v>
      </c>
      <c r="D16" s="382" t="s">
        <v>146</v>
      </c>
      <c r="E16" s="405" t="s">
        <v>93</v>
      </c>
      <c r="F16" s="427" t="s">
        <v>634</v>
      </c>
    </row>
    <row r="17" spans="2:6" ht="110.6" x14ac:dyDescent="1.25">
      <c r="B17" s="533"/>
      <c r="C17" s="507" t="s">
        <v>147</v>
      </c>
      <c r="D17" s="382" t="s">
        <v>348</v>
      </c>
      <c r="E17" s="405" t="s">
        <v>626</v>
      </c>
      <c r="F17" s="427" t="s">
        <v>635</v>
      </c>
    </row>
    <row r="18" spans="2:6" ht="73.75" x14ac:dyDescent="1.25">
      <c r="B18" s="533"/>
      <c r="C18" s="502" t="s">
        <v>148</v>
      </c>
      <c r="D18" s="382" t="s">
        <v>149</v>
      </c>
      <c r="E18" s="405" t="s">
        <v>43</v>
      </c>
      <c r="F18" s="427" t="s">
        <v>636</v>
      </c>
    </row>
    <row r="19" spans="2:6" ht="73.75" x14ac:dyDescent="1.25">
      <c r="B19" s="533"/>
      <c r="C19" s="502" t="s">
        <v>161</v>
      </c>
      <c r="D19" s="382" t="s">
        <v>150</v>
      </c>
      <c r="E19" s="405" t="s">
        <v>151</v>
      </c>
      <c r="F19" s="427" t="s">
        <v>637</v>
      </c>
    </row>
    <row r="20" spans="2:6" ht="73.75" x14ac:dyDescent="1.25">
      <c r="B20" s="533"/>
      <c r="C20" s="508" t="s">
        <v>153</v>
      </c>
      <c r="D20" s="384" t="s">
        <v>152</v>
      </c>
      <c r="E20" s="405" t="s">
        <v>39</v>
      </c>
      <c r="F20" s="427" t="s">
        <v>327</v>
      </c>
    </row>
    <row r="21" spans="2:6" ht="73.75" x14ac:dyDescent="1.25">
      <c r="B21" s="533"/>
      <c r="C21" s="502" t="s">
        <v>154</v>
      </c>
      <c r="D21" s="382" t="s">
        <v>155</v>
      </c>
      <c r="E21" s="405" t="s">
        <v>40</v>
      </c>
      <c r="F21" s="427" t="s">
        <v>638</v>
      </c>
    </row>
    <row r="22" spans="2:6" ht="73.75" x14ac:dyDescent="1.25">
      <c r="B22" s="533"/>
      <c r="C22" s="502" t="s">
        <v>645</v>
      </c>
      <c r="D22" s="382" t="s">
        <v>156</v>
      </c>
      <c r="E22" s="405" t="s">
        <v>41</v>
      </c>
      <c r="F22" s="427" t="s">
        <v>639</v>
      </c>
    </row>
    <row r="23" spans="2:6" ht="38.15" thickBot="1" x14ac:dyDescent="1.3">
      <c r="B23" s="534"/>
      <c r="C23" s="503" t="s">
        <v>157</v>
      </c>
      <c r="D23" s="428" t="s">
        <v>158</v>
      </c>
      <c r="E23" s="429" t="s">
        <v>42</v>
      </c>
      <c r="F23" s="430" t="s">
        <v>159</v>
      </c>
    </row>
    <row r="24" spans="2:6" ht="73.75" x14ac:dyDescent="1.25">
      <c r="B24" s="523" t="s">
        <v>13</v>
      </c>
      <c r="C24" s="505" t="s">
        <v>161</v>
      </c>
      <c r="D24" s="424" t="s">
        <v>160</v>
      </c>
      <c r="E24" s="425" t="s">
        <v>94</v>
      </c>
      <c r="F24" s="426" t="s">
        <v>640</v>
      </c>
    </row>
    <row r="25" spans="2:6" ht="111" thickBot="1" x14ac:dyDescent="1.3">
      <c r="B25" s="524"/>
      <c r="C25" s="509" t="s">
        <v>153</v>
      </c>
      <c r="D25" s="428" t="s">
        <v>162</v>
      </c>
      <c r="E25" s="429" t="s">
        <v>102</v>
      </c>
      <c r="F25" s="430" t="s">
        <v>640</v>
      </c>
    </row>
    <row r="26" spans="2:6" ht="73.75" x14ac:dyDescent="1.25">
      <c r="B26" s="523" t="s">
        <v>14</v>
      </c>
      <c r="C26" s="505" t="s">
        <v>978</v>
      </c>
      <c r="D26" s="424" t="s">
        <v>163</v>
      </c>
      <c r="E26" s="425" t="s">
        <v>95</v>
      </c>
      <c r="F26" s="426" t="s">
        <v>640</v>
      </c>
    </row>
    <row r="27" spans="2:6" ht="74.150000000000006" thickBot="1" x14ac:dyDescent="1.3">
      <c r="B27" s="524"/>
      <c r="C27" s="509" t="s">
        <v>463</v>
      </c>
      <c r="D27" s="428" t="s">
        <v>164</v>
      </c>
      <c r="E27" s="429" t="s">
        <v>103</v>
      </c>
      <c r="F27" s="430" t="s">
        <v>640</v>
      </c>
    </row>
    <row r="28" spans="2:6" ht="73.75" x14ac:dyDescent="1.25">
      <c r="B28" s="523" t="s">
        <v>15</v>
      </c>
      <c r="C28" s="505" t="s">
        <v>978</v>
      </c>
      <c r="D28" s="424" t="s">
        <v>165</v>
      </c>
      <c r="E28" s="425" t="s">
        <v>96</v>
      </c>
      <c r="F28" s="426" t="s">
        <v>640</v>
      </c>
    </row>
    <row r="29" spans="2:6" ht="74.150000000000006" thickBot="1" x14ac:dyDescent="1.3">
      <c r="B29" s="524"/>
      <c r="C29" s="509" t="s">
        <v>463</v>
      </c>
      <c r="D29" s="428" t="s">
        <v>166</v>
      </c>
      <c r="E29" s="429" t="s">
        <v>104</v>
      </c>
      <c r="F29" s="430" t="s">
        <v>640</v>
      </c>
    </row>
    <row r="30" spans="2:6" ht="37.75" x14ac:dyDescent="1.25">
      <c r="B30" s="523" t="s">
        <v>443</v>
      </c>
      <c r="C30" s="505" t="s">
        <v>979</v>
      </c>
      <c r="D30" s="424" t="s">
        <v>167</v>
      </c>
      <c r="E30" s="425" t="s">
        <v>97</v>
      </c>
      <c r="F30" s="426" t="s">
        <v>640</v>
      </c>
    </row>
    <row r="31" spans="2:6" ht="74.150000000000006" thickBot="1" x14ac:dyDescent="1.3">
      <c r="B31" s="524"/>
      <c r="C31" s="509" t="s">
        <v>463</v>
      </c>
      <c r="D31" s="428" t="s">
        <v>168</v>
      </c>
      <c r="E31" s="429" t="s">
        <v>105</v>
      </c>
      <c r="F31" s="430" t="s">
        <v>640</v>
      </c>
    </row>
    <row r="32" spans="2:6" ht="73.75" x14ac:dyDescent="1.25">
      <c r="B32" s="523" t="s">
        <v>16</v>
      </c>
      <c r="C32" s="505" t="s">
        <v>979</v>
      </c>
      <c r="D32" s="424" t="s">
        <v>169</v>
      </c>
      <c r="E32" s="425" t="s">
        <v>98</v>
      </c>
      <c r="F32" s="426" t="s">
        <v>640</v>
      </c>
    </row>
    <row r="33" spans="1:6" ht="74.150000000000006" thickBot="1" x14ac:dyDescent="1.3">
      <c r="B33" s="524"/>
      <c r="C33" s="509" t="s">
        <v>463</v>
      </c>
      <c r="D33" s="428" t="s">
        <v>170</v>
      </c>
      <c r="E33" s="429" t="s">
        <v>106</v>
      </c>
      <c r="F33" s="430" t="s">
        <v>640</v>
      </c>
    </row>
    <row r="34" spans="1:6" ht="73.75" x14ac:dyDescent="1.25">
      <c r="B34" s="523" t="s">
        <v>17</v>
      </c>
      <c r="C34" s="505" t="s">
        <v>979</v>
      </c>
      <c r="D34" s="424" t="s">
        <v>349</v>
      </c>
      <c r="E34" s="425" t="s">
        <v>99</v>
      </c>
      <c r="F34" s="426" t="s">
        <v>640</v>
      </c>
    </row>
    <row r="35" spans="1:6" s="122" customFormat="1" ht="74.150000000000006" thickBot="1" x14ac:dyDescent="0.45">
      <c r="A35" s="270"/>
      <c r="B35" s="524"/>
      <c r="C35" s="509" t="s">
        <v>463</v>
      </c>
      <c r="D35" s="428" t="s">
        <v>171</v>
      </c>
      <c r="E35" s="431" t="s">
        <v>107</v>
      </c>
      <c r="F35" s="432" t="s">
        <v>640</v>
      </c>
    </row>
    <row r="36" spans="1:6" ht="110.6" x14ac:dyDescent="1.25">
      <c r="B36" s="523" t="s">
        <v>22</v>
      </c>
      <c r="C36" s="505" t="s">
        <v>979</v>
      </c>
      <c r="D36" s="424" t="s">
        <v>172</v>
      </c>
      <c r="E36" s="425" t="s">
        <v>100</v>
      </c>
      <c r="F36" s="426" t="s">
        <v>640</v>
      </c>
    </row>
    <row r="37" spans="1:6" ht="111" thickBot="1" x14ac:dyDescent="1.3">
      <c r="B37" s="524"/>
      <c r="C37" s="509" t="s">
        <v>463</v>
      </c>
      <c r="D37" s="428" t="s">
        <v>173</v>
      </c>
      <c r="E37" s="429" t="s">
        <v>108</v>
      </c>
      <c r="F37" s="430" t="s">
        <v>640</v>
      </c>
    </row>
    <row r="38" spans="1:6" ht="73.75" x14ac:dyDescent="1.25">
      <c r="B38" s="523" t="s">
        <v>18</v>
      </c>
      <c r="C38" s="505" t="s">
        <v>979</v>
      </c>
      <c r="D38" s="424" t="s">
        <v>174</v>
      </c>
      <c r="E38" s="425" t="s">
        <v>101</v>
      </c>
      <c r="F38" s="426" t="s">
        <v>640</v>
      </c>
    </row>
    <row r="39" spans="1:6" ht="74.150000000000006" thickBot="1" x14ac:dyDescent="1.3">
      <c r="B39" s="524"/>
      <c r="C39" s="509" t="s">
        <v>463</v>
      </c>
      <c r="D39" s="428" t="s">
        <v>175</v>
      </c>
      <c r="E39" s="429" t="s">
        <v>109</v>
      </c>
      <c r="F39" s="430" t="s">
        <v>640</v>
      </c>
    </row>
    <row r="40" spans="1:6" ht="73.75" x14ac:dyDescent="1.25">
      <c r="B40" s="523" t="s">
        <v>113</v>
      </c>
      <c r="C40" s="505" t="s">
        <v>979</v>
      </c>
      <c r="D40" s="424" t="s">
        <v>350</v>
      </c>
      <c r="E40" s="425" t="s">
        <v>136</v>
      </c>
      <c r="F40" s="426" t="s">
        <v>640</v>
      </c>
    </row>
    <row r="41" spans="1:6" ht="74.150000000000006" thickBot="1" x14ac:dyDescent="1.3">
      <c r="B41" s="524"/>
      <c r="C41" s="509" t="s">
        <v>463</v>
      </c>
      <c r="D41" s="428" t="s">
        <v>176</v>
      </c>
      <c r="E41" s="429" t="s">
        <v>627</v>
      </c>
      <c r="F41" s="430" t="s">
        <v>640</v>
      </c>
    </row>
    <row r="42" spans="1:6" ht="73.75" x14ac:dyDescent="1.25">
      <c r="B42" s="433" t="s">
        <v>132</v>
      </c>
      <c r="C42" s="287" t="s">
        <v>647</v>
      </c>
      <c r="D42" s="423" t="s">
        <v>351</v>
      </c>
      <c r="E42" s="415" t="s">
        <v>1025</v>
      </c>
      <c r="F42" s="434"/>
    </row>
    <row r="43" spans="1:6" ht="73.75" x14ac:dyDescent="1.25">
      <c r="B43" s="385"/>
      <c r="C43" s="444" t="s">
        <v>656</v>
      </c>
      <c r="D43" s="382" t="s">
        <v>352</v>
      </c>
      <c r="E43" s="403" t="s">
        <v>1026</v>
      </c>
      <c r="F43" s="380"/>
    </row>
    <row r="44" spans="1:6" ht="37.75" x14ac:dyDescent="0.85">
      <c r="B44" s="539" t="s">
        <v>112</v>
      </c>
      <c r="C44" s="539"/>
      <c r="D44" s="539"/>
      <c r="E44" s="539"/>
      <c r="F44" s="539"/>
    </row>
    <row r="45" spans="1:6" ht="110.6" x14ac:dyDescent="1.25">
      <c r="B45" s="538" t="s">
        <v>20</v>
      </c>
      <c r="C45" s="470" t="s">
        <v>980</v>
      </c>
      <c r="D45" s="382" t="s">
        <v>177</v>
      </c>
      <c r="E45" s="405" t="s">
        <v>44</v>
      </c>
      <c r="F45" s="383" t="s">
        <v>183</v>
      </c>
    </row>
    <row r="46" spans="1:6" ht="73.75" x14ac:dyDescent="1.25">
      <c r="B46" s="538"/>
      <c r="C46" s="470" t="s">
        <v>178</v>
      </c>
      <c r="D46" s="382" t="s">
        <v>179</v>
      </c>
      <c r="E46" s="405" t="s">
        <v>122</v>
      </c>
      <c r="F46" s="383"/>
    </row>
    <row r="47" spans="1:6" ht="73.75" x14ac:dyDescent="1.25">
      <c r="B47" s="538"/>
      <c r="C47" s="470" t="s">
        <v>329</v>
      </c>
      <c r="D47" s="382" t="s">
        <v>180</v>
      </c>
      <c r="E47" s="405" t="s">
        <v>45</v>
      </c>
      <c r="F47" s="383"/>
    </row>
    <row r="48" spans="1:6" ht="73.75" x14ac:dyDescent="1.25">
      <c r="B48" s="538"/>
      <c r="C48" s="510" t="s">
        <v>981</v>
      </c>
      <c r="D48" s="382" t="s">
        <v>181</v>
      </c>
      <c r="E48" s="405" t="s">
        <v>46</v>
      </c>
      <c r="F48" s="383"/>
    </row>
    <row r="49" spans="2:6" ht="110.6" x14ac:dyDescent="1.25">
      <c r="B49" s="538"/>
      <c r="C49" s="510" t="s">
        <v>330</v>
      </c>
      <c r="D49" s="382" t="s">
        <v>182</v>
      </c>
      <c r="E49" s="405" t="s">
        <v>47</v>
      </c>
      <c r="F49" s="383"/>
    </row>
    <row r="50" spans="2:6" ht="37.75" x14ac:dyDescent="0.85">
      <c r="B50" s="539" t="s">
        <v>125</v>
      </c>
      <c r="C50" s="539"/>
      <c r="D50" s="539"/>
      <c r="E50" s="539"/>
      <c r="F50" s="539"/>
    </row>
    <row r="51" spans="2:6" ht="73.75" x14ac:dyDescent="1.25">
      <c r="B51" s="540" t="s">
        <v>591</v>
      </c>
      <c r="C51" s="470" t="s">
        <v>982</v>
      </c>
      <c r="D51" s="382" t="s">
        <v>187</v>
      </c>
      <c r="E51" s="405" t="s">
        <v>49</v>
      </c>
      <c r="F51" s="383" t="s">
        <v>200</v>
      </c>
    </row>
    <row r="52" spans="2:6" ht="37.75" x14ac:dyDescent="1.25">
      <c r="B52" s="540"/>
      <c r="C52" s="470" t="s">
        <v>734</v>
      </c>
      <c r="D52" s="379" t="s">
        <v>565</v>
      </c>
      <c r="E52" s="403" t="s">
        <v>735</v>
      </c>
      <c r="F52" s="380" t="s">
        <v>736</v>
      </c>
    </row>
    <row r="53" spans="2:6" ht="73.75" x14ac:dyDescent="1.25">
      <c r="B53" s="540"/>
      <c r="C53" s="470" t="s">
        <v>737</v>
      </c>
      <c r="D53" s="379" t="s">
        <v>566</v>
      </c>
      <c r="E53" s="403" t="s">
        <v>738</v>
      </c>
      <c r="F53" s="380" t="s">
        <v>736</v>
      </c>
    </row>
    <row r="54" spans="2:6" ht="147.44999999999999" x14ac:dyDescent="1.25">
      <c r="B54" s="540"/>
      <c r="C54" s="470" t="s">
        <v>983</v>
      </c>
      <c r="D54" s="382" t="s">
        <v>188</v>
      </c>
      <c r="E54" s="405" t="s">
        <v>48</v>
      </c>
      <c r="F54" s="383" t="s">
        <v>201</v>
      </c>
    </row>
    <row r="55" spans="2:6" ht="73.75" x14ac:dyDescent="1.25">
      <c r="B55" s="386" t="s">
        <v>592</v>
      </c>
      <c r="C55" s="387" t="s">
        <v>646</v>
      </c>
      <c r="D55" s="382" t="s">
        <v>189</v>
      </c>
      <c r="E55" s="405" t="s">
        <v>120</v>
      </c>
      <c r="F55" s="383" t="s">
        <v>202</v>
      </c>
    </row>
    <row r="56" spans="2:6" ht="73.75" x14ac:dyDescent="1.25">
      <c r="B56" s="540" t="s">
        <v>584</v>
      </c>
      <c r="C56" s="510" t="s">
        <v>396</v>
      </c>
      <c r="D56" s="379" t="s">
        <v>585</v>
      </c>
      <c r="E56" s="403" t="s">
        <v>739</v>
      </c>
      <c r="F56" s="380" t="s">
        <v>740</v>
      </c>
    </row>
    <row r="57" spans="2:6" ht="73.75" x14ac:dyDescent="1.25">
      <c r="B57" s="540"/>
      <c r="C57" s="510" t="s">
        <v>391</v>
      </c>
      <c r="D57" s="379" t="s">
        <v>586</v>
      </c>
      <c r="E57" s="403" t="s">
        <v>741</v>
      </c>
      <c r="F57" s="380" t="s">
        <v>740</v>
      </c>
    </row>
    <row r="58" spans="2:6" ht="73.75" x14ac:dyDescent="1.25">
      <c r="B58" s="540"/>
      <c r="C58" s="470" t="s">
        <v>392</v>
      </c>
      <c r="D58" s="379" t="s">
        <v>587</v>
      </c>
      <c r="E58" s="403" t="s">
        <v>742</v>
      </c>
      <c r="F58" s="380" t="s">
        <v>740</v>
      </c>
    </row>
    <row r="59" spans="2:6" ht="73.75" x14ac:dyDescent="1.25">
      <c r="B59" s="540"/>
      <c r="C59" s="470" t="s">
        <v>393</v>
      </c>
      <c r="D59" s="379" t="s">
        <v>588</v>
      </c>
      <c r="E59" s="403" t="s">
        <v>743</v>
      </c>
      <c r="F59" s="380" t="s">
        <v>740</v>
      </c>
    </row>
    <row r="60" spans="2:6" ht="73.75" x14ac:dyDescent="1.25">
      <c r="B60" s="540"/>
      <c r="C60" s="470" t="s">
        <v>394</v>
      </c>
      <c r="D60" s="379" t="s">
        <v>589</v>
      </c>
      <c r="E60" s="403" t="s">
        <v>744</v>
      </c>
      <c r="F60" s="380" t="s">
        <v>740</v>
      </c>
    </row>
    <row r="61" spans="2:6" ht="73.75" x14ac:dyDescent="1.25">
      <c r="B61" s="540"/>
      <c r="C61" s="470" t="s">
        <v>395</v>
      </c>
      <c r="D61" s="379" t="s">
        <v>590</v>
      </c>
      <c r="E61" s="403" t="s">
        <v>745</v>
      </c>
      <c r="F61" s="380" t="s">
        <v>740</v>
      </c>
    </row>
    <row r="62" spans="2:6" ht="73.75" x14ac:dyDescent="1.25">
      <c r="B62" s="540" t="s">
        <v>593</v>
      </c>
      <c r="C62" s="470" t="s">
        <v>563</v>
      </c>
      <c r="D62" s="382" t="s">
        <v>353</v>
      </c>
      <c r="E62" s="405" t="s">
        <v>746</v>
      </c>
      <c r="F62" s="383" t="s">
        <v>747</v>
      </c>
    </row>
    <row r="63" spans="2:6" ht="73.75" x14ac:dyDescent="1.25">
      <c r="B63" s="540"/>
      <c r="C63" s="470" t="s">
        <v>748</v>
      </c>
      <c r="D63" s="379" t="s">
        <v>569</v>
      </c>
      <c r="E63" s="403" t="s">
        <v>749</v>
      </c>
      <c r="F63" s="380" t="s">
        <v>750</v>
      </c>
    </row>
    <row r="64" spans="2:6" ht="73.75" x14ac:dyDescent="1.25">
      <c r="B64" s="540"/>
      <c r="C64" s="470" t="s">
        <v>751</v>
      </c>
      <c r="D64" s="379" t="s">
        <v>570</v>
      </c>
      <c r="E64" s="403" t="s">
        <v>752</v>
      </c>
      <c r="F64" s="380" t="s">
        <v>753</v>
      </c>
    </row>
    <row r="65" spans="2:6" ht="73.75" x14ac:dyDescent="1.25">
      <c r="B65" s="540"/>
      <c r="C65" s="470" t="s">
        <v>984</v>
      </c>
      <c r="D65" s="382" t="s">
        <v>190</v>
      </c>
      <c r="E65" s="405" t="s">
        <v>50</v>
      </c>
      <c r="F65" s="383" t="s">
        <v>203</v>
      </c>
    </row>
    <row r="66" spans="2:6" ht="110.6" x14ac:dyDescent="1.25">
      <c r="B66" s="540"/>
      <c r="C66" s="387" t="s">
        <v>571</v>
      </c>
      <c r="D66" s="379" t="s">
        <v>572</v>
      </c>
      <c r="E66" s="403" t="s">
        <v>754</v>
      </c>
      <c r="F66" s="380" t="s">
        <v>755</v>
      </c>
    </row>
    <row r="67" spans="2:6" ht="110.6" x14ac:dyDescent="1.25">
      <c r="B67" s="540" t="s">
        <v>583</v>
      </c>
      <c r="C67" s="470" t="s">
        <v>396</v>
      </c>
      <c r="D67" s="379" t="s">
        <v>594</v>
      </c>
      <c r="E67" s="403" t="s">
        <v>756</v>
      </c>
      <c r="F67" s="380"/>
    </row>
    <row r="68" spans="2:6" ht="110.6" x14ac:dyDescent="1.25">
      <c r="B68" s="540"/>
      <c r="C68" s="470" t="s">
        <v>391</v>
      </c>
      <c r="D68" s="379" t="s">
        <v>595</v>
      </c>
      <c r="E68" s="403" t="s">
        <v>757</v>
      </c>
      <c r="F68" s="380"/>
    </row>
    <row r="69" spans="2:6" ht="110.6" x14ac:dyDescent="1.25">
      <c r="B69" s="540"/>
      <c r="C69" s="470" t="s">
        <v>392</v>
      </c>
      <c r="D69" s="379" t="s">
        <v>596</v>
      </c>
      <c r="E69" s="403" t="s">
        <v>758</v>
      </c>
      <c r="F69" s="380"/>
    </row>
    <row r="70" spans="2:6" ht="110.6" x14ac:dyDescent="1.25">
      <c r="B70" s="540"/>
      <c r="C70" s="470" t="s">
        <v>393</v>
      </c>
      <c r="D70" s="379" t="s">
        <v>597</v>
      </c>
      <c r="E70" s="403" t="s">
        <v>759</v>
      </c>
      <c r="F70" s="380"/>
    </row>
    <row r="71" spans="2:6" ht="110.6" x14ac:dyDescent="1.25">
      <c r="B71" s="540"/>
      <c r="C71" s="470" t="s">
        <v>394</v>
      </c>
      <c r="D71" s="379" t="s">
        <v>598</v>
      </c>
      <c r="E71" s="403" t="s">
        <v>760</v>
      </c>
      <c r="F71" s="380"/>
    </row>
    <row r="72" spans="2:6" ht="110.6" x14ac:dyDescent="1.25">
      <c r="B72" s="540"/>
      <c r="C72" s="470" t="s">
        <v>395</v>
      </c>
      <c r="D72" s="379" t="s">
        <v>599</v>
      </c>
      <c r="E72" s="403" t="s">
        <v>761</v>
      </c>
      <c r="F72" s="380"/>
    </row>
    <row r="73" spans="2:6" ht="73.75" x14ac:dyDescent="1.25">
      <c r="B73" s="538" t="s">
        <v>28</v>
      </c>
      <c r="C73" s="470" t="s">
        <v>191</v>
      </c>
      <c r="D73" s="382" t="s">
        <v>192</v>
      </c>
      <c r="E73" s="405" t="s">
        <v>51</v>
      </c>
      <c r="F73" s="383" t="s">
        <v>203</v>
      </c>
    </row>
    <row r="74" spans="2:6" ht="73.75" x14ac:dyDescent="1.25">
      <c r="B74" s="538"/>
      <c r="C74" s="470" t="s">
        <v>331</v>
      </c>
      <c r="D74" s="382" t="s">
        <v>193</v>
      </c>
      <c r="E74" s="405" t="s">
        <v>52</v>
      </c>
      <c r="F74" s="383" t="s">
        <v>203</v>
      </c>
    </row>
    <row r="75" spans="2:6" ht="110.6" x14ac:dyDescent="1.25">
      <c r="B75" s="538"/>
      <c r="C75" s="470" t="s">
        <v>332</v>
      </c>
      <c r="D75" s="382" t="s">
        <v>354</v>
      </c>
      <c r="E75" s="405" t="s">
        <v>53</v>
      </c>
      <c r="F75" s="383" t="s">
        <v>207</v>
      </c>
    </row>
    <row r="76" spans="2:6" ht="73.75" x14ac:dyDescent="1.25">
      <c r="B76" s="538" t="s">
        <v>21</v>
      </c>
      <c r="C76" s="470" t="s">
        <v>985</v>
      </c>
      <c r="D76" s="382" t="s">
        <v>355</v>
      </c>
      <c r="E76" s="405" t="s">
        <v>54</v>
      </c>
      <c r="F76" s="383" t="s">
        <v>204</v>
      </c>
    </row>
    <row r="77" spans="2:6" ht="37.75" x14ac:dyDescent="1.25">
      <c r="B77" s="538"/>
      <c r="C77" s="470" t="s">
        <v>986</v>
      </c>
      <c r="D77" s="382" t="s">
        <v>356</v>
      </c>
      <c r="E77" s="405" t="s">
        <v>86</v>
      </c>
      <c r="F77" s="383" t="s">
        <v>205</v>
      </c>
    </row>
    <row r="78" spans="2:6" ht="73.75" x14ac:dyDescent="1.25">
      <c r="B78" s="538"/>
      <c r="C78" s="470" t="s">
        <v>194</v>
      </c>
      <c r="D78" s="382" t="s">
        <v>195</v>
      </c>
      <c r="E78" s="405" t="s">
        <v>87</v>
      </c>
      <c r="F78" s="383" t="s">
        <v>206</v>
      </c>
    </row>
    <row r="79" spans="2:6" ht="73.75" x14ac:dyDescent="1.25">
      <c r="B79" s="538"/>
      <c r="C79" s="470" t="s">
        <v>987</v>
      </c>
      <c r="D79" s="382" t="s">
        <v>196</v>
      </c>
      <c r="E79" s="405" t="s">
        <v>88</v>
      </c>
      <c r="F79" s="383" t="s">
        <v>206</v>
      </c>
    </row>
    <row r="80" spans="2:6" ht="73.75" x14ac:dyDescent="1.25">
      <c r="B80" s="538"/>
      <c r="C80" s="470" t="s">
        <v>988</v>
      </c>
      <c r="D80" s="382" t="s">
        <v>197</v>
      </c>
      <c r="E80" s="405" t="s">
        <v>89</v>
      </c>
      <c r="F80" s="383" t="s">
        <v>641</v>
      </c>
    </row>
    <row r="81" spans="2:14" ht="73.75" x14ac:dyDescent="1.25">
      <c r="B81" s="538"/>
      <c r="C81" s="470" t="s">
        <v>333</v>
      </c>
      <c r="D81" s="382" t="s">
        <v>198</v>
      </c>
      <c r="E81" s="405" t="s">
        <v>90</v>
      </c>
      <c r="F81" s="383" t="s">
        <v>208</v>
      </c>
    </row>
    <row r="82" spans="2:14" ht="37.75" x14ac:dyDescent="1.25">
      <c r="B82" s="538"/>
      <c r="C82" s="470" t="s">
        <v>989</v>
      </c>
      <c r="D82" s="382" t="s">
        <v>199</v>
      </c>
      <c r="E82" s="405" t="s">
        <v>91</v>
      </c>
      <c r="F82" s="383" t="s">
        <v>642</v>
      </c>
    </row>
    <row r="83" spans="2:14" ht="147.44999999999999" x14ac:dyDescent="1.25">
      <c r="B83" s="538" t="s">
        <v>114</v>
      </c>
      <c r="C83" s="471" t="s">
        <v>990</v>
      </c>
      <c r="D83" s="382" t="s">
        <v>357</v>
      </c>
      <c r="E83" s="405" t="s">
        <v>138</v>
      </c>
      <c r="F83" s="383" t="s">
        <v>209</v>
      </c>
    </row>
    <row r="84" spans="2:14" ht="147.44999999999999" x14ac:dyDescent="1.25">
      <c r="B84" s="538"/>
      <c r="C84" s="471" t="s">
        <v>334</v>
      </c>
      <c r="D84" s="382" t="s">
        <v>358</v>
      </c>
      <c r="E84" s="405" t="s">
        <v>137</v>
      </c>
      <c r="F84" s="383" t="s">
        <v>210</v>
      </c>
    </row>
    <row r="85" spans="2:14" ht="37.75" x14ac:dyDescent="0.85">
      <c r="B85" s="539" t="s">
        <v>126</v>
      </c>
      <c r="C85" s="539"/>
      <c r="D85" s="539"/>
      <c r="E85" s="539"/>
      <c r="F85" s="539"/>
    </row>
    <row r="86" spans="2:14" ht="110.6" x14ac:dyDescent="1.25">
      <c r="B86" s="538" t="s">
        <v>1039</v>
      </c>
      <c r="C86" s="470" t="s">
        <v>991</v>
      </c>
      <c r="D86" s="382" t="s">
        <v>213</v>
      </c>
      <c r="E86" s="405" t="s">
        <v>81</v>
      </c>
      <c r="F86" s="383" t="s">
        <v>211</v>
      </c>
    </row>
    <row r="87" spans="2:14" ht="73.75" x14ac:dyDescent="1.25">
      <c r="B87" s="538"/>
      <c r="C87" s="470" t="s">
        <v>992</v>
      </c>
      <c r="D87" s="382" t="s">
        <v>214</v>
      </c>
      <c r="E87" s="405" t="s">
        <v>1041</v>
      </c>
      <c r="F87" s="383" t="s">
        <v>211</v>
      </c>
      <c r="G87" s="521"/>
      <c r="H87" s="522"/>
      <c r="I87" s="522"/>
      <c r="J87" s="522"/>
      <c r="K87" s="522"/>
      <c r="L87" s="522"/>
      <c r="M87" s="522"/>
      <c r="N87" s="522"/>
    </row>
    <row r="88" spans="2:14" ht="73.75" x14ac:dyDescent="1.25">
      <c r="B88" s="538" t="s">
        <v>1040</v>
      </c>
      <c r="C88" s="470" t="s">
        <v>993</v>
      </c>
      <c r="D88" s="382" t="s">
        <v>215</v>
      </c>
      <c r="E88" s="405" t="s">
        <v>1044</v>
      </c>
      <c r="F88" s="383" t="s">
        <v>211</v>
      </c>
    </row>
    <row r="89" spans="2:14" ht="73.75" x14ac:dyDescent="1.25">
      <c r="B89" s="538"/>
      <c r="C89" s="470" t="s">
        <v>992</v>
      </c>
      <c r="D89" s="382" t="s">
        <v>216</v>
      </c>
      <c r="E89" s="405" t="s">
        <v>1045</v>
      </c>
      <c r="F89" s="383" t="s">
        <v>211</v>
      </c>
    </row>
    <row r="90" spans="2:14" ht="73.75" x14ac:dyDescent="1.25">
      <c r="B90" s="538" t="s">
        <v>29</v>
      </c>
      <c r="C90" s="471" t="s">
        <v>335</v>
      </c>
      <c r="D90" s="388" t="s">
        <v>217</v>
      </c>
      <c r="E90" s="405" t="s">
        <v>82</v>
      </c>
      <c r="F90" s="383" t="s">
        <v>211</v>
      </c>
    </row>
    <row r="91" spans="2:14" ht="110.6" x14ac:dyDescent="1.25">
      <c r="B91" s="538"/>
      <c r="C91" s="471" t="s">
        <v>336</v>
      </c>
      <c r="D91" s="388" t="s">
        <v>218</v>
      </c>
      <c r="E91" s="405" t="s">
        <v>212</v>
      </c>
      <c r="F91" s="383" t="s">
        <v>211</v>
      </c>
    </row>
    <row r="92" spans="2:14" ht="73.75" x14ac:dyDescent="1.25">
      <c r="B92" s="538" t="s">
        <v>30</v>
      </c>
      <c r="C92" s="471" t="s">
        <v>335</v>
      </c>
      <c r="D92" s="388" t="s">
        <v>219</v>
      </c>
      <c r="E92" s="405" t="s">
        <v>83</v>
      </c>
      <c r="F92" s="383" t="s">
        <v>211</v>
      </c>
    </row>
    <row r="93" spans="2:14" ht="110.6" x14ac:dyDescent="1.25">
      <c r="B93" s="538"/>
      <c r="C93" s="511" t="s">
        <v>1014</v>
      </c>
      <c r="D93" s="388" t="s">
        <v>220</v>
      </c>
      <c r="E93" s="405" t="s">
        <v>212</v>
      </c>
      <c r="F93" s="383" t="s">
        <v>211</v>
      </c>
    </row>
    <row r="94" spans="2:14" ht="73.75" x14ac:dyDescent="1.25">
      <c r="B94" s="538" t="s">
        <v>31</v>
      </c>
      <c r="C94" s="511" t="s">
        <v>335</v>
      </c>
      <c r="D94" s="388" t="s">
        <v>221</v>
      </c>
      <c r="E94" s="405" t="s">
        <v>84</v>
      </c>
      <c r="F94" s="383" t="s">
        <v>211</v>
      </c>
    </row>
    <row r="95" spans="2:14" ht="110.6" x14ac:dyDescent="1.25">
      <c r="B95" s="538"/>
      <c r="C95" s="471" t="s">
        <v>1015</v>
      </c>
      <c r="D95" s="388" t="s">
        <v>222</v>
      </c>
      <c r="E95" s="405" t="s">
        <v>212</v>
      </c>
      <c r="F95" s="383" t="s">
        <v>211</v>
      </c>
    </row>
    <row r="96" spans="2:14" ht="73.75" x14ac:dyDescent="1.25">
      <c r="B96" s="538" t="s">
        <v>32</v>
      </c>
      <c r="C96" s="471" t="s">
        <v>335</v>
      </c>
      <c r="D96" s="388" t="s">
        <v>223</v>
      </c>
      <c r="E96" s="405" t="s">
        <v>85</v>
      </c>
      <c r="F96" s="383" t="s">
        <v>211</v>
      </c>
    </row>
    <row r="97" spans="2:6" ht="110.6" x14ac:dyDescent="1.25">
      <c r="B97" s="538"/>
      <c r="C97" s="471" t="s">
        <v>337</v>
      </c>
      <c r="D97" s="388" t="s">
        <v>224</v>
      </c>
      <c r="E97" s="405" t="s">
        <v>212</v>
      </c>
      <c r="F97" s="383" t="s">
        <v>211</v>
      </c>
    </row>
    <row r="98" spans="2:6" ht="37.75" x14ac:dyDescent="0.85">
      <c r="B98" s="539" t="s">
        <v>127</v>
      </c>
      <c r="C98" s="539"/>
      <c r="D98" s="539"/>
      <c r="E98" s="539"/>
      <c r="F98" s="539"/>
    </row>
    <row r="99" spans="2:6" ht="110.6" x14ac:dyDescent="1.25">
      <c r="B99" s="538" t="s">
        <v>33</v>
      </c>
      <c r="C99" s="470" t="s">
        <v>994</v>
      </c>
      <c r="D99" s="382" t="s">
        <v>359</v>
      </c>
      <c r="E99" s="405" t="s">
        <v>55</v>
      </c>
      <c r="F99" s="383" t="s">
        <v>227</v>
      </c>
    </row>
    <row r="100" spans="2:6" ht="110.6" x14ac:dyDescent="1.25">
      <c r="B100" s="538"/>
      <c r="C100" s="470" t="s">
        <v>226</v>
      </c>
      <c r="D100" s="382" t="s">
        <v>225</v>
      </c>
      <c r="E100" s="405" t="s">
        <v>57</v>
      </c>
      <c r="F100" s="383" t="s">
        <v>228</v>
      </c>
    </row>
    <row r="101" spans="2:6" ht="110.6" x14ac:dyDescent="1.25">
      <c r="B101" s="538"/>
      <c r="C101" s="470" t="s">
        <v>995</v>
      </c>
      <c r="D101" s="382" t="s">
        <v>360</v>
      </c>
      <c r="E101" s="405" t="s">
        <v>56</v>
      </c>
      <c r="F101" s="383" t="s">
        <v>229</v>
      </c>
    </row>
    <row r="102" spans="2:6" ht="37.75" x14ac:dyDescent="1.25">
      <c r="B102" s="538"/>
      <c r="C102" s="470" t="s">
        <v>996</v>
      </c>
      <c r="D102" s="382" t="s">
        <v>230</v>
      </c>
      <c r="E102" s="405" t="s">
        <v>58</v>
      </c>
      <c r="F102" s="383" t="s">
        <v>233</v>
      </c>
    </row>
    <row r="103" spans="2:6" ht="110.6" x14ac:dyDescent="1.25">
      <c r="B103" s="538"/>
      <c r="C103" s="470" t="s">
        <v>997</v>
      </c>
      <c r="D103" s="382" t="s">
        <v>231</v>
      </c>
      <c r="E103" s="405" t="s">
        <v>59</v>
      </c>
      <c r="F103" s="383" t="s">
        <v>234</v>
      </c>
    </row>
    <row r="104" spans="2:6" ht="110.6" x14ac:dyDescent="1.25">
      <c r="B104" s="538"/>
      <c r="C104" s="470" t="s">
        <v>998</v>
      </c>
      <c r="D104" s="382" t="s">
        <v>232</v>
      </c>
      <c r="E104" s="405" t="s">
        <v>60</v>
      </c>
      <c r="F104" s="383" t="s">
        <v>234</v>
      </c>
    </row>
    <row r="105" spans="2:6" ht="110.6" x14ac:dyDescent="1.25">
      <c r="B105" s="538" t="s">
        <v>469</v>
      </c>
      <c r="C105" s="470" t="s">
        <v>238</v>
      </c>
      <c r="D105" s="382" t="s">
        <v>361</v>
      </c>
      <c r="E105" s="405" t="s">
        <v>55</v>
      </c>
      <c r="F105" s="383" t="s">
        <v>235</v>
      </c>
    </row>
    <row r="106" spans="2:6" ht="110.6" x14ac:dyDescent="1.25">
      <c r="B106" s="538"/>
      <c r="C106" s="470" t="s">
        <v>999</v>
      </c>
      <c r="D106" s="382" t="s">
        <v>362</v>
      </c>
      <c r="E106" s="405" t="s">
        <v>57</v>
      </c>
      <c r="F106" s="383" t="s">
        <v>236</v>
      </c>
    </row>
    <row r="107" spans="2:6" ht="110.6" x14ac:dyDescent="1.25">
      <c r="B107" s="538"/>
      <c r="C107" s="470" t="s">
        <v>239</v>
      </c>
      <c r="D107" s="382" t="s">
        <v>240</v>
      </c>
      <c r="E107" s="405" t="s">
        <v>56</v>
      </c>
      <c r="F107" s="383" t="s">
        <v>237</v>
      </c>
    </row>
    <row r="108" spans="2:6" ht="37.75" x14ac:dyDescent="1.25">
      <c r="B108" s="538"/>
      <c r="C108" s="510" t="s">
        <v>338</v>
      </c>
      <c r="D108" s="382" t="s">
        <v>241</v>
      </c>
      <c r="E108" s="405" t="s">
        <v>58</v>
      </c>
      <c r="F108" s="383" t="s">
        <v>244</v>
      </c>
    </row>
    <row r="109" spans="2:6" ht="110.6" x14ac:dyDescent="1.25">
      <c r="B109" s="538"/>
      <c r="C109" s="510" t="s">
        <v>997</v>
      </c>
      <c r="D109" s="382" t="s">
        <v>363</v>
      </c>
      <c r="E109" s="405" t="s">
        <v>59</v>
      </c>
      <c r="F109" s="383" t="s">
        <v>245</v>
      </c>
    </row>
    <row r="110" spans="2:6" ht="110.6" x14ac:dyDescent="1.25">
      <c r="B110" s="538"/>
      <c r="C110" s="470" t="s">
        <v>242</v>
      </c>
      <c r="D110" s="382" t="s">
        <v>243</v>
      </c>
      <c r="E110" s="405" t="s">
        <v>60</v>
      </c>
      <c r="F110" s="383" t="s">
        <v>245</v>
      </c>
    </row>
    <row r="111" spans="2:6" ht="110.6" x14ac:dyDescent="1.25">
      <c r="B111" s="538" t="s">
        <v>25</v>
      </c>
      <c r="C111" s="470" t="s">
        <v>1000</v>
      </c>
      <c r="D111" s="382" t="s">
        <v>364</v>
      </c>
      <c r="E111" s="405" t="s">
        <v>55</v>
      </c>
      <c r="F111" s="383" t="s">
        <v>246</v>
      </c>
    </row>
    <row r="112" spans="2:6" ht="110.6" x14ac:dyDescent="1.25">
      <c r="B112" s="538"/>
      <c r="C112" s="510" t="s">
        <v>226</v>
      </c>
      <c r="D112" s="382" t="s">
        <v>365</v>
      </c>
      <c r="E112" s="405" t="s">
        <v>57</v>
      </c>
      <c r="F112" s="383" t="s">
        <v>247</v>
      </c>
    </row>
    <row r="113" spans="1:6" ht="110.6" x14ac:dyDescent="1.25">
      <c r="B113" s="538"/>
      <c r="C113" s="470" t="s">
        <v>239</v>
      </c>
      <c r="D113" s="382" t="s">
        <v>366</v>
      </c>
      <c r="E113" s="405" t="s">
        <v>56</v>
      </c>
      <c r="F113" s="383" t="s">
        <v>248</v>
      </c>
    </row>
    <row r="114" spans="1:6" ht="37.75" x14ac:dyDescent="1.25">
      <c r="B114" s="538"/>
      <c r="C114" s="470" t="s">
        <v>996</v>
      </c>
      <c r="D114" s="382" t="s">
        <v>251</v>
      </c>
      <c r="E114" s="405" t="s">
        <v>58</v>
      </c>
      <c r="F114" s="383" t="s">
        <v>250</v>
      </c>
    </row>
    <row r="115" spans="1:6" ht="110.6" x14ac:dyDescent="1.25">
      <c r="B115" s="538"/>
      <c r="C115" s="470" t="s">
        <v>997</v>
      </c>
      <c r="D115" s="382" t="s">
        <v>367</v>
      </c>
      <c r="E115" s="405" t="s">
        <v>59</v>
      </c>
      <c r="F115" s="383" t="s">
        <v>249</v>
      </c>
    </row>
    <row r="116" spans="1:6" ht="110.6" x14ac:dyDescent="1.25">
      <c r="B116" s="538"/>
      <c r="C116" s="470" t="s">
        <v>242</v>
      </c>
      <c r="D116" s="382" t="s">
        <v>368</v>
      </c>
      <c r="E116" s="405" t="s">
        <v>60</v>
      </c>
      <c r="F116" s="383" t="s">
        <v>249</v>
      </c>
    </row>
    <row r="117" spans="1:6" ht="37.75" x14ac:dyDescent="0.85">
      <c r="B117" s="539" t="s">
        <v>128</v>
      </c>
      <c r="C117" s="539"/>
      <c r="D117" s="539"/>
      <c r="E117" s="539"/>
      <c r="F117" s="539"/>
    </row>
    <row r="118" spans="1:6" ht="37.75" hidden="1" x14ac:dyDescent="1.25">
      <c r="B118" s="548" t="s">
        <v>902</v>
      </c>
      <c r="C118" s="470" t="s">
        <v>688</v>
      </c>
      <c r="D118" s="389" t="s">
        <v>523</v>
      </c>
      <c r="E118" s="405" t="s">
        <v>727</v>
      </c>
      <c r="F118" s="391" t="s">
        <v>762</v>
      </c>
    </row>
    <row r="119" spans="1:6" ht="73.75" hidden="1" x14ac:dyDescent="1.25">
      <c r="B119" s="548"/>
      <c r="C119" s="470" t="s">
        <v>941</v>
      </c>
      <c r="D119" s="389" t="s">
        <v>524</v>
      </c>
      <c r="E119" s="405" t="s">
        <v>763</v>
      </c>
      <c r="F119" s="390" t="s">
        <v>764</v>
      </c>
    </row>
    <row r="120" spans="1:6" ht="37.75" hidden="1" x14ac:dyDescent="1.25">
      <c r="B120" s="548"/>
      <c r="C120" s="385" t="s">
        <v>945</v>
      </c>
      <c r="D120" s="389" t="s">
        <v>906</v>
      </c>
      <c r="E120" s="405" t="s">
        <v>957</v>
      </c>
      <c r="F120" s="390" t="s">
        <v>958</v>
      </c>
    </row>
    <row r="121" spans="1:6" ht="73.75" hidden="1" x14ac:dyDescent="1.25">
      <c r="B121" s="548"/>
      <c r="C121" s="470" t="s">
        <v>897</v>
      </c>
      <c r="D121" s="389" t="s">
        <v>907</v>
      </c>
      <c r="E121" s="405" t="s">
        <v>959</v>
      </c>
      <c r="F121" s="390" t="s">
        <v>958</v>
      </c>
    </row>
    <row r="122" spans="1:6" s="123" customFormat="1" ht="73.75" hidden="1" x14ac:dyDescent="1.25">
      <c r="A122" s="271"/>
      <c r="B122" s="548"/>
      <c r="C122" s="470" t="s">
        <v>898</v>
      </c>
      <c r="D122" s="389" t="s">
        <v>908</v>
      </c>
      <c r="E122" s="405" t="s">
        <v>960</v>
      </c>
      <c r="F122" s="390" t="s">
        <v>961</v>
      </c>
    </row>
    <row r="123" spans="1:6" ht="73.75" hidden="1" x14ac:dyDescent="1.25">
      <c r="B123" s="548"/>
      <c r="C123" s="470" t="s">
        <v>899</v>
      </c>
      <c r="D123" s="389" t="s">
        <v>909</v>
      </c>
      <c r="E123" s="405" t="s">
        <v>962</v>
      </c>
      <c r="F123" s="390" t="s">
        <v>958</v>
      </c>
    </row>
    <row r="124" spans="1:6" ht="73.75" hidden="1" x14ac:dyDescent="1.25">
      <c r="B124" s="548"/>
      <c r="C124" s="470" t="s">
        <v>900</v>
      </c>
      <c r="D124" s="389" t="s">
        <v>910</v>
      </c>
      <c r="E124" s="405" t="s">
        <v>963</v>
      </c>
      <c r="F124" s="390" t="s">
        <v>961</v>
      </c>
    </row>
    <row r="125" spans="1:6" ht="73.75" hidden="1" x14ac:dyDescent="1.25">
      <c r="B125" s="548"/>
      <c r="C125" s="470" t="s">
        <v>901</v>
      </c>
      <c r="D125" s="389" t="s">
        <v>911</v>
      </c>
      <c r="E125" s="405" t="s">
        <v>964</v>
      </c>
      <c r="F125" s="390" t="s">
        <v>958</v>
      </c>
    </row>
    <row r="126" spans="1:6" ht="73.75" hidden="1" x14ac:dyDescent="1.25">
      <c r="B126" s="548"/>
      <c r="C126" s="470" t="s">
        <v>936</v>
      </c>
      <c r="D126" s="389" t="s">
        <v>912</v>
      </c>
      <c r="E126" s="405" t="s">
        <v>968</v>
      </c>
      <c r="F126" s="390" t="s">
        <v>958</v>
      </c>
    </row>
    <row r="127" spans="1:6" ht="37.75" hidden="1" x14ac:dyDescent="1.25">
      <c r="B127" s="548" t="s">
        <v>903</v>
      </c>
      <c r="C127" s="470" t="s">
        <v>948</v>
      </c>
      <c r="D127" s="389" t="s">
        <v>913</v>
      </c>
      <c r="E127" s="405" t="s">
        <v>965</v>
      </c>
      <c r="F127" s="390" t="s">
        <v>966</v>
      </c>
    </row>
    <row r="128" spans="1:6" ht="73.75" hidden="1" x14ac:dyDescent="1.25">
      <c r="B128" s="548"/>
      <c r="C128" s="470" t="s">
        <v>942</v>
      </c>
      <c r="D128" s="389" t="s">
        <v>914</v>
      </c>
      <c r="E128" s="405" t="s">
        <v>967</v>
      </c>
      <c r="F128" s="390" t="s">
        <v>764</v>
      </c>
    </row>
    <row r="129" spans="2:6" ht="37.75" hidden="1" x14ac:dyDescent="1.25">
      <c r="B129" s="548"/>
      <c r="C129" s="385" t="s">
        <v>951</v>
      </c>
      <c r="D129" s="389" t="s">
        <v>915</v>
      </c>
      <c r="E129" s="405" t="s">
        <v>957</v>
      </c>
      <c r="F129" s="390" t="s">
        <v>958</v>
      </c>
    </row>
    <row r="130" spans="2:6" ht="73.75" hidden="1" x14ac:dyDescent="1.25">
      <c r="B130" s="548"/>
      <c r="C130" s="470" t="s">
        <v>897</v>
      </c>
      <c r="D130" s="389" t="s">
        <v>916</v>
      </c>
      <c r="E130" s="405" t="s">
        <v>959</v>
      </c>
      <c r="F130" s="390" t="s">
        <v>958</v>
      </c>
    </row>
    <row r="131" spans="2:6" ht="73.75" hidden="1" x14ac:dyDescent="1.25">
      <c r="B131" s="548"/>
      <c r="C131" s="470" t="s">
        <v>898</v>
      </c>
      <c r="D131" s="389" t="s">
        <v>917</v>
      </c>
      <c r="E131" s="405" t="s">
        <v>960</v>
      </c>
      <c r="F131" s="390" t="s">
        <v>961</v>
      </c>
    </row>
    <row r="132" spans="2:6" ht="73.75" hidden="1" x14ac:dyDescent="1.25">
      <c r="B132" s="548"/>
      <c r="C132" s="470" t="s">
        <v>899</v>
      </c>
      <c r="D132" s="389" t="s">
        <v>918</v>
      </c>
      <c r="E132" s="405" t="s">
        <v>962</v>
      </c>
      <c r="F132" s="390" t="s">
        <v>958</v>
      </c>
    </row>
    <row r="133" spans="2:6" ht="73.75" hidden="1" x14ac:dyDescent="1.25">
      <c r="B133" s="548"/>
      <c r="C133" s="470" t="s">
        <v>900</v>
      </c>
      <c r="D133" s="389" t="s">
        <v>919</v>
      </c>
      <c r="E133" s="405" t="s">
        <v>963</v>
      </c>
      <c r="F133" s="390" t="s">
        <v>961</v>
      </c>
    </row>
    <row r="134" spans="2:6" ht="73.75" hidden="1" x14ac:dyDescent="1.25">
      <c r="B134" s="548"/>
      <c r="C134" s="470" t="s">
        <v>901</v>
      </c>
      <c r="D134" s="389" t="s">
        <v>920</v>
      </c>
      <c r="E134" s="405" t="s">
        <v>964</v>
      </c>
      <c r="F134" s="390" t="s">
        <v>958</v>
      </c>
    </row>
    <row r="135" spans="2:6" ht="73.75" hidden="1" x14ac:dyDescent="1.25">
      <c r="B135" s="548"/>
      <c r="C135" s="470" t="s">
        <v>936</v>
      </c>
      <c r="D135" s="389" t="s">
        <v>921</v>
      </c>
      <c r="E135" s="405" t="s">
        <v>968</v>
      </c>
      <c r="F135" s="390" t="s">
        <v>958</v>
      </c>
    </row>
    <row r="136" spans="2:6" ht="37.75" hidden="1" x14ac:dyDescent="1.25">
      <c r="B136" s="548" t="s">
        <v>905</v>
      </c>
      <c r="C136" s="470" t="s">
        <v>949</v>
      </c>
      <c r="D136" s="389" t="s">
        <v>922</v>
      </c>
      <c r="E136" s="405" t="s">
        <v>969</v>
      </c>
      <c r="F136" s="390" t="s">
        <v>970</v>
      </c>
    </row>
    <row r="137" spans="2:6" ht="73.75" hidden="1" x14ac:dyDescent="1.25">
      <c r="B137" s="548"/>
      <c r="C137" s="470" t="s">
        <v>943</v>
      </c>
      <c r="D137" s="389" t="s">
        <v>923</v>
      </c>
      <c r="E137" s="405" t="s">
        <v>971</v>
      </c>
      <c r="F137" s="390" t="s">
        <v>764</v>
      </c>
    </row>
    <row r="138" spans="2:6" ht="37.75" hidden="1" x14ac:dyDescent="1.25">
      <c r="B138" s="548"/>
      <c r="C138" s="385" t="s">
        <v>952</v>
      </c>
      <c r="D138" s="389" t="s">
        <v>924</v>
      </c>
      <c r="E138" s="405" t="s">
        <v>957</v>
      </c>
      <c r="F138" s="390" t="s">
        <v>958</v>
      </c>
    </row>
    <row r="139" spans="2:6" ht="73.75" hidden="1" x14ac:dyDescent="1.25">
      <c r="B139" s="548"/>
      <c r="C139" s="470" t="s">
        <v>897</v>
      </c>
      <c r="D139" s="389" t="s">
        <v>925</v>
      </c>
      <c r="E139" s="405" t="s">
        <v>972</v>
      </c>
      <c r="F139" s="390" t="s">
        <v>958</v>
      </c>
    </row>
    <row r="140" spans="2:6" ht="73.75" hidden="1" x14ac:dyDescent="1.25">
      <c r="B140" s="548"/>
      <c r="C140" s="470" t="s">
        <v>898</v>
      </c>
      <c r="D140" s="389" t="s">
        <v>926</v>
      </c>
      <c r="E140" s="405" t="s">
        <v>973</v>
      </c>
      <c r="F140" s="390" t="s">
        <v>961</v>
      </c>
    </row>
    <row r="141" spans="2:6" ht="73.75" hidden="1" x14ac:dyDescent="1.25">
      <c r="B141" s="548"/>
      <c r="C141" s="470" t="s">
        <v>899</v>
      </c>
      <c r="D141" s="389" t="s">
        <v>927</v>
      </c>
      <c r="E141" s="405" t="s">
        <v>974</v>
      </c>
      <c r="F141" s="390" t="s">
        <v>958</v>
      </c>
    </row>
    <row r="142" spans="2:6" ht="73.75" hidden="1" x14ac:dyDescent="1.25">
      <c r="B142" s="548"/>
      <c r="C142" s="470" t="s">
        <v>900</v>
      </c>
      <c r="D142" s="389" t="s">
        <v>928</v>
      </c>
      <c r="E142" s="405" t="s">
        <v>975</v>
      </c>
      <c r="F142" s="390" t="s">
        <v>961</v>
      </c>
    </row>
    <row r="143" spans="2:6" ht="73.75" hidden="1" x14ac:dyDescent="1.25">
      <c r="B143" s="548"/>
      <c r="C143" s="470" t="s">
        <v>901</v>
      </c>
      <c r="D143" s="389" t="s">
        <v>929</v>
      </c>
      <c r="E143" s="405" t="s">
        <v>964</v>
      </c>
      <c r="F143" s="390" t="s">
        <v>958</v>
      </c>
    </row>
    <row r="144" spans="2:6" ht="73.75" hidden="1" x14ac:dyDescent="1.25">
      <c r="B144" s="548"/>
      <c r="C144" s="470" t="s">
        <v>936</v>
      </c>
      <c r="D144" s="389" t="s">
        <v>930</v>
      </c>
      <c r="E144" s="405" t="s">
        <v>968</v>
      </c>
      <c r="F144" s="390" t="s">
        <v>958</v>
      </c>
    </row>
    <row r="145" spans="2:6" ht="37.75" hidden="1" x14ac:dyDescent="1.25">
      <c r="B145" s="548" t="s">
        <v>904</v>
      </c>
      <c r="C145" s="470" t="s">
        <v>950</v>
      </c>
      <c r="D145" s="389" t="s">
        <v>931</v>
      </c>
      <c r="E145" s="405" t="s">
        <v>727</v>
      </c>
      <c r="F145" s="390" t="s">
        <v>976</v>
      </c>
    </row>
    <row r="146" spans="2:6" ht="73.75" hidden="1" x14ac:dyDescent="1.25">
      <c r="B146" s="548"/>
      <c r="C146" s="470" t="s">
        <v>944</v>
      </c>
      <c r="D146" s="389" t="s">
        <v>932</v>
      </c>
      <c r="E146" s="405" t="s">
        <v>763</v>
      </c>
      <c r="F146" s="390" t="s">
        <v>764</v>
      </c>
    </row>
    <row r="147" spans="2:6" ht="37.75" hidden="1" x14ac:dyDescent="1.25">
      <c r="B147" s="548"/>
      <c r="C147" s="385" t="s">
        <v>953</v>
      </c>
      <c r="D147" s="389" t="s">
        <v>933</v>
      </c>
      <c r="E147" s="405" t="s">
        <v>957</v>
      </c>
      <c r="F147" s="390" t="s">
        <v>958</v>
      </c>
    </row>
    <row r="148" spans="2:6" ht="73.75" hidden="1" x14ac:dyDescent="1.25">
      <c r="B148" s="548"/>
      <c r="C148" s="470" t="s">
        <v>897</v>
      </c>
      <c r="D148" s="389" t="s">
        <v>934</v>
      </c>
      <c r="E148" s="405" t="s">
        <v>959</v>
      </c>
      <c r="F148" s="390" t="s">
        <v>958</v>
      </c>
    </row>
    <row r="149" spans="2:6" ht="73.75" hidden="1" x14ac:dyDescent="1.25">
      <c r="B149" s="548"/>
      <c r="C149" s="470" t="s">
        <v>898</v>
      </c>
      <c r="D149" s="389" t="s">
        <v>935</v>
      </c>
      <c r="E149" s="405" t="s">
        <v>960</v>
      </c>
      <c r="F149" s="390" t="s">
        <v>961</v>
      </c>
    </row>
    <row r="150" spans="2:6" ht="73.75" hidden="1" x14ac:dyDescent="1.25">
      <c r="B150" s="548"/>
      <c r="C150" s="470" t="s">
        <v>899</v>
      </c>
      <c r="D150" s="389" t="s">
        <v>937</v>
      </c>
      <c r="E150" s="405" t="s">
        <v>962</v>
      </c>
      <c r="F150" s="390" t="s">
        <v>958</v>
      </c>
    </row>
    <row r="151" spans="2:6" ht="73.75" hidden="1" x14ac:dyDescent="1.25">
      <c r="B151" s="548"/>
      <c r="C151" s="470" t="s">
        <v>900</v>
      </c>
      <c r="D151" s="389" t="s">
        <v>938</v>
      </c>
      <c r="E151" s="405" t="s">
        <v>963</v>
      </c>
      <c r="F151" s="390" t="s">
        <v>961</v>
      </c>
    </row>
    <row r="152" spans="2:6" ht="73.75" hidden="1" x14ac:dyDescent="1.25">
      <c r="B152" s="548"/>
      <c r="C152" s="470" t="s">
        <v>901</v>
      </c>
      <c r="D152" s="389" t="s">
        <v>939</v>
      </c>
      <c r="E152" s="405" t="s">
        <v>964</v>
      </c>
      <c r="F152" s="390" t="s">
        <v>958</v>
      </c>
    </row>
    <row r="153" spans="2:6" ht="73.75" hidden="1" x14ac:dyDescent="1.25">
      <c r="B153" s="548"/>
      <c r="C153" s="470" t="s">
        <v>936</v>
      </c>
      <c r="D153" s="389" t="s">
        <v>940</v>
      </c>
      <c r="E153" s="405" t="s">
        <v>968</v>
      </c>
      <c r="F153" s="390" t="s">
        <v>958</v>
      </c>
    </row>
    <row r="154" spans="2:6" ht="73.75" x14ac:dyDescent="1.25">
      <c r="B154" s="538" t="s">
        <v>34</v>
      </c>
      <c r="C154" s="470" t="s">
        <v>184</v>
      </c>
      <c r="D154" s="382" t="s">
        <v>186</v>
      </c>
      <c r="E154" s="405" t="s">
        <v>275</v>
      </c>
      <c r="F154" s="383" t="s">
        <v>253</v>
      </c>
    </row>
    <row r="155" spans="2:6" ht="73.75" x14ac:dyDescent="1.25">
      <c r="B155" s="538"/>
      <c r="C155" s="470" t="s">
        <v>1001</v>
      </c>
      <c r="D155" s="382" t="s">
        <v>185</v>
      </c>
      <c r="E155" s="405" t="s">
        <v>64</v>
      </c>
      <c r="F155" s="383" t="s">
        <v>254</v>
      </c>
    </row>
    <row r="156" spans="2:6" ht="75.45" x14ac:dyDescent="1.35">
      <c r="B156" s="538" t="s">
        <v>35</v>
      </c>
      <c r="C156" s="512" t="s">
        <v>1016</v>
      </c>
      <c r="D156" s="392" t="s">
        <v>252</v>
      </c>
      <c r="E156" s="406" t="s">
        <v>321</v>
      </c>
      <c r="F156" s="393" t="s">
        <v>253</v>
      </c>
    </row>
    <row r="157" spans="2:6" ht="73.75" x14ac:dyDescent="1.25">
      <c r="B157" s="538"/>
      <c r="C157" s="510" t="s">
        <v>255</v>
      </c>
      <c r="D157" s="382" t="s">
        <v>256</v>
      </c>
      <c r="E157" s="405" t="s">
        <v>61</v>
      </c>
      <c r="F157" s="383" t="s">
        <v>254</v>
      </c>
    </row>
    <row r="158" spans="2:6" ht="37.75" x14ac:dyDescent="1.25">
      <c r="B158" s="540" t="s">
        <v>26</v>
      </c>
      <c r="C158" s="471" t="s">
        <v>1002</v>
      </c>
      <c r="D158" s="382" t="s">
        <v>257</v>
      </c>
      <c r="E158" s="405" t="s">
        <v>62</v>
      </c>
      <c r="F158" s="383" t="s">
        <v>266</v>
      </c>
    </row>
    <row r="159" spans="2:6" ht="37.75" x14ac:dyDescent="1.25">
      <c r="B159" s="540"/>
      <c r="C159" s="471" t="s">
        <v>339</v>
      </c>
      <c r="D159" s="382" t="s">
        <v>258</v>
      </c>
      <c r="E159" s="405" t="s">
        <v>65</v>
      </c>
      <c r="F159" s="383" t="s">
        <v>266</v>
      </c>
    </row>
    <row r="160" spans="2:6" ht="37.75" x14ac:dyDescent="1.25">
      <c r="B160" s="540"/>
      <c r="C160" s="471" t="s">
        <v>1003</v>
      </c>
      <c r="D160" s="382" t="s">
        <v>259</v>
      </c>
      <c r="E160" s="405" t="s">
        <v>63</v>
      </c>
      <c r="F160" s="383" t="s">
        <v>267</v>
      </c>
    </row>
    <row r="161" spans="2:6" ht="73.75" x14ac:dyDescent="1.25">
      <c r="B161" s="540"/>
      <c r="C161" s="471" t="s">
        <v>340</v>
      </c>
      <c r="D161" s="382" t="s">
        <v>260</v>
      </c>
      <c r="E161" s="405" t="s">
        <v>270</v>
      </c>
      <c r="F161" s="383" t="s">
        <v>269</v>
      </c>
    </row>
    <row r="162" spans="2:6" ht="73.75" x14ac:dyDescent="1.25">
      <c r="B162" s="540"/>
      <c r="C162" s="471" t="s">
        <v>341</v>
      </c>
      <c r="D162" s="382" t="s">
        <v>261</v>
      </c>
      <c r="E162" s="405" t="s">
        <v>271</v>
      </c>
      <c r="F162" s="383" t="s">
        <v>268</v>
      </c>
    </row>
    <row r="163" spans="2:6" ht="73.75" x14ac:dyDescent="1.25">
      <c r="B163" s="540"/>
      <c r="C163" s="511" t="s">
        <v>1004</v>
      </c>
      <c r="D163" s="382" t="s">
        <v>262</v>
      </c>
      <c r="E163" s="405" t="s">
        <v>66</v>
      </c>
      <c r="F163" s="383" t="s">
        <v>272</v>
      </c>
    </row>
    <row r="164" spans="2:6" ht="42" x14ac:dyDescent="1.25">
      <c r="B164" s="540"/>
      <c r="C164" s="511" t="s">
        <v>1005</v>
      </c>
      <c r="D164" s="382" t="s">
        <v>263</v>
      </c>
      <c r="E164" s="405" t="s">
        <v>67</v>
      </c>
      <c r="F164" s="383" t="s">
        <v>272</v>
      </c>
    </row>
    <row r="165" spans="2:6" ht="73.75" x14ac:dyDescent="1.25">
      <c r="B165" s="540" t="s">
        <v>111</v>
      </c>
      <c r="C165" s="471" t="s">
        <v>273</v>
      </c>
      <c r="D165" s="382" t="s">
        <v>264</v>
      </c>
      <c r="E165" s="405" t="s">
        <v>139</v>
      </c>
      <c r="F165" s="383" t="s">
        <v>254</v>
      </c>
    </row>
    <row r="166" spans="2:6" ht="73.75" x14ac:dyDescent="1.25">
      <c r="B166" s="540"/>
      <c r="C166" s="511" t="s">
        <v>274</v>
      </c>
      <c r="D166" s="382" t="s">
        <v>265</v>
      </c>
      <c r="E166" s="405" t="s">
        <v>628</v>
      </c>
      <c r="F166" s="383" t="s">
        <v>254</v>
      </c>
    </row>
    <row r="167" spans="2:6" ht="73.75" x14ac:dyDescent="1.25">
      <c r="B167" s="540"/>
      <c r="C167" s="471" t="s">
        <v>1006</v>
      </c>
      <c r="D167" s="382" t="s">
        <v>322</v>
      </c>
      <c r="E167" s="405" t="s">
        <v>324</v>
      </c>
      <c r="F167" s="383" t="s">
        <v>325</v>
      </c>
    </row>
    <row r="168" spans="2:6" ht="73.75" x14ac:dyDescent="1.25">
      <c r="B168" s="540"/>
      <c r="C168" s="471" t="s">
        <v>1007</v>
      </c>
      <c r="D168" s="382" t="s">
        <v>323</v>
      </c>
      <c r="E168" s="405" t="s">
        <v>326</v>
      </c>
      <c r="F168" s="383" t="s">
        <v>325</v>
      </c>
    </row>
    <row r="169" spans="2:6" ht="37.75" x14ac:dyDescent="0.85">
      <c r="B169" s="539" t="s">
        <v>130</v>
      </c>
      <c r="C169" s="539"/>
      <c r="D169" s="539"/>
      <c r="E169" s="539"/>
      <c r="F169" s="539"/>
    </row>
    <row r="170" spans="2:6" ht="73.75" x14ac:dyDescent="1.25">
      <c r="B170" s="541" t="s">
        <v>115</v>
      </c>
      <c r="C170" s="512" t="s">
        <v>1017</v>
      </c>
      <c r="D170" s="392" t="s">
        <v>369</v>
      </c>
      <c r="E170" s="405" t="s">
        <v>69</v>
      </c>
      <c r="F170" s="383" t="s">
        <v>278</v>
      </c>
    </row>
    <row r="171" spans="2:6" ht="73.75" x14ac:dyDescent="1.25">
      <c r="B171" s="541"/>
      <c r="C171" s="512" t="s">
        <v>476</v>
      </c>
      <c r="D171" s="392" t="s">
        <v>276</v>
      </c>
      <c r="E171" s="405" t="s">
        <v>68</v>
      </c>
      <c r="F171" s="383" t="s">
        <v>279</v>
      </c>
    </row>
    <row r="172" spans="2:6" ht="110.6" x14ac:dyDescent="1.25">
      <c r="B172" s="541"/>
      <c r="C172" s="470" t="s">
        <v>1008</v>
      </c>
      <c r="D172" s="382" t="s">
        <v>277</v>
      </c>
      <c r="E172" s="405" t="s">
        <v>117</v>
      </c>
      <c r="F172" s="383" t="s">
        <v>280</v>
      </c>
    </row>
    <row r="173" spans="2:6" ht="73.75" x14ac:dyDescent="1.25">
      <c r="B173" s="541"/>
      <c r="C173" s="512" t="s">
        <v>478</v>
      </c>
      <c r="D173" s="392" t="s">
        <v>370</v>
      </c>
      <c r="E173" s="405" t="s">
        <v>116</v>
      </c>
      <c r="F173" s="383" t="s">
        <v>281</v>
      </c>
    </row>
    <row r="174" spans="2:6" ht="110.6" x14ac:dyDescent="1.25">
      <c r="B174" s="541"/>
      <c r="C174" s="387" t="s">
        <v>477</v>
      </c>
      <c r="D174" s="379" t="s">
        <v>481</v>
      </c>
      <c r="E174" s="403" t="s">
        <v>765</v>
      </c>
      <c r="F174" s="380"/>
    </row>
    <row r="175" spans="2:6" ht="110.6" x14ac:dyDescent="1.25">
      <c r="B175" s="541"/>
      <c r="C175" s="387" t="s">
        <v>482</v>
      </c>
      <c r="D175" s="379" t="s">
        <v>498</v>
      </c>
      <c r="E175" s="405" t="s">
        <v>766</v>
      </c>
      <c r="F175" s="380"/>
    </row>
    <row r="176" spans="2:6" ht="110.6" x14ac:dyDescent="1.25">
      <c r="B176" s="538" t="s">
        <v>1009</v>
      </c>
      <c r="C176" s="513" t="s">
        <v>1018</v>
      </c>
      <c r="D176" s="392" t="s">
        <v>282</v>
      </c>
      <c r="E176" s="405" t="s">
        <v>629</v>
      </c>
      <c r="F176" s="383" t="s">
        <v>281</v>
      </c>
    </row>
    <row r="177" spans="2:6" ht="184.3" x14ac:dyDescent="1.25">
      <c r="B177" s="538"/>
      <c r="C177" s="470" t="s">
        <v>479</v>
      </c>
      <c r="D177" s="392" t="s">
        <v>283</v>
      </c>
      <c r="E177" s="405" t="s">
        <v>630</v>
      </c>
      <c r="F177" s="383" t="s">
        <v>281</v>
      </c>
    </row>
    <row r="178" spans="2:6" ht="73.75" x14ac:dyDescent="1.25">
      <c r="B178" s="538"/>
      <c r="C178" s="470" t="s">
        <v>484</v>
      </c>
      <c r="D178" s="379" t="s">
        <v>486</v>
      </c>
      <c r="E178" s="403" t="s">
        <v>767</v>
      </c>
      <c r="F178" s="380" t="s">
        <v>768</v>
      </c>
    </row>
    <row r="179" spans="2:6" ht="110.6" x14ac:dyDescent="1.25">
      <c r="B179" s="538"/>
      <c r="C179" s="470" t="s">
        <v>485</v>
      </c>
      <c r="D179" s="379" t="s">
        <v>487</v>
      </c>
      <c r="E179" s="403" t="s">
        <v>769</v>
      </c>
      <c r="F179" s="380" t="s">
        <v>768</v>
      </c>
    </row>
    <row r="180" spans="2:6" ht="147.44999999999999" x14ac:dyDescent="1.25">
      <c r="B180" s="542" t="s">
        <v>488</v>
      </c>
      <c r="C180" s="470" t="s">
        <v>342</v>
      </c>
      <c r="D180" s="382" t="s">
        <v>371</v>
      </c>
      <c r="E180" s="405" t="s">
        <v>118</v>
      </c>
      <c r="F180" s="383" t="s">
        <v>770</v>
      </c>
    </row>
    <row r="181" spans="2:6" ht="73.75" x14ac:dyDescent="1.25">
      <c r="B181" s="542"/>
      <c r="C181" s="470" t="s">
        <v>1019</v>
      </c>
      <c r="D181" s="392" t="s">
        <v>372</v>
      </c>
      <c r="E181" s="403" t="s">
        <v>771</v>
      </c>
      <c r="F181" s="380" t="s">
        <v>772</v>
      </c>
    </row>
    <row r="182" spans="2:6" ht="37.75" x14ac:dyDescent="1.25">
      <c r="B182" s="542"/>
      <c r="C182" s="510" t="s">
        <v>650</v>
      </c>
      <c r="D182" s="379" t="s">
        <v>651</v>
      </c>
      <c r="E182" s="405" t="s">
        <v>773</v>
      </c>
      <c r="F182" s="383" t="s">
        <v>770</v>
      </c>
    </row>
    <row r="183" spans="2:6" ht="73.75" x14ac:dyDescent="1.25">
      <c r="B183" s="542"/>
      <c r="C183" s="510" t="s">
        <v>1020</v>
      </c>
      <c r="D183" s="379" t="s">
        <v>652</v>
      </c>
      <c r="E183" s="403" t="s">
        <v>774</v>
      </c>
      <c r="F183" s="383" t="s">
        <v>772</v>
      </c>
    </row>
    <row r="184" spans="2:6" ht="110.6" x14ac:dyDescent="1.25">
      <c r="B184" s="542" t="s">
        <v>493</v>
      </c>
      <c r="C184" s="470" t="s">
        <v>480</v>
      </c>
      <c r="D184" s="392" t="s">
        <v>284</v>
      </c>
      <c r="E184" s="405" t="s">
        <v>119</v>
      </c>
      <c r="F184" s="383" t="s">
        <v>285</v>
      </c>
    </row>
    <row r="185" spans="2:6" ht="147.44999999999999" x14ac:dyDescent="1.25">
      <c r="B185" s="542"/>
      <c r="C185" s="510" t="s">
        <v>1021</v>
      </c>
      <c r="D185" s="392" t="s">
        <v>286</v>
      </c>
      <c r="E185" s="405" t="s">
        <v>631</v>
      </c>
      <c r="F185" s="383" t="s">
        <v>285</v>
      </c>
    </row>
    <row r="186" spans="2:6" ht="110.6" x14ac:dyDescent="1.25">
      <c r="B186" s="542"/>
      <c r="C186" s="510" t="s">
        <v>489</v>
      </c>
      <c r="D186" s="379" t="s">
        <v>494</v>
      </c>
      <c r="E186" s="403" t="s">
        <v>775</v>
      </c>
      <c r="F186" s="383" t="s">
        <v>776</v>
      </c>
    </row>
    <row r="187" spans="2:6" ht="110.6" x14ac:dyDescent="1.25">
      <c r="B187" s="542"/>
      <c r="C187" s="470" t="s">
        <v>490</v>
      </c>
      <c r="D187" s="379" t="s">
        <v>495</v>
      </c>
      <c r="E187" s="403" t="s">
        <v>777</v>
      </c>
      <c r="F187" s="380" t="s">
        <v>778</v>
      </c>
    </row>
    <row r="188" spans="2:6" ht="73.75" x14ac:dyDescent="1.25">
      <c r="B188" s="542"/>
      <c r="C188" s="470" t="s">
        <v>491</v>
      </c>
      <c r="D188" s="379" t="s">
        <v>496</v>
      </c>
      <c r="E188" s="403" t="s">
        <v>779</v>
      </c>
      <c r="F188" s="380" t="s">
        <v>780</v>
      </c>
    </row>
    <row r="189" spans="2:6" ht="73.75" x14ac:dyDescent="1.25">
      <c r="B189" s="542"/>
      <c r="C189" s="470" t="s">
        <v>492</v>
      </c>
      <c r="D189" s="379" t="s">
        <v>497</v>
      </c>
      <c r="E189" s="403" t="s">
        <v>781</v>
      </c>
      <c r="F189" s="380" t="s">
        <v>780</v>
      </c>
    </row>
    <row r="190" spans="2:6" ht="110.6" x14ac:dyDescent="1.25">
      <c r="B190" s="541" t="s">
        <v>124</v>
      </c>
      <c r="C190" s="470" t="s">
        <v>867</v>
      </c>
      <c r="D190" s="382" t="s">
        <v>287</v>
      </c>
      <c r="E190" s="405" t="s">
        <v>135</v>
      </c>
      <c r="F190" s="383" t="s">
        <v>289</v>
      </c>
    </row>
    <row r="191" spans="2:6" ht="110.6" x14ac:dyDescent="1.25">
      <c r="B191" s="541"/>
      <c r="C191" s="470" t="s">
        <v>343</v>
      </c>
      <c r="D191" s="382" t="s">
        <v>288</v>
      </c>
      <c r="E191" s="405" t="s">
        <v>632</v>
      </c>
      <c r="F191" s="383" t="s">
        <v>289</v>
      </c>
    </row>
    <row r="192" spans="2:6" ht="73.75" x14ac:dyDescent="1.25">
      <c r="B192" s="541" t="s">
        <v>513</v>
      </c>
      <c r="C192" s="470" t="s">
        <v>520</v>
      </c>
      <c r="D192" s="379" t="s">
        <v>530</v>
      </c>
      <c r="E192" s="403" t="s">
        <v>782</v>
      </c>
      <c r="F192" s="380" t="s">
        <v>783</v>
      </c>
    </row>
    <row r="193" spans="2:6" ht="73.75" x14ac:dyDescent="1.25">
      <c r="B193" s="541"/>
      <c r="C193" s="470" t="s">
        <v>515</v>
      </c>
      <c r="D193" s="379" t="s">
        <v>531</v>
      </c>
      <c r="E193" s="403" t="s">
        <v>784</v>
      </c>
      <c r="F193" s="380" t="s">
        <v>783</v>
      </c>
    </row>
    <row r="194" spans="2:6" ht="73.75" x14ac:dyDescent="1.25">
      <c r="B194" s="541"/>
      <c r="C194" s="387" t="s">
        <v>516</v>
      </c>
      <c r="D194" s="379" t="s">
        <v>532</v>
      </c>
      <c r="E194" s="403" t="s">
        <v>785</v>
      </c>
      <c r="F194" s="380"/>
    </row>
    <row r="195" spans="2:6" ht="73.75" x14ac:dyDescent="1.25">
      <c r="B195" s="541" t="s">
        <v>517</v>
      </c>
      <c r="C195" s="470" t="s">
        <v>521</v>
      </c>
      <c r="D195" s="379" t="s">
        <v>533</v>
      </c>
      <c r="E195" s="403" t="s">
        <v>786</v>
      </c>
      <c r="F195" s="380" t="s">
        <v>787</v>
      </c>
    </row>
    <row r="196" spans="2:6" ht="73.75" x14ac:dyDescent="1.25">
      <c r="B196" s="541"/>
      <c r="C196" s="470" t="s">
        <v>518</v>
      </c>
      <c r="D196" s="379" t="s">
        <v>534</v>
      </c>
      <c r="E196" s="403" t="s">
        <v>788</v>
      </c>
      <c r="F196" s="380" t="s">
        <v>787</v>
      </c>
    </row>
    <row r="197" spans="2:6" ht="73.75" x14ac:dyDescent="1.25">
      <c r="B197" s="541"/>
      <c r="C197" s="387" t="s">
        <v>519</v>
      </c>
      <c r="D197" s="379" t="s">
        <v>535</v>
      </c>
      <c r="E197" s="403" t="s">
        <v>789</v>
      </c>
      <c r="F197" s="380"/>
    </row>
    <row r="198" spans="2:6" ht="73.75" x14ac:dyDescent="1.25">
      <c r="B198" s="541" t="s">
        <v>514</v>
      </c>
      <c r="C198" s="470" t="s">
        <v>955</v>
      </c>
      <c r="D198" s="379" t="s">
        <v>536</v>
      </c>
      <c r="E198" s="403" t="s">
        <v>790</v>
      </c>
      <c r="F198" s="380" t="s">
        <v>791</v>
      </c>
    </row>
    <row r="199" spans="2:6" ht="73.75" x14ac:dyDescent="1.25">
      <c r="B199" s="541"/>
      <c r="C199" s="470" t="s">
        <v>956</v>
      </c>
      <c r="D199" s="379" t="s">
        <v>537</v>
      </c>
      <c r="E199" s="403" t="s">
        <v>792</v>
      </c>
      <c r="F199" s="380" t="s">
        <v>791</v>
      </c>
    </row>
    <row r="200" spans="2:6" ht="73.75" x14ac:dyDescent="1.25">
      <c r="B200" s="541"/>
      <c r="C200" s="514" t="s">
        <v>977</v>
      </c>
      <c r="D200" s="379" t="s">
        <v>538</v>
      </c>
      <c r="E200" s="403" t="s">
        <v>793</v>
      </c>
      <c r="F200" s="380"/>
    </row>
    <row r="201" spans="2:6" ht="37.75" x14ac:dyDescent="0.85">
      <c r="B201" s="539" t="s">
        <v>129</v>
      </c>
      <c r="C201" s="539"/>
      <c r="D201" s="539"/>
      <c r="E201" s="539"/>
      <c r="F201" s="539"/>
    </row>
    <row r="202" spans="2:6" ht="110.6" x14ac:dyDescent="1.25">
      <c r="B202" s="542" t="s">
        <v>483</v>
      </c>
      <c r="C202" s="470" t="s">
        <v>499</v>
      </c>
      <c r="D202" s="392" t="s">
        <v>373</v>
      </c>
      <c r="E202" s="405" t="s">
        <v>70</v>
      </c>
      <c r="F202" s="383" t="s">
        <v>794</v>
      </c>
    </row>
    <row r="203" spans="2:6" ht="73.75" x14ac:dyDescent="1.25">
      <c r="B203" s="542"/>
      <c r="C203" s="470" t="s">
        <v>500</v>
      </c>
      <c r="D203" s="392" t="s">
        <v>374</v>
      </c>
      <c r="E203" s="405" t="s">
        <v>71</v>
      </c>
      <c r="F203" s="383" t="s">
        <v>794</v>
      </c>
    </row>
    <row r="204" spans="2:6" ht="37.75" x14ac:dyDescent="1.25">
      <c r="B204" s="542"/>
      <c r="C204" s="387" t="s">
        <v>501</v>
      </c>
      <c r="D204" s="379" t="s">
        <v>508</v>
      </c>
      <c r="E204" s="403"/>
      <c r="F204" s="380"/>
    </row>
    <row r="205" spans="2:6" ht="73.75" x14ac:dyDescent="1.25">
      <c r="B205" s="538" t="s">
        <v>868</v>
      </c>
      <c r="C205" s="470" t="s">
        <v>502</v>
      </c>
      <c r="D205" s="379" t="s">
        <v>509</v>
      </c>
      <c r="E205" s="403" t="s">
        <v>795</v>
      </c>
      <c r="F205" s="383" t="s">
        <v>794</v>
      </c>
    </row>
    <row r="206" spans="2:6" ht="73.75" x14ac:dyDescent="1.25">
      <c r="B206" s="538"/>
      <c r="C206" s="470" t="s">
        <v>503</v>
      </c>
      <c r="D206" s="379" t="s">
        <v>510</v>
      </c>
      <c r="E206" s="403" t="s">
        <v>796</v>
      </c>
      <c r="F206" s="383" t="s">
        <v>794</v>
      </c>
    </row>
    <row r="207" spans="2:6" ht="73.75" x14ac:dyDescent="1.25">
      <c r="B207" s="543" t="s">
        <v>488</v>
      </c>
      <c r="C207" s="515" t="s">
        <v>504</v>
      </c>
      <c r="D207" s="398" t="s">
        <v>375</v>
      </c>
      <c r="E207" s="407" t="s">
        <v>140</v>
      </c>
      <c r="F207" s="394" t="s">
        <v>296</v>
      </c>
    </row>
    <row r="208" spans="2:6" ht="73.75" x14ac:dyDescent="1.25">
      <c r="B208" s="543"/>
      <c r="C208" s="515" t="s">
        <v>648</v>
      </c>
      <c r="D208" s="399" t="s">
        <v>649</v>
      </c>
      <c r="E208" s="407" t="s">
        <v>797</v>
      </c>
      <c r="F208" s="394" t="s">
        <v>296</v>
      </c>
    </row>
    <row r="209" spans="1:6" ht="73.75" x14ac:dyDescent="1.25">
      <c r="B209" s="542" t="s">
        <v>493</v>
      </c>
      <c r="C209" s="470" t="s">
        <v>506</v>
      </c>
      <c r="D209" s="379" t="s">
        <v>376</v>
      </c>
      <c r="E209" s="405" t="s">
        <v>798</v>
      </c>
      <c r="F209" s="383" t="s">
        <v>799</v>
      </c>
    </row>
    <row r="210" spans="1:6" ht="73.75" x14ac:dyDescent="1.25">
      <c r="B210" s="542"/>
      <c r="C210" s="470" t="s">
        <v>507</v>
      </c>
      <c r="D210" s="379" t="s">
        <v>511</v>
      </c>
      <c r="E210" s="403" t="s">
        <v>800</v>
      </c>
      <c r="F210" s="383" t="s">
        <v>799</v>
      </c>
    </row>
    <row r="211" spans="1:6" ht="73.75" x14ac:dyDescent="1.25">
      <c r="B211" s="542"/>
      <c r="C211" s="470" t="s">
        <v>505</v>
      </c>
      <c r="D211" s="379" t="s">
        <v>512</v>
      </c>
      <c r="E211" s="403" t="s">
        <v>801</v>
      </c>
      <c r="F211" s="383" t="s">
        <v>802</v>
      </c>
    </row>
    <row r="212" spans="1:6" ht="73.75" x14ac:dyDescent="1.25">
      <c r="B212" s="381" t="s">
        <v>290</v>
      </c>
      <c r="C212" s="470" t="s">
        <v>869</v>
      </c>
      <c r="D212" s="382" t="s">
        <v>377</v>
      </c>
      <c r="E212" s="405" t="s">
        <v>291</v>
      </c>
      <c r="F212" s="383" t="s">
        <v>292</v>
      </c>
    </row>
    <row r="213" spans="1:6" ht="110.6" x14ac:dyDescent="1.25">
      <c r="B213" s="542" t="s">
        <v>870</v>
      </c>
      <c r="C213" s="470" t="s">
        <v>293</v>
      </c>
      <c r="D213" s="382" t="s">
        <v>378</v>
      </c>
      <c r="E213" s="405" t="s">
        <v>294</v>
      </c>
      <c r="F213" s="383" t="s">
        <v>295</v>
      </c>
    </row>
    <row r="214" spans="1:6" s="125" customFormat="1" ht="184.3" x14ac:dyDescent="1.25">
      <c r="A214" s="272"/>
      <c r="B214" s="542"/>
      <c r="C214" s="470" t="s">
        <v>344</v>
      </c>
      <c r="D214" s="382" t="s">
        <v>379</v>
      </c>
      <c r="E214" s="405" t="s">
        <v>141</v>
      </c>
      <c r="F214" s="383" t="s">
        <v>296</v>
      </c>
    </row>
    <row r="215" spans="1:6" ht="147.44999999999999" x14ac:dyDescent="1.25">
      <c r="B215" s="542"/>
      <c r="C215" s="470" t="s">
        <v>871</v>
      </c>
      <c r="D215" s="382" t="s">
        <v>380</v>
      </c>
      <c r="E215" s="405" t="s">
        <v>142</v>
      </c>
      <c r="F215" s="383" t="s">
        <v>297</v>
      </c>
    </row>
    <row r="216" spans="1:6" ht="37.75" x14ac:dyDescent="0.85">
      <c r="B216" s="539" t="s">
        <v>131</v>
      </c>
      <c r="C216" s="539"/>
      <c r="D216" s="539"/>
      <c r="E216" s="539"/>
      <c r="F216" s="539"/>
    </row>
    <row r="217" spans="1:6" ht="73.75" x14ac:dyDescent="1.25">
      <c r="B217" s="381" t="s">
        <v>298</v>
      </c>
      <c r="C217" s="516" t="s">
        <v>1010</v>
      </c>
      <c r="D217" s="382" t="s">
        <v>299</v>
      </c>
      <c r="E217" s="405" t="s">
        <v>803</v>
      </c>
      <c r="F217" s="383" t="s">
        <v>804</v>
      </c>
    </row>
    <row r="218" spans="1:6" ht="73.75" x14ac:dyDescent="1.25">
      <c r="B218" s="538" t="s">
        <v>579</v>
      </c>
      <c r="C218" s="510" t="s">
        <v>396</v>
      </c>
      <c r="D218" s="379" t="s">
        <v>573</v>
      </c>
      <c r="E218" s="403" t="s">
        <v>805</v>
      </c>
      <c r="F218" s="383" t="s">
        <v>804</v>
      </c>
    </row>
    <row r="219" spans="1:6" ht="73.75" x14ac:dyDescent="1.25">
      <c r="B219" s="538"/>
      <c r="C219" s="510" t="s">
        <v>391</v>
      </c>
      <c r="D219" s="379" t="s">
        <v>574</v>
      </c>
      <c r="E219" s="403" t="s">
        <v>806</v>
      </c>
      <c r="F219" s="383" t="s">
        <v>804</v>
      </c>
    </row>
    <row r="220" spans="1:6" ht="73.75" x14ac:dyDescent="1.25">
      <c r="B220" s="538"/>
      <c r="C220" s="470" t="s">
        <v>392</v>
      </c>
      <c r="D220" s="379" t="s">
        <v>575</v>
      </c>
      <c r="E220" s="403" t="s">
        <v>807</v>
      </c>
      <c r="F220" s="383" t="s">
        <v>804</v>
      </c>
    </row>
    <row r="221" spans="1:6" ht="73.75" x14ac:dyDescent="1.25">
      <c r="B221" s="538"/>
      <c r="C221" s="470" t="s">
        <v>393</v>
      </c>
      <c r="D221" s="379" t="s">
        <v>576</v>
      </c>
      <c r="E221" s="403" t="s">
        <v>808</v>
      </c>
      <c r="F221" s="383" t="s">
        <v>804</v>
      </c>
    </row>
    <row r="222" spans="1:6" ht="73.75" x14ac:dyDescent="1.25">
      <c r="B222" s="538"/>
      <c r="C222" s="470" t="s">
        <v>394</v>
      </c>
      <c r="D222" s="379" t="s">
        <v>577</v>
      </c>
      <c r="E222" s="403" t="s">
        <v>809</v>
      </c>
      <c r="F222" s="383" t="s">
        <v>804</v>
      </c>
    </row>
    <row r="223" spans="1:6" ht="73.75" x14ac:dyDescent="1.25">
      <c r="B223" s="538"/>
      <c r="C223" s="470" t="s">
        <v>395</v>
      </c>
      <c r="D223" s="379" t="s">
        <v>578</v>
      </c>
      <c r="E223" s="403" t="s">
        <v>810</v>
      </c>
      <c r="F223" s="383" t="s">
        <v>804</v>
      </c>
    </row>
    <row r="224" spans="1:6" ht="73.75" x14ac:dyDescent="1.25">
      <c r="B224" s="381" t="s">
        <v>580</v>
      </c>
      <c r="C224" s="517" t="s">
        <v>1013</v>
      </c>
      <c r="D224" s="382" t="s">
        <v>300</v>
      </c>
      <c r="E224" s="405" t="s">
        <v>72</v>
      </c>
      <c r="F224" s="383" t="s">
        <v>804</v>
      </c>
    </row>
    <row r="225" spans="2:6" ht="37.75" x14ac:dyDescent="1.25">
      <c r="B225" s="538" t="s">
        <v>581</v>
      </c>
      <c r="C225" s="470" t="s">
        <v>562</v>
      </c>
      <c r="D225" s="379" t="s">
        <v>561</v>
      </c>
      <c r="E225" s="403" t="s">
        <v>811</v>
      </c>
      <c r="F225" s="380" t="s">
        <v>812</v>
      </c>
    </row>
    <row r="226" spans="2:6" ht="37.75" x14ac:dyDescent="1.25">
      <c r="B226" s="538"/>
      <c r="C226" s="516" t="s">
        <v>1011</v>
      </c>
      <c r="D226" s="382" t="s">
        <v>302</v>
      </c>
      <c r="E226" s="405" t="s">
        <v>301</v>
      </c>
      <c r="F226" s="383" t="s">
        <v>303</v>
      </c>
    </row>
    <row r="227" spans="2:6" ht="73.75" x14ac:dyDescent="1.25">
      <c r="B227" s="538" t="s">
        <v>441</v>
      </c>
      <c r="C227" s="470" t="s">
        <v>396</v>
      </c>
      <c r="D227" s="382" t="s">
        <v>410</v>
      </c>
      <c r="E227" s="405" t="s">
        <v>427</v>
      </c>
      <c r="F227" s="383" t="s">
        <v>303</v>
      </c>
    </row>
    <row r="228" spans="2:6" ht="73.75" x14ac:dyDescent="1.25">
      <c r="B228" s="538"/>
      <c r="C228" s="470" t="s">
        <v>391</v>
      </c>
      <c r="D228" s="382" t="s">
        <v>411</v>
      </c>
      <c r="E228" s="405" t="s">
        <v>428</v>
      </c>
      <c r="F228" s="383" t="s">
        <v>303</v>
      </c>
    </row>
    <row r="229" spans="2:6" ht="73.75" x14ac:dyDescent="1.25">
      <c r="B229" s="538"/>
      <c r="C229" s="470" t="s">
        <v>392</v>
      </c>
      <c r="D229" s="382" t="s">
        <v>412</v>
      </c>
      <c r="E229" s="405" t="s">
        <v>429</v>
      </c>
      <c r="F229" s="383" t="s">
        <v>303</v>
      </c>
    </row>
    <row r="230" spans="2:6" ht="73.75" x14ac:dyDescent="1.25">
      <c r="B230" s="538"/>
      <c r="C230" s="470" t="s">
        <v>393</v>
      </c>
      <c r="D230" s="382" t="s">
        <v>413</v>
      </c>
      <c r="E230" s="405" t="s">
        <v>430</v>
      </c>
      <c r="F230" s="383" t="s">
        <v>303</v>
      </c>
    </row>
    <row r="231" spans="2:6" ht="73.75" x14ac:dyDescent="1.25">
      <c r="B231" s="538"/>
      <c r="C231" s="470" t="s">
        <v>394</v>
      </c>
      <c r="D231" s="382" t="s">
        <v>414</v>
      </c>
      <c r="E231" s="405" t="s">
        <v>431</v>
      </c>
      <c r="F231" s="383" t="s">
        <v>303</v>
      </c>
    </row>
    <row r="232" spans="2:6" ht="73.75" x14ac:dyDescent="1.25">
      <c r="B232" s="538"/>
      <c r="C232" s="470" t="s">
        <v>395</v>
      </c>
      <c r="D232" s="382" t="s">
        <v>415</v>
      </c>
      <c r="E232" s="405" t="s">
        <v>432</v>
      </c>
      <c r="F232" s="383" t="s">
        <v>303</v>
      </c>
    </row>
    <row r="233" spans="2:6" ht="37.75" x14ac:dyDescent="1.25">
      <c r="B233" s="538" t="s">
        <v>442</v>
      </c>
      <c r="C233" s="470" t="s">
        <v>445</v>
      </c>
      <c r="D233" s="382" t="s">
        <v>421</v>
      </c>
      <c r="E233" s="405" t="s">
        <v>433</v>
      </c>
      <c r="F233" s="383" t="s">
        <v>439</v>
      </c>
    </row>
    <row r="234" spans="2:6" ht="37.75" x14ac:dyDescent="1.25">
      <c r="B234" s="538"/>
      <c r="C234" s="510" t="s">
        <v>416</v>
      </c>
      <c r="D234" s="382" t="s">
        <v>422</v>
      </c>
      <c r="E234" s="405" t="s">
        <v>434</v>
      </c>
      <c r="F234" s="383" t="s">
        <v>439</v>
      </c>
    </row>
    <row r="235" spans="2:6" ht="37.75" x14ac:dyDescent="1.25">
      <c r="B235" s="538"/>
      <c r="C235" s="510" t="s">
        <v>417</v>
      </c>
      <c r="D235" s="382" t="s">
        <v>423</v>
      </c>
      <c r="E235" s="405" t="s">
        <v>435</v>
      </c>
      <c r="F235" s="383" t="s">
        <v>439</v>
      </c>
    </row>
    <row r="236" spans="2:6" ht="37.75" x14ac:dyDescent="1.25">
      <c r="B236" s="538"/>
      <c r="C236" s="470" t="s">
        <v>418</v>
      </c>
      <c r="D236" s="382" t="s">
        <v>424</v>
      </c>
      <c r="E236" s="405" t="s">
        <v>436</v>
      </c>
      <c r="F236" s="383" t="s">
        <v>439</v>
      </c>
    </row>
    <row r="237" spans="2:6" ht="37.75" x14ac:dyDescent="1.25">
      <c r="B237" s="538"/>
      <c r="C237" s="470" t="s">
        <v>419</v>
      </c>
      <c r="D237" s="382" t="s">
        <v>425</v>
      </c>
      <c r="E237" s="405" t="s">
        <v>437</v>
      </c>
      <c r="F237" s="383" t="s">
        <v>439</v>
      </c>
    </row>
    <row r="238" spans="2:6" ht="37.75" x14ac:dyDescent="1.25">
      <c r="B238" s="538"/>
      <c r="C238" s="470" t="s">
        <v>420</v>
      </c>
      <c r="D238" s="382" t="s">
        <v>426</v>
      </c>
      <c r="E238" s="405" t="s">
        <v>438</v>
      </c>
      <c r="F238" s="383" t="s">
        <v>439</v>
      </c>
    </row>
    <row r="239" spans="2:6" ht="37.75" x14ac:dyDescent="1.25">
      <c r="B239" s="538"/>
      <c r="C239" s="385" t="s">
        <v>440</v>
      </c>
      <c r="D239" s="382" t="s">
        <v>444</v>
      </c>
      <c r="E239" s="403"/>
      <c r="F239" s="380"/>
    </row>
    <row r="240" spans="2:6" ht="73.75" x14ac:dyDescent="1.25">
      <c r="B240" s="538"/>
      <c r="C240" s="470" t="s">
        <v>462</v>
      </c>
      <c r="D240" s="382" t="s">
        <v>446</v>
      </c>
      <c r="E240" s="405" t="s">
        <v>460</v>
      </c>
      <c r="F240" s="383" t="s">
        <v>439</v>
      </c>
    </row>
    <row r="241" spans="2:6" ht="110.6" x14ac:dyDescent="1.25">
      <c r="B241" s="545" t="s">
        <v>614</v>
      </c>
      <c r="C241" s="470" t="s">
        <v>606</v>
      </c>
      <c r="D241" s="379" t="s">
        <v>558</v>
      </c>
      <c r="E241" s="403" t="s">
        <v>814</v>
      </c>
      <c r="F241" s="380" t="s">
        <v>815</v>
      </c>
    </row>
    <row r="242" spans="2:6" ht="110.6" x14ac:dyDescent="1.25">
      <c r="B242" s="545"/>
      <c r="C242" s="470" t="s">
        <v>607</v>
      </c>
      <c r="D242" s="379" t="s">
        <v>559</v>
      </c>
      <c r="E242" s="403" t="s">
        <v>816</v>
      </c>
      <c r="F242" s="380" t="s">
        <v>815</v>
      </c>
    </row>
    <row r="243" spans="2:6" ht="75.45" x14ac:dyDescent="1.25">
      <c r="B243" s="545"/>
      <c r="C243" s="385" t="s">
        <v>855</v>
      </c>
      <c r="D243" s="379" t="s">
        <v>557</v>
      </c>
      <c r="E243" s="403"/>
      <c r="F243" s="396"/>
    </row>
    <row r="244" spans="2:6" ht="110.6" x14ac:dyDescent="1.25">
      <c r="B244" s="545"/>
      <c r="C244" s="470" t="s">
        <v>608</v>
      </c>
      <c r="D244" s="379" t="s">
        <v>560</v>
      </c>
      <c r="E244" s="403" t="s">
        <v>817</v>
      </c>
      <c r="F244" s="380" t="s">
        <v>815</v>
      </c>
    </row>
    <row r="245" spans="2:6" ht="110.6" x14ac:dyDescent="1.25">
      <c r="B245" s="545"/>
      <c r="C245" s="470" t="s">
        <v>609</v>
      </c>
      <c r="D245" s="379" t="s">
        <v>602</v>
      </c>
      <c r="E245" s="403" t="s">
        <v>818</v>
      </c>
      <c r="F245" s="380" t="s">
        <v>815</v>
      </c>
    </row>
    <row r="246" spans="2:6" ht="110.6" x14ac:dyDescent="1.25">
      <c r="B246" s="545"/>
      <c r="C246" s="385" t="s">
        <v>856</v>
      </c>
      <c r="D246" s="379" t="s">
        <v>304</v>
      </c>
      <c r="E246" s="405" t="s">
        <v>813</v>
      </c>
      <c r="F246" s="383" t="s">
        <v>303</v>
      </c>
    </row>
    <row r="247" spans="2:6" ht="75.45" x14ac:dyDescent="1.25">
      <c r="B247" s="545"/>
      <c r="C247" s="470" t="s">
        <v>1022</v>
      </c>
      <c r="D247" s="379" t="s">
        <v>603</v>
      </c>
      <c r="E247" s="403" t="s">
        <v>819</v>
      </c>
      <c r="F247" s="380" t="s">
        <v>820</v>
      </c>
    </row>
    <row r="248" spans="2:6" ht="75.45" x14ac:dyDescent="1.25">
      <c r="B248" s="545"/>
      <c r="C248" s="470" t="s">
        <v>1023</v>
      </c>
      <c r="D248" s="379" t="s">
        <v>604</v>
      </c>
      <c r="E248" s="403" t="s">
        <v>821</v>
      </c>
      <c r="F248" s="380" t="s">
        <v>822</v>
      </c>
    </row>
    <row r="249" spans="2:6" ht="75.45" x14ac:dyDescent="1.25">
      <c r="B249" s="545"/>
      <c r="C249" s="470" t="s">
        <v>1024</v>
      </c>
      <c r="D249" s="379" t="s">
        <v>605</v>
      </c>
      <c r="E249" s="403" t="s">
        <v>823</v>
      </c>
      <c r="F249" s="380" t="s">
        <v>824</v>
      </c>
    </row>
    <row r="250" spans="2:6" ht="37.75" x14ac:dyDescent="0.85">
      <c r="B250" s="545"/>
      <c r="C250" s="385" t="s">
        <v>857</v>
      </c>
      <c r="D250" s="379" t="s">
        <v>612</v>
      </c>
      <c r="E250" s="408" t="s">
        <v>866</v>
      </c>
      <c r="F250" s="395">
        <f t="shared" ref="F250" si="0">SUM(F247:F249)</f>
        <v>0</v>
      </c>
    </row>
    <row r="251" spans="2:6" ht="73.75" x14ac:dyDescent="1.25">
      <c r="B251" s="545"/>
      <c r="C251" s="470" t="s">
        <v>610</v>
      </c>
      <c r="D251" s="379" t="s">
        <v>613</v>
      </c>
      <c r="E251" s="403" t="s">
        <v>825</v>
      </c>
      <c r="F251" s="380" t="s">
        <v>826</v>
      </c>
    </row>
    <row r="252" spans="2:6" ht="75.45" x14ac:dyDescent="1.25">
      <c r="B252" s="545"/>
      <c r="C252" s="385" t="s">
        <v>858</v>
      </c>
      <c r="D252" s="379" t="s">
        <v>616</v>
      </c>
      <c r="E252" s="403" t="s">
        <v>827</v>
      </c>
      <c r="F252" s="380" t="s">
        <v>828</v>
      </c>
    </row>
    <row r="253" spans="2:6" ht="73.75" x14ac:dyDescent="1.25">
      <c r="B253" s="545"/>
      <c r="C253" s="470" t="s">
        <v>829</v>
      </c>
      <c r="D253" s="379" t="s">
        <v>617</v>
      </c>
      <c r="E253" s="403" t="s">
        <v>830</v>
      </c>
      <c r="F253" s="380" t="s">
        <v>831</v>
      </c>
    </row>
    <row r="254" spans="2:6" ht="73.75" x14ac:dyDescent="1.25">
      <c r="B254" s="545"/>
      <c r="C254" s="470" t="s">
        <v>832</v>
      </c>
      <c r="D254" s="379" t="s">
        <v>618</v>
      </c>
      <c r="E254" s="403" t="s">
        <v>833</v>
      </c>
      <c r="F254" s="380" t="s">
        <v>831</v>
      </c>
    </row>
    <row r="255" spans="2:6" ht="37.75" x14ac:dyDescent="1.25">
      <c r="B255" s="542" t="s">
        <v>615</v>
      </c>
      <c r="C255" s="385" t="s">
        <v>522</v>
      </c>
      <c r="D255" s="382" t="s">
        <v>619</v>
      </c>
      <c r="E255" s="403" t="s">
        <v>727</v>
      </c>
      <c r="F255" s="380" t="s">
        <v>834</v>
      </c>
    </row>
    <row r="256" spans="2:6" ht="37.75" x14ac:dyDescent="1.25">
      <c r="B256" s="542"/>
      <c r="C256" s="518" t="s">
        <v>1046</v>
      </c>
      <c r="D256" s="379" t="s">
        <v>619</v>
      </c>
      <c r="E256" s="403"/>
      <c r="F256" s="380"/>
    </row>
    <row r="257" spans="2:6" ht="37.75" x14ac:dyDescent="1.25">
      <c r="B257" s="542"/>
      <c r="C257" s="470" t="s">
        <v>601</v>
      </c>
      <c r="D257" s="379" t="s">
        <v>620</v>
      </c>
      <c r="E257" s="381" t="s">
        <v>835</v>
      </c>
      <c r="F257" s="380" t="s">
        <v>836</v>
      </c>
    </row>
    <row r="258" spans="2:6" ht="75.45" x14ac:dyDescent="1.25">
      <c r="B258" s="542"/>
      <c r="C258" s="470" t="s">
        <v>1022</v>
      </c>
      <c r="D258" s="379" t="s">
        <v>621</v>
      </c>
      <c r="E258" s="403" t="s">
        <v>837</v>
      </c>
      <c r="F258" s="380" t="s">
        <v>820</v>
      </c>
    </row>
    <row r="259" spans="2:6" ht="75.45" x14ac:dyDescent="1.25">
      <c r="B259" s="542"/>
      <c r="C259" s="470" t="s">
        <v>1023</v>
      </c>
      <c r="D259" s="379" t="s">
        <v>622</v>
      </c>
      <c r="E259" s="403" t="s">
        <v>838</v>
      </c>
      <c r="F259" s="380" t="s">
        <v>822</v>
      </c>
    </row>
    <row r="260" spans="2:6" ht="75.45" x14ac:dyDescent="1.25">
      <c r="B260" s="542"/>
      <c r="C260" s="470" t="s">
        <v>1024</v>
      </c>
      <c r="D260" s="379" t="s">
        <v>623</v>
      </c>
      <c r="E260" s="403" t="s">
        <v>839</v>
      </c>
      <c r="F260" s="380" t="s">
        <v>824</v>
      </c>
    </row>
    <row r="261" spans="2:6" ht="73.75" x14ac:dyDescent="1.25">
      <c r="B261" s="542"/>
      <c r="C261" s="470" t="s">
        <v>610</v>
      </c>
      <c r="D261" s="379" t="s">
        <v>624</v>
      </c>
      <c r="E261" s="403" t="s">
        <v>840</v>
      </c>
      <c r="F261" s="380" t="s">
        <v>826</v>
      </c>
    </row>
    <row r="262" spans="2:6" ht="75.45" x14ac:dyDescent="1.25">
      <c r="B262" s="542"/>
      <c r="C262" s="385" t="s">
        <v>1054</v>
      </c>
      <c r="D262" s="379" t="s">
        <v>625</v>
      </c>
      <c r="E262" s="403" t="s">
        <v>841</v>
      </c>
      <c r="F262" s="380" t="s">
        <v>828</v>
      </c>
    </row>
    <row r="263" spans="2:6" ht="37.75" x14ac:dyDescent="0.85">
      <c r="B263" s="539" t="s">
        <v>133</v>
      </c>
      <c r="C263" s="539"/>
      <c r="D263" s="539"/>
      <c r="E263" s="539"/>
      <c r="F263" s="539"/>
    </row>
    <row r="264" spans="2:6" ht="110.6" x14ac:dyDescent="1.25">
      <c r="B264" s="540" t="s">
        <v>390</v>
      </c>
      <c r="C264" s="470" t="s">
        <v>396</v>
      </c>
      <c r="D264" s="384" t="s">
        <v>397</v>
      </c>
      <c r="E264" s="405" t="s">
        <v>403</v>
      </c>
      <c r="F264" s="383" t="s">
        <v>409</v>
      </c>
    </row>
    <row r="265" spans="2:6" ht="110.6" x14ac:dyDescent="1.25">
      <c r="B265" s="540"/>
      <c r="C265" s="470" t="s">
        <v>391</v>
      </c>
      <c r="D265" s="384" t="s">
        <v>398</v>
      </c>
      <c r="E265" s="405" t="s">
        <v>404</v>
      </c>
      <c r="F265" s="383" t="s">
        <v>409</v>
      </c>
    </row>
    <row r="266" spans="2:6" ht="110.6" x14ac:dyDescent="1.25">
      <c r="B266" s="540"/>
      <c r="C266" s="470" t="s">
        <v>392</v>
      </c>
      <c r="D266" s="384" t="s">
        <v>399</v>
      </c>
      <c r="E266" s="405" t="s">
        <v>405</v>
      </c>
      <c r="F266" s="383" t="s">
        <v>409</v>
      </c>
    </row>
    <row r="267" spans="2:6" ht="110.6" x14ac:dyDescent="1.25">
      <c r="B267" s="540"/>
      <c r="C267" s="470" t="s">
        <v>393</v>
      </c>
      <c r="D267" s="384" t="s">
        <v>400</v>
      </c>
      <c r="E267" s="405" t="s">
        <v>406</v>
      </c>
      <c r="F267" s="383" t="s">
        <v>409</v>
      </c>
    </row>
    <row r="268" spans="2:6" ht="110.6" x14ac:dyDescent="1.25">
      <c r="B268" s="540"/>
      <c r="C268" s="470" t="s">
        <v>394</v>
      </c>
      <c r="D268" s="384" t="s">
        <v>401</v>
      </c>
      <c r="E268" s="405" t="s">
        <v>407</v>
      </c>
      <c r="F268" s="383" t="s">
        <v>409</v>
      </c>
    </row>
    <row r="269" spans="2:6" ht="110.6" x14ac:dyDescent="1.25">
      <c r="B269" s="540"/>
      <c r="C269" s="470" t="s">
        <v>395</v>
      </c>
      <c r="D269" s="384" t="s">
        <v>402</v>
      </c>
      <c r="E269" s="405" t="s">
        <v>408</v>
      </c>
      <c r="F269" s="383" t="s">
        <v>409</v>
      </c>
    </row>
    <row r="270" spans="2:6" ht="110.6" x14ac:dyDescent="1.25">
      <c r="B270" s="538" t="s">
        <v>27</v>
      </c>
      <c r="C270" s="470" t="s">
        <v>345</v>
      </c>
      <c r="D270" s="382" t="s">
        <v>305</v>
      </c>
      <c r="E270" s="405" t="s">
        <v>73</v>
      </c>
      <c r="F270" s="383" t="s">
        <v>306</v>
      </c>
    </row>
    <row r="271" spans="2:6" ht="73.75" x14ac:dyDescent="1.25">
      <c r="B271" s="538"/>
      <c r="C271" s="470" t="s">
        <v>600</v>
      </c>
      <c r="D271" s="382" t="s">
        <v>450</v>
      </c>
      <c r="E271" s="405" t="s">
        <v>456</v>
      </c>
      <c r="F271" s="383" t="s">
        <v>458</v>
      </c>
    </row>
    <row r="272" spans="2:6" ht="73.75" x14ac:dyDescent="1.25">
      <c r="B272" s="538"/>
      <c r="C272" s="470" t="s">
        <v>454</v>
      </c>
      <c r="D272" s="382" t="s">
        <v>451</v>
      </c>
      <c r="E272" s="405" t="s">
        <v>457</v>
      </c>
      <c r="F272" s="383" t="s">
        <v>458</v>
      </c>
    </row>
    <row r="273" spans="2:6" ht="331.75" x14ac:dyDescent="1.25">
      <c r="B273" s="538"/>
      <c r="C273" s="470" t="s">
        <v>447</v>
      </c>
      <c r="D273" s="382" t="s">
        <v>452</v>
      </c>
      <c r="E273" s="405" t="s">
        <v>448</v>
      </c>
      <c r="F273" s="383" t="s">
        <v>315</v>
      </c>
    </row>
    <row r="274" spans="2:6" ht="147.44999999999999" x14ac:dyDescent="1.25">
      <c r="B274" s="538"/>
      <c r="C274" s="470" t="s">
        <v>449</v>
      </c>
      <c r="D274" s="382" t="s">
        <v>453</v>
      </c>
      <c r="E274" s="405" t="s">
        <v>455</v>
      </c>
      <c r="F274" s="383" t="s">
        <v>459</v>
      </c>
    </row>
    <row r="275" spans="2:6" ht="37.75" x14ac:dyDescent="1.25">
      <c r="B275" s="538"/>
      <c r="C275" s="519" t="s">
        <v>461</v>
      </c>
      <c r="D275" s="397" t="s">
        <v>307</v>
      </c>
      <c r="E275" s="403"/>
      <c r="F275" s="380"/>
    </row>
    <row r="276" spans="2:6" ht="73.75" x14ac:dyDescent="1.25">
      <c r="B276" s="538" t="s">
        <v>1012</v>
      </c>
      <c r="C276" s="470" t="s">
        <v>317</v>
      </c>
      <c r="D276" s="382" t="s">
        <v>308</v>
      </c>
      <c r="E276" s="405" t="s">
        <v>80</v>
      </c>
      <c r="F276" s="383" t="s">
        <v>316</v>
      </c>
    </row>
    <row r="277" spans="2:6" ht="73.75" x14ac:dyDescent="1.25">
      <c r="B277" s="538"/>
      <c r="C277" s="470" t="s">
        <v>553</v>
      </c>
      <c r="D277" s="382" t="s">
        <v>309</v>
      </c>
      <c r="E277" s="405" t="s">
        <v>79</v>
      </c>
      <c r="F277" s="383" t="s">
        <v>316</v>
      </c>
    </row>
    <row r="278" spans="2:6" ht="37.75" x14ac:dyDescent="1.25">
      <c r="B278" s="538"/>
      <c r="C278" s="470" t="s">
        <v>346</v>
      </c>
      <c r="D278" s="382" t="s">
        <v>310</v>
      </c>
      <c r="E278" s="405" t="s">
        <v>78</v>
      </c>
      <c r="F278" s="383" t="s">
        <v>316</v>
      </c>
    </row>
    <row r="279" spans="2:6" ht="110.6" x14ac:dyDescent="1.25">
      <c r="B279" s="538"/>
      <c r="C279" s="470" t="s">
        <v>318</v>
      </c>
      <c r="D279" s="382" t="s">
        <v>311</v>
      </c>
      <c r="E279" s="405" t="s">
        <v>74</v>
      </c>
      <c r="F279" s="383"/>
    </row>
    <row r="280" spans="2:6" ht="73.75" x14ac:dyDescent="1.25">
      <c r="B280" s="538"/>
      <c r="C280" s="470" t="s">
        <v>554</v>
      </c>
      <c r="D280" s="382" t="s">
        <v>312</v>
      </c>
      <c r="E280" s="405" t="s">
        <v>75</v>
      </c>
      <c r="F280" s="383" t="s">
        <v>316</v>
      </c>
    </row>
    <row r="281" spans="2:6" ht="73.75" x14ac:dyDescent="1.25">
      <c r="B281" s="538"/>
      <c r="C281" s="470" t="s">
        <v>319</v>
      </c>
      <c r="D281" s="382" t="s">
        <v>313</v>
      </c>
      <c r="E281" s="405" t="s">
        <v>76</v>
      </c>
      <c r="F281" s="383" t="s">
        <v>316</v>
      </c>
    </row>
    <row r="282" spans="2:6" ht="37.75" x14ac:dyDescent="1.25">
      <c r="B282" s="538"/>
      <c r="C282" s="470" t="s">
        <v>320</v>
      </c>
      <c r="D282" s="382" t="s">
        <v>314</v>
      </c>
      <c r="E282" s="405" t="s">
        <v>77</v>
      </c>
      <c r="F282" s="383" t="s">
        <v>316</v>
      </c>
    </row>
    <row r="283" spans="2:6" ht="37.75" x14ac:dyDescent="0.85">
      <c r="B283" s="539" t="s">
        <v>582</v>
      </c>
      <c r="C283" s="539"/>
      <c r="D283" s="539"/>
      <c r="E283" s="539"/>
      <c r="F283" s="539"/>
    </row>
    <row r="284" spans="2:6" ht="73.75" x14ac:dyDescent="1.25">
      <c r="B284" s="544" t="s">
        <v>525</v>
      </c>
      <c r="C284" s="470" t="s">
        <v>526</v>
      </c>
      <c r="D284" s="382" t="s">
        <v>529</v>
      </c>
      <c r="E284" s="403" t="s">
        <v>842</v>
      </c>
      <c r="F284" s="380" t="s">
        <v>843</v>
      </c>
    </row>
    <row r="285" spans="2:6" ht="73.75" x14ac:dyDescent="1.25">
      <c r="B285" s="544"/>
      <c r="C285" s="471" t="s">
        <v>552</v>
      </c>
      <c r="D285" s="382" t="s">
        <v>539</v>
      </c>
      <c r="E285" s="403" t="s">
        <v>844</v>
      </c>
      <c r="F285" s="380" t="s">
        <v>845</v>
      </c>
    </row>
    <row r="286" spans="2:6" ht="37.75" x14ac:dyDescent="1.25">
      <c r="B286" s="544"/>
      <c r="C286" s="514" t="s">
        <v>527</v>
      </c>
      <c r="D286" s="382" t="s">
        <v>540</v>
      </c>
      <c r="E286" s="403" t="s">
        <v>846</v>
      </c>
      <c r="F286" s="380"/>
    </row>
    <row r="287" spans="2:6" ht="37.75" x14ac:dyDescent="1.25">
      <c r="B287" s="544"/>
      <c r="C287" s="471" t="s">
        <v>549</v>
      </c>
      <c r="D287" s="382" t="s">
        <v>541</v>
      </c>
      <c r="E287" s="386" t="s">
        <v>847</v>
      </c>
      <c r="F287" s="380" t="s">
        <v>845</v>
      </c>
    </row>
    <row r="288" spans="2:6" ht="75.45" x14ac:dyDescent="1.25">
      <c r="B288" s="544"/>
      <c r="C288" s="514" t="s">
        <v>528</v>
      </c>
      <c r="D288" s="382" t="s">
        <v>542</v>
      </c>
      <c r="E288" s="403" t="s">
        <v>848</v>
      </c>
      <c r="F288" s="380"/>
    </row>
    <row r="289" spans="2:6" ht="73.75" x14ac:dyDescent="1.25">
      <c r="B289" s="544"/>
      <c r="C289" s="471" t="s">
        <v>551</v>
      </c>
      <c r="D289" s="382" t="s">
        <v>543</v>
      </c>
      <c r="E289" s="403" t="s">
        <v>849</v>
      </c>
      <c r="F289" s="380" t="s">
        <v>845</v>
      </c>
    </row>
    <row r="290" spans="2:6" ht="37.75" x14ac:dyDescent="1.25">
      <c r="B290" s="544"/>
      <c r="C290" s="514" t="s">
        <v>544</v>
      </c>
      <c r="D290" s="382" t="s">
        <v>545</v>
      </c>
      <c r="E290" s="403" t="s">
        <v>850</v>
      </c>
      <c r="F290" s="380"/>
    </row>
    <row r="291" spans="2:6" ht="73.75" x14ac:dyDescent="1.25">
      <c r="B291" s="544"/>
      <c r="C291" s="471" t="s">
        <v>548</v>
      </c>
      <c r="D291" s="382" t="s">
        <v>546</v>
      </c>
      <c r="E291" s="403" t="s">
        <v>851</v>
      </c>
      <c r="F291" s="380" t="s">
        <v>852</v>
      </c>
    </row>
    <row r="292" spans="2:6" ht="73.75" x14ac:dyDescent="1.25">
      <c r="B292" s="544"/>
      <c r="C292" s="471" t="s">
        <v>550</v>
      </c>
      <c r="D292" s="382" t="s">
        <v>547</v>
      </c>
      <c r="E292" s="403" t="s">
        <v>853</v>
      </c>
      <c r="F292" s="380" t="s">
        <v>852</v>
      </c>
    </row>
    <row r="293" spans="2:6" ht="75.45" x14ac:dyDescent="1.25">
      <c r="B293" s="544"/>
      <c r="C293" s="514" t="s">
        <v>556</v>
      </c>
      <c r="D293" s="382" t="s">
        <v>555</v>
      </c>
      <c r="E293" s="403" t="s">
        <v>854</v>
      </c>
      <c r="F293" s="380"/>
    </row>
  </sheetData>
  <autoFilter ref="B2:F293" xr:uid="{B4420F47-1321-421B-B7C8-E50E9A19F5B4}"/>
  <mergeCells count="75">
    <mergeCell ref="B154:B155"/>
    <mergeCell ref="B1:E1"/>
    <mergeCell ref="B127:B135"/>
    <mergeCell ref="B136:B144"/>
    <mergeCell ref="B145:B153"/>
    <mergeCell ref="B118:B126"/>
    <mergeCell ref="B117:F117"/>
    <mergeCell ref="B85:F85"/>
    <mergeCell ref="B86:B87"/>
    <mergeCell ref="B88:B89"/>
    <mergeCell ref="B90:B91"/>
    <mergeCell ref="B92:B93"/>
    <mergeCell ref="B94:B95"/>
    <mergeCell ref="B96:B97"/>
    <mergeCell ref="B98:F98"/>
    <mergeCell ref="B99:B104"/>
    <mergeCell ref="B283:F283"/>
    <mergeCell ref="B284:B293"/>
    <mergeCell ref="B241:B254"/>
    <mergeCell ref="B255:B262"/>
    <mergeCell ref="B263:F263"/>
    <mergeCell ref="B264:B269"/>
    <mergeCell ref="B270:B275"/>
    <mergeCell ref="B276:B282"/>
    <mergeCell ref="B233:B240"/>
    <mergeCell ref="B198:B200"/>
    <mergeCell ref="B201:F201"/>
    <mergeCell ref="B202:B204"/>
    <mergeCell ref="B205:B206"/>
    <mergeCell ref="B207:B208"/>
    <mergeCell ref="B209:B211"/>
    <mergeCell ref="B213:B215"/>
    <mergeCell ref="B216:F216"/>
    <mergeCell ref="B218:B223"/>
    <mergeCell ref="B225:B226"/>
    <mergeCell ref="B227:B232"/>
    <mergeCell ref="B195:B197"/>
    <mergeCell ref="B156:B157"/>
    <mergeCell ref="B158:B164"/>
    <mergeCell ref="B165:B168"/>
    <mergeCell ref="B169:F169"/>
    <mergeCell ref="B170:B175"/>
    <mergeCell ref="B176:B179"/>
    <mergeCell ref="B180:B183"/>
    <mergeCell ref="B184:B189"/>
    <mergeCell ref="B190:B191"/>
    <mergeCell ref="B192:B194"/>
    <mergeCell ref="B105:B110"/>
    <mergeCell ref="B111:B116"/>
    <mergeCell ref="B83:B84"/>
    <mergeCell ref="B38:B39"/>
    <mergeCell ref="B40:B41"/>
    <mergeCell ref="B44:F44"/>
    <mergeCell ref="B45:B49"/>
    <mergeCell ref="B50:F50"/>
    <mergeCell ref="B51:B54"/>
    <mergeCell ref="B56:B61"/>
    <mergeCell ref="B62:B66"/>
    <mergeCell ref="B67:B72"/>
    <mergeCell ref="B73:B75"/>
    <mergeCell ref="B76:B82"/>
    <mergeCell ref="G87:N87"/>
    <mergeCell ref="B36:B37"/>
    <mergeCell ref="B4:F4"/>
    <mergeCell ref="B5:B7"/>
    <mergeCell ref="B14:F14"/>
    <mergeCell ref="B15:B23"/>
    <mergeCell ref="B24:B25"/>
    <mergeCell ref="B26:B27"/>
    <mergeCell ref="B28:B29"/>
    <mergeCell ref="B30:B31"/>
    <mergeCell ref="B32:B33"/>
    <mergeCell ref="B34:B35"/>
    <mergeCell ref="B8:B10"/>
    <mergeCell ref="B11:B13"/>
  </mergeCells>
  <phoneticPr fontId="3" type="noConversion"/>
  <conditionalFormatting sqref="C200">
    <cfRule type="cellIs" dxfId="915" priority="1" operator="equal">
      <formula>0</formula>
    </cfRule>
  </conditionalFormatting>
  <conditionalFormatting sqref="F118">
    <cfRule type="cellIs" dxfId="914" priority="8" operator="equal">
      <formula>0</formula>
    </cfRule>
  </conditionalFormatting>
  <conditionalFormatting sqref="D118:D153">
    <cfRule type="duplicateValues" dxfId="913" priority="3"/>
  </conditionalFormatting>
  <conditionalFormatting sqref="D118:D153">
    <cfRule type="duplicateValues" dxfId="912" priority="4"/>
  </conditionalFormatting>
  <conditionalFormatting sqref="D118:D153">
    <cfRule type="duplicateValues" dxfId="911" priority="2"/>
  </conditionalFormatting>
  <dataValidations count="2">
    <dataValidation type="whole" allowBlank="1" showInputMessage="1" showErrorMessage="1" errorTitle="Non-Numeric or abnormal value" error="Enter Numbers only between 0 and 99999" sqref="E8:F13 E250:F250 E118:F119" xr:uid="{A98F9822-88B5-4A5E-BF36-2A1A3402C309}">
      <formula1>0</formula1>
      <formula2>99999</formula2>
    </dataValidation>
    <dataValidation allowBlank="1" showInputMessage="1" showErrorMessage="1" errorTitle="Non-Numeric or abnormal value" error="Enter Numbers only between 0 and 99999" sqref="E120:F153" xr:uid="{0C938D0D-C930-4B9D-8A4D-CE6361B6E653}"/>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795B4-C53C-4558-AAD9-28AB113E7C55}">
  <sheetPr>
    <pageSetUpPr fitToPage="1"/>
  </sheetPr>
  <dimension ref="A1:AH377"/>
  <sheetViews>
    <sheetView showGridLines="0" tabSelected="1" showRuler="0" zoomScale="55" zoomScaleNormal="55" zoomScaleSheetLayoutView="68" zoomScalePageLayoutView="21" workbookViewId="0">
      <pane xSplit="2" ySplit="6" topLeftCell="C7" activePane="bottomRight" state="frozen"/>
      <selection pane="topRight" activeCell="C1" sqref="C1"/>
      <selection pane="bottomLeft" activeCell="A7" sqref="A7"/>
      <selection pane="bottomRight" activeCell="Q34" sqref="Q34"/>
    </sheetView>
  </sheetViews>
  <sheetFormatPr defaultColWidth="9.15234375" defaultRowHeight="30.9" x14ac:dyDescent="0.95"/>
  <cols>
    <col min="1" max="1" width="37" style="461" customWidth="1" collapsed="1"/>
    <col min="2" max="2" width="83.53515625" style="228" customWidth="1" collapsed="1"/>
    <col min="3" max="3" width="11" style="1" bestFit="1" customWidth="1" collapsed="1"/>
    <col min="4" max="28" width="7.53515625" style="2" customWidth="1" collapsed="1"/>
    <col min="29" max="29" width="9.69140625" style="9" hidden="1" customWidth="1" collapsed="1"/>
    <col min="30" max="30" width="31.84375" style="199" customWidth="1" collapsed="1"/>
    <col min="31" max="31" width="31.53515625" style="2" hidden="1" customWidth="1" collapsed="1"/>
    <col min="32" max="32" width="36.69140625" style="2" bestFit="1" customWidth="1" collapsed="1"/>
    <col min="33" max="34" width="9.15234375" style="333" collapsed="1"/>
    <col min="35" max="16384" width="9.15234375" style="2" collapsed="1"/>
  </cols>
  <sheetData>
    <row r="1" spans="1:34" s="5" customFormat="1" ht="51" customHeight="1" thickBot="1" x14ac:dyDescent="1">
      <c r="A1" s="453" t="s">
        <v>383</v>
      </c>
      <c r="B1" s="651" t="s">
        <v>464</v>
      </c>
      <c r="C1" s="652"/>
      <c r="D1" s="678" t="s">
        <v>143</v>
      </c>
      <c r="E1" s="679"/>
      <c r="F1" s="680" t="s">
        <v>465</v>
      </c>
      <c r="G1" s="681"/>
      <c r="H1" s="678" t="s">
        <v>382</v>
      </c>
      <c r="I1" s="679"/>
      <c r="J1" s="679"/>
      <c r="K1" s="680" t="s">
        <v>466</v>
      </c>
      <c r="L1" s="680"/>
      <c r="M1" s="680"/>
      <c r="N1" s="680"/>
      <c r="O1" s="680"/>
      <c r="P1" s="680"/>
      <c r="Q1" s="680"/>
      <c r="R1" s="679" t="s">
        <v>389</v>
      </c>
      <c r="S1" s="679"/>
      <c r="T1" s="680" t="s">
        <v>467</v>
      </c>
      <c r="U1" s="680"/>
      <c r="V1" s="681"/>
      <c r="W1" s="678" t="s">
        <v>384</v>
      </c>
      <c r="X1" s="679"/>
      <c r="Y1" s="108" t="s">
        <v>468</v>
      </c>
      <c r="Z1" s="109" t="s">
        <v>385</v>
      </c>
      <c r="AA1" s="680">
        <v>2020</v>
      </c>
      <c r="AB1" s="681"/>
      <c r="AC1" s="662" t="s">
        <v>386</v>
      </c>
      <c r="AD1" s="663"/>
      <c r="AE1" s="663"/>
      <c r="AF1" s="663"/>
      <c r="AG1" s="438">
        <v>0</v>
      </c>
      <c r="AH1" s="330"/>
    </row>
    <row r="2" spans="1:34" s="3" customFormat="1" ht="29.15" hidden="1" x14ac:dyDescent="1.05">
      <c r="A2" s="664" t="s">
        <v>123</v>
      </c>
      <c r="B2" s="664"/>
      <c r="C2" s="664"/>
      <c r="D2" s="664"/>
      <c r="E2" s="664"/>
      <c r="F2" s="664"/>
      <c r="G2" s="664"/>
      <c r="H2" s="664"/>
      <c r="I2" s="664"/>
      <c r="J2" s="664"/>
      <c r="K2" s="664"/>
      <c r="L2" s="664"/>
      <c r="M2" s="664"/>
      <c r="N2" s="664"/>
      <c r="O2" s="664"/>
      <c r="P2" s="664"/>
      <c r="Q2" s="664"/>
      <c r="R2" s="664"/>
      <c r="S2" s="664"/>
      <c r="T2" s="664"/>
      <c r="U2" s="664"/>
      <c r="V2" s="664"/>
      <c r="W2" s="664"/>
      <c r="X2" s="664"/>
      <c r="Y2" s="664"/>
      <c r="Z2" s="664"/>
      <c r="AA2" s="664"/>
      <c r="AB2" s="664"/>
      <c r="AC2" s="664"/>
      <c r="AD2" s="197"/>
      <c r="AG2" s="438">
        <v>1</v>
      </c>
      <c r="AH2" s="331"/>
    </row>
    <row r="3" spans="1:34" s="3" customFormat="1" ht="31.75" hidden="1" x14ac:dyDescent="1.05">
      <c r="A3" s="454" t="s">
        <v>725</v>
      </c>
      <c r="B3" s="226"/>
      <c r="C3" s="6"/>
      <c r="D3" s="10" t="s">
        <v>863</v>
      </c>
      <c r="E3" s="11">
        <v>1</v>
      </c>
      <c r="F3" s="12" t="s">
        <v>864</v>
      </c>
      <c r="G3" s="13">
        <v>1</v>
      </c>
      <c r="H3" s="12" t="s">
        <v>865</v>
      </c>
      <c r="I3" s="13">
        <v>1</v>
      </c>
      <c r="AC3" s="114"/>
      <c r="AD3" s="198"/>
      <c r="AG3" s="438">
        <v>2</v>
      </c>
      <c r="AH3" s="331"/>
    </row>
    <row r="4" spans="1:34" s="14" customFormat="1" ht="39.75" customHeight="1" thickBot="1" x14ac:dyDescent="0.9">
      <c r="A4" s="686" t="s">
        <v>1048</v>
      </c>
      <c r="B4" s="687"/>
      <c r="C4" s="687"/>
      <c r="D4" s="684" t="s">
        <v>873</v>
      </c>
      <c r="E4" s="684"/>
      <c r="F4" s="685"/>
      <c r="G4" s="685"/>
      <c r="H4" s="685"/>
      <c r="I4" s="685"/>
      <c r="J4" s="685"/>
      <c r="K4" s="685"/>
      <c r="L4" s="685"/>
      <c r="M4" s="685"/>
      <c r="N4" s="685"/>
      <c r="O4" s="685"/>
      <c r="P4" s="685"/>
      <c r="Q4" s="685"/>
      <c r="R4" s="685"/>
      <c r="S4" s="685"/>
      <c r="T4" s="685"/>
      <c r="U4" s="685"/>
      <c r="V4" s="685"/>
      <c r="W4" s="23"/>
      <c r="X4" s="23"/>
      <c r="Y4" s="23"/>
      <c r="Z4" s="23"/>
      <c r="AA4" s="440"/>
      <c r="AB4" s="441"/>
      <c r="AC4" s="442"/>
      <c r="AD4" s="443"/>
      <c r="AE4" s="441"/>
      <c r="AF4" s="441"/>
      <c r="AG4" s="438">
        <v>3</v>
      </c>
      <c r="AH4" s="332"/>
    </row>
    <row r="5" spans="1:34" s="7" customFormat="1" ht="26.25" customHeight="1" x14ac:dyDescent="0.85">
      <c r="A5" s="588" t="s">
        <v>37</v>
      </c>
      <c r="B5" s="611" t="s">
        <v>347</v>
      </c>
      <c r="C5" s="666" t="s">
        <v>328</v>
      </c>
      <c r="D5" s="602" t="s">
        <v>0</v>
      </c>
      <c r="E5" s="602"/>
      <c r="F5" s="602" t="s">
        <v>1</v>
      </c>
      <c r="G5" s="602"/>
      <c r="H5" s="602" t="s">
        <v>2</v>
      </c>
      <c r="I5" s="602"/>
      <c r="J5" s="602" t="s">
        <v>3</v>
      </c>
      <c r="K5" s="602"/>
      <c r="L5" s="602" t="s">
        <v>4</v>
      </c>
      <c r="M5" s="602"/>
      <c r="N5" s="602" t="s">
        <v>5</v>
      </c>
      <c r="O5" s="602"/>
      <c r="P5" s="602" t="s">
        <v>6</v>
      </c>
      <c r="Q5" s="602"/>
      <c r="R5" s="602" t="s">
        <v>7</v>
      </c>
      <c r="S5" s="602"/>
      <c r="T5" s="602" t="s">
        <v>8</v>
      </c>
      <c r="U5" s="602"/>
      <c r="V5" s="602" t="s">
        <v>23</v>
      </c>
      <c r="W5" s="602"/>
      <c r="X5" s="602" t="s">
        <v>24</v>
      </c>
      <c r="Y5" s="602"/>
      <c r="Z5" s="602" t="s">
        <v>9</v>
      </c>
      <c r="AA5" s="646"/>
      <c r="AB5" s="669" t="s">
        <v>19</v>
      </c>
      <c r="AC5" s="635" t="s">
        <v>381</v>
      </c>
      <c r="AD5" s="466" t="s">
        <v>381</v>
      </c>
      <c r="AE5" s="624" t="s">
        <v>388</v>
      </c>
      <c r="AF5" s="467" t="s">
        <v>1036</v>
      </c>
      <c r="AG5" s="439">
        <v>4</v>
      </c>
      <c r="AH5" s="333"/>
    </row>
    <row r="6" spans="1:34" s="7" customFormat="1" ht="27" customHeight="1" thickBot="1" x14ac:dyDescent="0.9">
      <c r="A6" s="589"/>
      <c r="B6" s="612"/>
      <c r="C6" s="667"/>
      <c r="D6" s="81" t="s">
        <v>10</v>
      </c>
      <c r="E6" s="81" t="s">
        <v>11</v>
      </c>
      <c r="F6" s="81" t="s">
        <v>10</v>
      </c>
      <c r="G6" s="81" t="s">
        <v>11</v>
      </c>
      <c r="H6" s="81" t="s">
        <v>10</v>
      </c>
      <c r="I6" s="81" t="s">
        <v>11</v>
      </c>
      <c r="J6" s="81" t="s">
        <v>10</v>
      </c>
      <c r="K6" s="81" t="s">
        <v>11</v>
      </c>
      <c r="L6" s="81" t="s">
        <v>10</v>
      </c>
      <c r="M6" s="81" t="s">
        <v>11</v>
      </c>
      <c r="N6" s="81" t="s">
        <v>10</v>
      </c>
      <c r="O6" s="81" t="s">
        <v>11</v>
      </c>
      <c r="P6" s="81" t="s">
        <v>10</v>
      </c>
      <c r="Q6" s="81" t="s">
        <v>11</v>
      </c>
      <c r="R6" s="81" t="s">
        <v>10</v>
      </c>
      <c r="S6" s="81" t="s">
        <v>11</v>
      </c>
      <c r="T6" s="81" t="s">
        <v>10</v>
      </c>
      <c r="U6" s="81" t="s">
        <v>11</v>
      </c>
      <c r="V6" s="81" t="s">
        <v>10</v>
      </c>
      <c r="W6" s="81" t="s">
        <v>11</v>
      </c>
      <c r="X6" s="81" t="s">
        <v>10</v>
      </c>
      <c r="Y6" s="81" t="s">
        <v>11</v>
      </c>
      <c r="Z6" s="81" t="s">
        <v>10</v>
      </c>
      <c r="AA6" s="81" t="s">
        <v>11</v>
      </c>
      <c r="AB6" s="670"/>
      <c r="AC6" s="668"/>
      <c r="AD6" s="468" t="str">
        <f>IF(LEN(A326)-LEN(SUBSTITUTE(A326,"*",""))&gt;0," Total Errors are "&amp;(LEN(A326)-LEN(SUBSTITUTE(A326,"*",""))),"")</f>
        <v/>
      </c>
      <c r="AE6" s="625"/>
      <c r="AF6" s="469" t="str">
        <f>IF(LEN(A348)-LEN(SUBSTITUTE(A348,"*",""))&gt;0," Total Warnings are "&amp;(LEN(A348)-LEN(SUBSTITUTE(A348,"*",""))),"")</f>
        <v/>
      </c>
      <c r="AG6" s="439">
        <v>5</v>
      </c>
      <c r="AH6" s="333"/>
    </row>
    <row r="7" spans="1:34" ht="35.15" thickBot="1" x14ac:dyDescent="0.9">
      <c r="A7" s="682" t="s">
        <v>471</v>
      </c>
      <c r="B7" s="683"/>
      <c r="C7" s="683"/>
      <c r="D7" s="683"/>
      <c r="E7" s="683"/>
      <c r="F7" s="683"/>
      <c r="G7" s="683"/>
      <c r="H7" s="683"/>
      <c r="I7" s="683"/>
      <c r="J7" s="683"/>
      <c r="K7" s="683"/>
      <c r="L7" s="683"/>
      <c r="M7" s="683"/>
      <c r="N7" s="683"/>
      <c r="O7" s="683"/>
      <c r="P7" s="683"/>
      <c r="Q7" s="683"/>
      <c r="R7" s="683"/>
      <c r="S7" s="683"/>
      <c r="T7" s="683"/>
      <c r="U7" s="683"/>
      <c r="V7" s="683"/>
      <c r="W7" s="683"/>
      <c r="X7" s="683"/>
      <c r="Y7" s="683"/>
      <c r="Z7" s="683"/>
      <c r="AA7" s="683"/>
      <c r="AB7" s="683"/>
      <c r="AC7" s="683"/>
      <c r="AD7" s="579"/>
      <c r="AE7" s="683"/>
      <c r="AF7" s="580"/>
      <c r="AG7" s="439">
        <v>6</v>
      </c>
    </row>
    <row r="8" spans="1:34" ht="31.2" customHeight="1" x14ac:dyDescent="0.85">
      <c r="A8" s="552" t="s">
        <v>879</v>
      </c>
      <c r="B8" s="311" t="s">
        <v>653</v>
      </c>
      <c r="C8" s="472" t="s">
        <v>473</v>
      </c>
      <c r="D8" s="481"/>
      <c r="E8" s="482"/>
      <c r="F8" s="482"/>
      <c r="G8" s="482"/>
      <c r="H8" s="482"/>
      <c r="I8" s="482"/>
      <c r="J8" s="482"/>
      <c r="K8" s="482"/>
      <c r="L8" s="482"/>
      <c r="M8" s="482"/>
      <c r="N8" s="482"/>
      <c r="O8" s="482"/>
      <c r="P8" s="482"/>
      <c r="Q8" s="482"/>
      <c r="R8" s="482"/>
      <c r="S8" s="482"/>
      <c r="T8" s="482"/>
      <c r="U8" s="482"/>
      <c r="V8" s="482"/>
      <c r="W8" s="482"/>
      <c r="X8" s="482"/>
      <c r="Y8" s="482"/>
      <c r="Z8" s="482"/>
      <c r="AA8" s="493"/>
      <c r="AB8" s="477"/>
      <c r="AC8" s="82" t="str">
        <f>CONCATENATE(IF(AB9&gt;AB8," * No Screened in OPD "&amp;$AB$20&amp;" is more than Number Seen at OPD "&amp;CHAR(10),""))</f>
        <v/>
      </c>
      <c r="AD8" s="553" t="str">
        <f>CONCATENATE(AC8,AC9,AC10,AC11,AC12,AC13,AC15,AC16,AC17,AC18,AC14)</f>
        <v/>
      </c>
      <c r="AE8" s="83"/>
      <c r="AF8" s="556" t="str">
        <f>CONCATENATE(AE8,AE9,AE10,AE11,AE12,AE13,AE14,AE15,AE16,AE17,AE18)</f>
        <v/>
      </c>
      <c r="AG8" s="439">
        <v>7</v>
      </c>
    </row>
    <row r="9" spans="1:34" x14ac:dyDescent="0.85">
      <c r="A9" s="550"/>
      <c r="B9" s="338" t="s">
        <v>654</v>
      </c>
      <c r="C9" s="473" t="s">
        <v>474</v>
      </c>
      <c r="D9" s="484"/>
      <c r="E9" s="475"/>
      <c r="F9" s="475"/>
      <c r="G9" s="475"/>
      <c r="H9" s="475"/>
      <c r="I9" s="475"/>
      <c r="J9" s="475"/>
      <c r="K9" s="475"/>
      <c r="L9" s="475"/>
      <c r="M9" s="475"/>
      <c r="N9" s="475"/>
      <c r="O9" s="475"/>
      <c r="P9" s="475"/>
      <c r="Q9" s="475"/>
      <c r="R9" s="475"/>
      <c r="S9" s="475"/>
      <c r="T9" s="475"/>
      <c r="U9" s="475"/>
      <c r="V9" s="475"/>
      <c r="W9" s="475"/>
      <c r="X9" s="475"/>
      <c r="Y9" s="475"/>
      <c r="Z9" s="475"/>
      <c r="AA9" s="476"/>
      <c r="AB9" s="478"/>
      <c r="AC9" s="82" t="str">
        <f>CONCATENATE(IF(AB10&gt;AB9," * No Eligible for HTS Testing "&amp;$AB$20&amp;" is more than No Screened for HTS Eligibility "&amp;CHAR(10),""))</f>
        <v/>
      </c>
      <c r="AD9" s="554"/>
      <c r="AE9" s="83"/>
      <c r="AF9" s="557"/>
      <c r="AG9" s="439">
        <v>8</v>
      </c>
    </row>
    <row r="10" spans="1:34" ht="31.3" thickBot="1" x14ac:dyDescent="0.9">
      <c r="A10" s="551"/>
      <c r="B10" s="313" t="s">
        <v>472</v>
      </c>
      <c r="C10" s="474" t="s">
        <v>475</v>
      </c>
      <c r="D10" s="486"/>
      <c r="E10" s="487"/>
      <c r="F10" s="487"/>
      <c r="G10" s="487"/>
      <c r="H10" s="487"/>
      <c r="I10" s="487"/>
      <c r="J10" s="487"/>
      <c r="K10" s="487"/>
      <c r="L10" s="487"/>
      <c r="M10" s="487"/>
      <c r="N10" s="487"/>
      <c r="O10" s="487"/>
      <c r="P10" s="487"/>
      <c r="Q10" s="487"/>
      <c r="R10" s="487"/>
      <c r="S10" s="487"/>
      <c r="T10" s="487"/>
      <c r="U10" s="487"/>
      <c r="V10" s="487"/>
      <c r="W10" s="487"/>
      <c r="X10" s="487"/>
      <c r="Y10" s="487"/>
      <c r="Z10" s="487"/>
      <c r="AA10" s="494"/>
      <c r="AB10" s="479"/>
      <c r="AC10" s="215"/>
      <c r="AD10" s="554"/>
      <c r="AE10" s="83"/>
      <c r="AF10" s="557"/>
      <c r="AG10" s="439">
        <v>9</v>
      </c>
    </row>
    <row r="11" spans="1:34" ht="31.3" thickBot="1" x14ac:dyDescent="0.9">
      <c r="A11" s="549" t="s">
        <v>880</v>
      </c>
      <c r="B11" s="311" t="s">
        <v>889</v>
      </c>
      <c r="C11" s="219" t="s">
        <v>882</v>
      </c>
      <c r="D11" s="489"/>
      <c r="E11" s="490"/>
      <c r="F11" s="490"/>
      <c r="G11" s="490"/>
      <c r="H11" s="490"/>
      <c r="I11" s="490"/>
      <c r="J11" s="490"/>
      <c r="K11" s="490"/>
      <c r="L11" s="490"/>
      <c r="M11" s="490"/>
      <c r="N11" s="490"/>
      <c r="O11" s="490"/>
      <c r="P11" s="490"/>
      <c r="Q11" s="490"/>
      <c r="R11" s="490"/>
      <c r="S11" s="490"/>
      <c r="T11" s="490"/>
      <c r="U11" s="490"/>
      <c r="V11" s="490"/>
      <c r="W11" s="490"/>
      <c r="X11" s="490"/>
      <c r="Y11" s="490"/>
      <c r="Z11" s="490"/>
      <c r="AA11" s="491"/>
      <c r="AB11" s="492"/>
      <c r="AC11" s="82" t="str">
        <f>CONCATENATE(IF(D12&gt;D11," * F00-05 "&amp;$D$20&amp;" "&amp;$D$21&amp;" is more than F00-04"&amp;CHAR(10),""),IF(E12&gt;E11," * F00-05 "&amp;$D$20&amp;" "&amp;$E$21&amp;" is more than F00-04"&amp;CHAR(10),""),IF(F12&gt;F11," * F00-05 "&amp;$F$20&amp;" "&amp;$F$21&amp;" is more than F00-04"&amp;CHAR(10),""),IF(G12&gt;G11," * F00-05 "&amp;$F$20&amp;" "&amp;$G$21&amp;" is more than F00-04"&amp;CHAR(10),""),IF(H12&gt;H11," * F00-05 "&amp;$H$20&amp;" "&amp;$H$21&amp;" is more than F00-04"&amp;CHAR(10),""),IF(I12&gt;I11," * F00-05 "&amp;$H$20&amp;" "&amp;$I$21&amp;" is more than F00-04"&amp;CHAR(10),""),IF(J12&gt;J11," * F00-05 "&amp;$J$20&amp;" "&amp;$J$21&amp;" is more than F00-04"&amp;CHAR(10),""),IF(K12&gt;K11," * F00-05 "&amp;$J$20&amp;" "&amp;$K$21&amp;" is more than F00-04"&amp;CHAR(10),""),IF(L12&gt;L11," * F00-05 "&amp;$L$20&amp;" "&amp;$L$21&amp;" is more than F00-04"&amp;CHAR(10),""),IF(M12&gt;M11," * F00-05 "&amp;$L$20&amp;" "&amp;$M$21&amp;" is more than F00-04"&amp;CHAR(10),""),IF(N12&gt;N11," * F00-05 "&amp;$N$20&amp;" "&amp;$N$21&amp;" is more than F00-04"&amp;CHAR(10),""),IF(O12&gt;O11," * F00-05 "&amp;$N$20&amp;" "&amp;$O$21&amp;" is more than F00-04"&amp;CHAR(10),""),IF(P12&gt;P11," * F00-05 "&amp;$P$20&amp;" "&amp;$P$21&amp;" is more than F00-04"&amp;CHAR(10),""),IF(Q12&gt;Q11," * F00-05 "&amp;$P$20&amp;" "&amp;$Q$21&amp;" is more than F00-04"&amp;CHAR(10),""),IF(R12&gt;R11," * F00-05 "&amp;$R$20&amp;" "&amp;$R$21&amp;" is more than F00-04"&amp;CHAR(10),""),IF(S12&gt;S11," * F00-05 "&amp;$R$20&amp;" "&amp;$S$21&amp;" is more than F00-04"&amp;CHAR(10),""),IF(T12&gt;T11," * F00-05 "&amp;$T$20&amp;" "&amp;$T$21&amp;" is more than F00-04"&amp;CHAR(10),""),IF(U12&gt;U11," * F00-05 "&amp;$T$20&amp;" "&amp;$U$21&amp;" is more than F00-04"&amp;CHAR(10),""),IF(V12&gt;V11," * F00-05 "&amp;$V$20&amp;" "&amp;$V$21&amp;" is more than F00-04"&amp;CHAR(10),""),IF(W12&gt;W11," * F00-05 "&amp;$V$20&amp;" "&amp;$W$21&amp;" is more than F00-04"&amp;CHAR(10),""),IF(X12&gt;X11," * F00-05 "&amp;$X$20&amp;" "&amp;$X$21&amp;" is more than F00-04"&amp;CHAR(10),""),IF(Y12&gt;Y11," * F00-05 "&amp;$X$20&amp;" "&amp;$Y$21&amp;" is more than F00-04"&amp;CHAR(10),""),IF(Z12&gt;Z11," * F00-05 "&amp;$Z$20&amp;" "&amp;$Z$21&amp;" is more than F00-04"&amp;CHAR(10),""),IF(AA12&gt;AA11," * F00-05 "&amp;$Z$20&amp;" "&amp;$AA$21&amp;" is more than F00-04"&amp;CHAR(10),""))</f>
        <v/>
      </c>
      <c r="AD11" s="554"/>
      <c r="AE11" s="83"/>
      <c r="AF11" s="557"/>
      <c r="AG11" s="439">
        <v>10</v>
      </c>
    </row>
    <row r="12" spans="1:34" hidden="1" x14ac:dyDescent="0.85">
      <c r="A12" s="550"/>
      <c r="B12" s="338" t="s">
        <v>654</v>
      </c>
      <c r="C12" s="217" t="s">
        <v>883</v>
      </c>
      <c r="D12" s="484"/>
      <c r="E12" s="475"/>
      <c r="F12" s="475"/>
      <c r="G12" s="475"/>
      <c r="H12" s="475"/>
      <c r="I12" s="475"/>
      <c r="J12" s="475"/>
      <c r="K12" s="475"/>
      <c r="L12" s="475"/>
      <c r="M12" s="475"/>
      <c r="N12" s="475"/>
      <c r="O12" s="475"/>
      <c r="P12" s="475"/>
      <c r="Q12" s="475"/>
      <c r="R12" s="475"/>
      <c r="S12" s="475"/>
      <c r="T12" s="475"/>
      <c r="U12" s="475"/>
      <c r="V12" s="475"/>
      <c r="W12" s="475"/>
      <c r="X12" s="475"/>
      <c r="Y12" s="475"/>
      <c r="Z12" s="475"/>
      <c r="AA12" s="485"/>
      <c r="AB12" s="363">
        <f t="shared" ref="AB12:AB17" si="0">SUM(D12:AA12)</f>
        <v>0</v>
      </c>
      <c r="AC12" s="82" t="str">
        <f>CONCATENATE(IF(D13&gt;D12," * F00-06 "&amp;$D$20&amp;" "&amp;$D$21&amp;" is more than F00-05"&amp;CHAR(10),""),IF(E13&gt;E12," * F00-06 "&amp;$D$20&amp;" "&amp;$E$21&amp;" is more than F00-05"&amp;CHAR(10),""),IF(F13&gt;F12," * F00-06 "&amp;$F$20&amp;" "&amp;$F$21&amp;" is more than F00-05"&amp;CHAR(10),""),IF(G13&gt;G12," * F00-06 "&amp;$F$20&amp;" "&amp;$G$21&amp;" is more than F00-05"&amp;CHAR(10),""),IF(H13&gt;H12," * F00-06 "&amp;$H$20&amp;" "&amp;$H$21&amp;" is more than F00-05"&amp;CHAR(10),""),IF(I13&gt;I12," * F00-06 "&amp;$H$20&amp;" "&amp;$I$21&amp;" is more than F00-05"&amp;CHAR(10),""),IF(J13&gt;J12," * F00-06 "&amp;$J$20&amp;" "&amp;$J$21&amp;" is more than F00-05"&amp;CHAR(10),""),IF(K13&gt;K12," * F00-06 "&amp;$J$20&amp;" "&amp;$K$21&amp;" is more than F00-05"&amp;CHAR(10),""),IF(L13&gt;L12," * F00-06 "&amp;$L$20&amp;" "&amp;$L$21&amp;" is more than F00-05"&amp;CHAR(10),""),IF(M13&gt;M12," * F00-06 "&amp;$L$20&amp;" "&amp;$M$21&amp;" is more than F00-05"&amp;CHAR(10),""),IF(N13&gt;N12," * F00-06 "&amp;$N$20&amp;" "&amp;$N$21&amp;" is more than F00-05"&amp;CHAR(10),""),IF(O13&gt;O12," * F00-06 "&amp;$N$20&amp;" "&amp;$O$21&amp;" is more than F00-05"&amp;CHAR(10),""),IF(P13&gt;P12," * F00-06 "&amp;$P$20&amp;" "&amp;$P$21&amp;" is more than F00-05"&amp;CHAR(10),""),IF(Q13&gt;Q12," * F00-06 "&amp;$P$20&amp;" "&amp;$Q$21&amp;" is more than F00-05"&amp;CHAR(10),""),IF(R13&gt;R12," * F00-06 "&amp;$R$20&amp;" "&amp;$R$21&amp;" is more than F00-05"&amp;CHAR(10),""),IF(S13&gt;S12," * F00-06 "&amp;$R$20&amp;" "&amp;$S$21&amp;" is more than F00-05"&amp;CHAR(10),""),IF(T13&gt;T12," * F00-06 "&amp;$T$20&amp;" "&amp;$T$21&amp;" is more than F00-05"&amp;CHAR(10),""),IF(U13&gt;U12," * F00-06 "&amp;$T$20&amp;" "&amp;$U$21&amp;" is more than F00-05"&amp;CHAR(10),""),IF(V13&gt;V12," * F00-06 "&amp;$V$20&amp;" "&amp;$V$21&amp;" is more than F00-05"&amp;CHAR(10),""),IF(W13&gt;W12," * F00-06 "&amp;$V$20&amp;" "&amp;$W$21&amp;" is more than F00-05"&amp;CHAR(10),""),IF(X13&gt;X12," * F00-06 "&amp;$X$20&amp;" "&amp;$X$21&amp;" is more than F00-05"&amp;CHAR(10),""),IF(Y13&gt;Y12," * F00-06 "&amp;$X$20&amp;" "&amp;$Y$21&amp;" is more than F00-05"&amp;CHAR(10),""),IF(Z13&gt;Z12," * F00-06 "&amp;$Z$20&amp;" "&amp;$Z$21&amp;" is more than F00-05"&amp;CHAR(10),""),IF(AA13&gt;AA12," * F00-06 "&amp;$Z$20&amp;" "&amp;$AA$21&amp;" is more than F00-05"&amp;CHAR(10),""))</f>
        <v/>
      </c>
      <c r="AD12" s="554"/>
      <c r="AE12" s="83"/>
      <c r="AF12" s="557"/>
      <c r="AG12" s="439">
        <v>11</v>
      </c>
    </row>
    <row r="13" spans="1:34" ht="31.3" hidden="1" thickBot="1" x14ac:dyDescent="0.9">
      <c r="A13" s="551"/>
      <c r="B13" s="313" t="s">
        <v>472</v>
      </c>
      <c r="C13" s="218" t="s">
        <v>884</v>
      </c>
      <c r="D13" s="486"/>
      <c r="E13" s="487"/>
      <c r="F13" s="487"/>
      <c r="G13" s="487"/>
      <c r="H13" s="487"/>
      <c r="I13" s="487"/>
      <c r="J13" s="487"/>
      <c r="K13" s="487"/>
      <c r="L13" s="487"/>
      <c r="M13" s="487"/>
      <c r="N13" s="487"/>
      <c r="O13" s="487"/>
      <c r="P13" s="487"/>
      <c r="Q13" s="487"/>
      <c r="R13" s="487"/>
      <c r="S13" s="487"/>
      <c r="T13" s="487"/>
      <c r="U13" s="487"/>
      <c r="V13" s="487"/>
      <c r="W13" s="487"/>
      <c r="X13" s="487"/>
      <c r="Y13" s="487"/>
      <c r="Z13" s="487"/>
      <c r="AA13" s="488"/>
      <c r="AB13" s="480">
        <f t="shared" si="0"/>
        <v>0</v>
      </c>
      <c r="AC13" s="215"/>
      <c r="AD13" s="554"/>
      <c r="AE13" s="83"/>
      <c r="AF13" s="557"/>
      <c r="AG13" s="439">
        <v>12</v>
      </c>
    </row>
    <row r="14" spans="1:34" s="229" customFormat="1" ht="32.15" hidden="1" thickBot="1" x14ac:dyDescent="0.9">
      <c r="A14" s="455" t="s">
        <v>947</v>
      </c>
      <c r="B14" s="342" t="s">
        <v>892</v>
      </c>
      <c r="C14" s="340" t="s">
        <v>885</v>
      </c>
      <c r="D14" s="373">
        <f t="shared" ref="D14:E14" si="1">D13+D10</f>
        <v>0</v>
      </c>
      <c r="E14" s="373">
        <f t="shared" si="1"/>
        <v>0</v>
      </c>
      <c r="F14" s="373">
        <f>F13+F10</f>
        <v>0</v>
      </c>
      <c r="G14" s="373">
        <f t="shared" ref="G14:AA14" si="2">G13+G10</f>
        <v>0</v>
      </c>
      <c r="H14" s="373">
        <f t="shared" si="2"/>
        <v>0</v>
      </c>
      <c r="I14" s="373">
        <f t="shared" si="2"/>
        <v>0</v>
      </c>
      <c r="J14" s="373">
        <f t="shared" si="2"/>
        <v>0</v>
      </c>
      <c r="K14" s="373">
        <f t="shared" si="2"/>
        <v>0</v>
      </c>
      <c r="L14" s="373">
        <f t="shared" si="2"/>
        <v>0</v>
      </c>
      <c r="M14" s="373">
        <f t="shared" si="2"/>
        <v>0</v>
      </c>
      <c r="N14" s="373">
        <f t="shared" si="2"/>
        <v>0</v>
      </c>
      <c r="O14" s="373">
        <f t="shared" si="2"/>
        <v>0</v>
      </c>
      <c r="P14" s="373">
        <f t="shared" si="2"/>
        <v>0</v>
      </c>
      <c r="Q14" s="373">
        <f t="shared" si="2"/>
        <v>0</v>
      </c>
      <c r="R14" s="373">
        <f t="shared" si="2"/>
        <v>0</v>
      </c>
      <c r="S14" s="373">
        <f t="shared" si="2"/>
        <v>0</v>
      </c>
      <c r="T14" s="373">
        <f t="shared" si="2"/>
        <v>0</v>
      </c>
      <c r="U14" s="373">
        <f t="shared" si="2"/>
        <v>0</v>
      </c>
      <c r="V14" s="373">
        <f t="shared" si="2"/>
        <v>0</v>
      </c>
      <c r="W14" s="373">
        <f t="shared" si="2"/>
        <v>0</v>
      </c>
      <c r="X14" s="373">
        <f t="shared" si="2"/>
        <v>0</v>
      </c>
      <c r="Y14" s="373">
        <f t="shared" si="2"/>
        <v>0</v>
      </c>
      <c r="Z14" s="373">
        <f t="shared" si="2"/>
        <v>0</v>
      </c>
      <c r="AA14" s="373">
        <f t="shared" si="2"/>
        <v>0</v>
      </c>
      <c r="AB14" s="349">
        <f t="shared" si="0"/>
        <v>0</v>
      </c>
      <c r="AC14" s="251"/>
      <c r="AD14" s="554"/>
      <c r="AE14" s="253" t="str">
        <f>CONCATENATE(IF(AB49-AB33&gt;AB14," * Total Tested ( excluding PMTCT &amp; IPD ) "&amp;$AB$21&amp;" is more than Eligible for Testing in OPD"&amp;CHAR(10),""))</f>
        <v/>
      </c>
      <c r="AF14" s="557"/>
      <c r="AG14" s="439">
        <v>13</v>
      </c>
      <c r="AH14" s="334"/>
    </row>
    <row r="15" spans="1:34" hidden="1" x14ac:dyDescent="0.85">
      <c r="A15" s="552" t="s">
        <v>881</v>
      </c>
      <c r="B15" s="311" t="s">
        <v>890</v>
      </c>
      <c r="C15" s="219" t="s">
        <v>886</v>
      </c>
      <c r="D15" s="481"/>
      <c r="E15" s="482"/>
      <c r="F15" s="482"/>
      <c r="G15" s="482"/>
      <c r="H15" s="482"/>
      <c r="I15" s="482"/>
      <c r="J15" s="482"/>
      <c r="K15" s="482"/>
      <c r="L15" s="482"/>
      <c r="M15" s="482"/>
      <c r="N15" s="482"/>
      <c r="O15" s="482"/>
      <c r="P15" s="482"/>
      <c r="Q15" s="482"/>
      <c r="R15" s="482"/>
      <c r="S15" s="482"/>
      <c r="T15" s="482"/>
      <c r="U15" s="482"/>
      <c r="V15" s="482"/>
      <c r="W15" s="482"/>
      <c r="X15" s="482"/>
      <c r="Y15" s="482"/>
      <c r="Z15" s="482"/>
      <c r="AA15" s="483"/>
      <c r="AB15" s="241">
        <f t="shared" si="0"/>
        <v>0</v>
      </c>
      <c r="AC15" s="82" t="str">
        <f>CONCATENATE(IF(D16&gt;D15," * F00-08 "&amp;$D$20&amp;" "&amp;$D$21&amp;" is more than F00-07"&amp;CHAR(10),""),IF(E16&gt;E15," * F00-08 "&amp;$D$20&amp;" "&amp;$E$21&amp;" is more than F00-07"&amp;CHAR(10),""),IF(F16&gt;F15," * F00-08 "&amp;$F$20&amp;" "&amp;$F$21&amp;" is more than F00-07"&amp;CHAR(10),""),IF(G16&gt;G15," * F00-08 "&amp;$F$20&amp;" "&amp;$G$21&amp;" is more than F00-07"&amp;CHAR(10),""),IF(H16&gt;H15," * F00-08 "&amp;$H$20&amp;" "&amp;$H$21&amp;" is more than F00-07"&amp;CHAR(10),""),IF(I16&gt;I15," * F00-08 "&amp;$H$20&amp;" "&amp;$I$21&amp;" is more than F00-07"&amp;CHAR(10),""),IF(J16&gt;J15," * F00-08 "&amp;$J$20&amp;" "&amp;$J$21&amp;" is more than F00-07"&amp;CHAR(10),""),IF(K16&gt;K15," * F00-08 "&amp;$J$20&amp;" "&amp;$K$21&amp;" is more than F00-07"&amp;CHAR(10),""),IF(L16&gt;L15," * F00-08 "&amp;$L$20&amp;" "&amp;$L$21&amp;" is more than F00-07"&amp;CHAR(10),""),IF(M16&gt;M15," * F00-08 "&amp;$L$20&amp;" "&amp;$M$21&amp;" is more than F00-07"&amp;CHAR(10),""),IF(N16&gt;N15," * F00-08 "&amp;$N$20&amp;" "&amp;$N$21&amp;" is more than F00-07"&amp;CHAR(10),""),IF(O16&gt;O15," * F00-08 "&amp;$N$20&amp;" "&amp;$O$21&amp;" is more than F00-07"&amp;CHAR(10),""),IF(P16&gt;P15," * F00-08 "&amp;$P$20&amp;" "&amp;$P$21&amp;" is more than F00-07"&amp;CHAR(10),""),IF(Q16&gt;Q15," * F00-08 "&amp;$P$20&amp;" "&amp;$Q$21&amp;" is more than F00-07"&amp;CHAR(10),""),IF(R16&gt;R15," * F00-08 "&amp;$R$20&amp;" "&amp;$R$21&amp;" is more than F00-07"&amp;CHAR(10),""),IF(S16&gt;S15," * F00-08 "&amp;$R$20&amp;" "&amp;$S$21&amp;" is more than F00-07"&amp;CHAR(10),""),IF(T16&gt;T15," * F00-08 "&amp;$T$20&amp;" "&amp;$T$21&amp;" is more than F00-07"&amp;CHAR(10),""),IF(U16&gt;U15," * F00-08 "&amp;$T$20&amp;" "&amp;$U$21&amp;" is more than F00-07"&amp;CHAR(10),""),IF(V16&gt;V15," * F00-08 "&amp;$V$20&amp;" "&amp;$V$21&amp;" is more than F00-07"&amp;CHAR(10),""),IF(W16&gt;W15," * F00-08 "&amp;$V$20&amp;" "&amp;$W$21&amp;" is more than F00-07"&amp;CHAR(10),""),IF(X16&gt;X15," * F00-08 "&amp;$X$20&amp;" "&amp;$X$21&amp;" is more than F00-07"&amp;CHAR(10),""),IF(Y16&gt;Y15," * F00-08 "&amp;$X$20&amp;" "&amp;$Y$21&amp;" is more than F00-07"&amp;CHAR(10),""),IF(Z16&gt;Z15," * F00-08 "&amp;$Z$20&amp;" "&amp;$Z$21&amp;" is more than F00-07"&amp;CHAR(10),""),IF(AA16&gt;AA15," * F00-08 "&amp;$Z$20&amp;" "&amp;$AA$21&amp;" is more than F00-07"&amp;CHAR(10),""))</f>
        <v/>
      </c>
      <c r="AD15" s="554"/>
      <c r="AE15" s="83"/>
      <c r="AF15" s="557"/>
      <c r="AG15" s="439">
        <v>14</v>
      </c>
    </row>
    <row r="16" spans="1:34" hidden="1" x14ac:dyDescent="0.85">
      <c r="A16" s="550"/>
      <c r="B16" s="312" t="s">
        <v>654</v>
      </c>
      <c r="C16" s="217" t="s">
        <v>887</v>
      </c>
      <c r="D16" s="484"/>
      <c r="E16" s="475"/>
      <c r="F16" s="475"/>
      <c r="G16" s="475"/>
      <c r="H16" s="475"/>
      <c r="I16" s="475"/>
      <c r="J16" s="475"/>
      <c r="K16" s="475"/>
      <c r="L16" s="475"/>
      <c r="M16" s="475"/>
      <c r="N16" s="475"/>
      <c r="O16" s="475"/>
      <c r="P16" s="475"/>
      <c r="Q16" s="475"/>
      <c r="R16" s="475"/>
      <c r="S16" s="475"/>
      <c r="T16" s="475"/>
      <c r="U16" s="475"/>
      <c r="V16" s="475"/>
      <c r="W16" s="475"/>
      <c r="X16" s="475"/>
      <c r="Y16" s="475"/>
      <c r="Z16" s="475"/>
      <c r="AA16" s="485"/>
      <c r="AB16" s="256">
        <f t="shared" si="0"/>
        <v>0</v>
      </c>
      <c r="AC16" s="82" t="str">
        <f>CONCATENATE(IF(D17&gt;D16," * F00-09 "&amp;$D$20&amp;" "&amp;$D$21&amp;" is more than F00-08"&amp;CHAR(10),""),IF(E17&gt;E16," * F00-09 "&amp;$D$20&amp;" "&amp;$E$21&amp;" is more than F00-08"&amp;CHAR(10),""),IF(F17&gt;F16," * F00-09 "&amp;$F$20&amp;" "&amp;$F$21&amp;" is more than F00-08"&amp;CHAR(10),""),IF(G17&gt;G16," * F00-09 "&amp;$F$20&amp;" "&amp;$G$21&amp;" is more than F00-08"&amp;CHAR(10),""),IF(H17&gt;H16," * F00-09 "&amp;$H$20&amp;" "&amp;$H$21&amp;" is more than F00-08"&amp;CHAR(10),""),IF(I17&gt;I16," * F00-09 "&amp;$H$20&amp;" "&amp;$I$21&amp;" is more than F00-08"&amp;CHAR(10),""),IF(J17&gt;J16," * F00-09 "&amp;$J$20&amp;" "&amp;$J$21&amp;" is more than F00-08"&amp;CHAR(10),""),IF(K17&gt;K16," * F00-09 "&amp;$J$20&amp;" "&amp;$K$21&amp;" is more than F00-08"&amp;CHAR(10),""),IF(L17&gt;L16," * F00-09 "&amp;$L$20&amp;" "&amp;$L$21&amp;" is more than F00-08"&amp;CHAR(10),""),IF(M17&gt;M16," * F00-09 "&amp;$L$20&amp;" "&amp;$M$21&amp;" is more than F00-08"&amp;CHAR(10),""),IF(N17&gt;N16," * F00-09 "&amp;$N$20&amp;" "&amp;$N$21&amp;" is more than F00-08"&amp;CHAR(10),""),IF(O17&gt;O16," * F00-09 "&amp;$N$20&amp;" "&amp;$O$21&amp;" is more than F00-08"&amp;CHAR(10),""),IF(P17&gt;P16," * F00-09 "&amp;$P$20&amp;" "&amp;$P$21&amp;" is more than F00-08"&amp;CHAR(10),""),IF(Q17&gt;Q16," * F00-09 "&amp;$P$20&amp;" "&amp;$Q$21&amp;" is more than F00-08"&amp;CHAR(10),""),IF(R17&gt;R16," * F00-09 "&amp;$R$20&amp;" "&amp;$R$21&amp;" is more than F00-08"&amp;CHAR(10),""),IF(S17&gt;S16," * F00-09 "&amp;$R$20&amp;" "&amp;$S$21&amp;" is more than F00-08"&amp;CHAR(10),""),IF(T17&gt;T16," * F00-09 "&amp;$T$20&amp;" "&amp;$T$21&amp;" is more than F00-08"&amp;CHAR(10),""),IF(U17&gt;U16," * F00-09 "&amp;$T$20&amp;" "&amp;$U$21&amp;" is more than F00-08"&amp;CHAR(10),""),IF(V17&gt;V16," * F00-09 "&amp;$V$20&amp;" "&amp;$V$21&amp;" is more than F00-08"&amp;CHAR(10),""),IF(W17&gt;W16," * F00-09 "&amp;$V$20&amp;" "&amp;$W$21&amp;" is more than F00-08"&amp;CHAR(10),""),IF(X17&gt;X16," * F00-09 "&amp;$X$20&amp;" "&amp;$X$21&amp;" is more than F00-08"&amp;CHAR(10),""),IF(Y17&gt;Y16," * F00-09 "&amp;$X$20&amp;" "&amp;$Y$21&amp;" is more than F00-08"&amp;CHAR(10),""),IF(Z17&gt;Z16," * F00-09 "&amp;$Z$20&amp;" "&amp;$Z$21&amp;" is more than F00-08"&amp;CHAR(10),""),IF(AA17&gt;AA16," * F00-09 "&amp;$Z$20&amp;" "&amp;$AA$21&amp;" is more than F00-08"&amp;CHAR(10),""))</f>
        <v/>
      </c>
      <c r="AD16" s="554"/>
      <c r="AE16" s="83"/>
      <c r="AF16" s="557"/>
      <c r="AG16" s="439">
        <v>15</v>
      </c>
    </row>
    <row r="17" spans="1:34" ht="31.3" hidden="1" thickBot="1" x14ac:dyDescent="0.9">
      <c r="A17" s="551"/>
      <c r="B17" s="313" t="s">
        <v>472</v>
      </c>
      <c r="C17" s="218" t="s">
        <v>888</v>
      </c>
      <c r="D17" s="486"/>
      <c r="E17" s="487"/>
      <c r="F17" s="487"/>
      <c r="G17" s="487"/>
      <c r="H17" s="487"/>
      <c r="I17" s="487"/>
      <c r="J17" s="487"/>
      <c r="K17" s="487"/>
      <c r="L17" s="487"/>
      <c r="M17" s="487"/>
      <c r="N17" s="487"/>
      <c r="O17" s="487"/>
      <c r="P17" s="487"/>
      <c r="Q17" s="487"/>
      <c r="R17" s="487"/>
      <c r="S17" s="487"/>
      <c r="T17" s="487"/>
      <c r="U17" s="487"/>
      <c r="V17" s="487"/>
      <c r="W17" s="487"/>
      <c r="X17" s="487"/>
      <c r="Y17" s="487"/>
      <c r="Z17" s="487"/>
      <c r="AA17" s="488"/>
      <c r="AB17" s="372">
        <f t="shared" si="0"/>
        <v>0</v>
      </c>
      <c r="AC17" s="215"/>
      <c r="AD17" s="554"/>
      <c r="AE17" s="83"/>
      <c r="AF17" s="557"/>
      <c r="AG17" s="439">
        <v>16</v>
      </c>
    </row>
    <row r="18" spans="1:34" ht="32.15" thickBot="1" x14ac:dyDescent="0.9">
      <c r="A18" s="456"/>
      <c r="B18" s="342" t="s">
        <v>1047</v>
      </c>
      <c r="C18" s="222" t="s">
        <v>891</v>
      </c>
      <c r="D18" s="347">
        <f t="shared" ref="D18:E18" si="3">D17+D13+D10</f>
        <v>0</v>
      </c>
      <c r="E18" s="347">
        <f t="shared" si="3"/>
        <v>0</v>
      </c>
      <c r="F18" s="347">
        <f>F17+F13+F10</f>
        <v>0</v>
      </c>
      <c r="G18" s="347">
        <f t="shared" ref="G18:AB18" si="4">G17+G13+G10</f>
        <v>0</v>
      </c>
      <c r="H18" s="347">
        <f t="shared" si="4"/>
        <v>0</v>
      </c>
      <c r="I18" s="347">
        <f t="shared" si="4"/>
        <v>0</v>
      </c>
      <c r="J18" s="347">
        <f t="shared" si="4"/>
        <v>0</v>
      </c>
      <c r="K18" s="347">
        <f t="shared" si="4"/>
        <v>0</v>
      </c>
      <c r="L18" s="347">
        <f t="shared" si="4"/>
        <v>0</v>
      </c>
      <c r="M18" s="347">
        <f t="shared" si="4"/>
        <v>0</v>
      </c>
      <c r="N18" s="347">
        <f t="shared" si="4"/>
        <v>0</v>
      </c>
      <c r="O18" s="347">
        <f t="shared" si="4"/>
        <v>0</v>
      </c>
      <c r="P18" s="347">
        <f t="shared" si="4"/>
        <v>0</v>
      </c>
      <c r="Q18" s="347">
        <f t="shared" si="4"/>
        <v>0</v>
      </c>
      <c r="R18" s="347">
        <f t="shared" si="4"/>
        <v>0</v>
      </c>
      <c r="S18" s="347">
        <f t="shared" si="4"/>
        <v>0</v>
      </c>
      <c r="T18" s="347">
        <f t="shared" si="4"/>
        <v>0</v>
      </c>
      <c r="U18" s="347">
        <f t="shared" si="4"/>
        <v>0</v>
      </c>
      <c r="V18" s="347">
        <f t="shared" si="4"/>
        <v>0</v>
      </c>
      <c r="W18" s="347">
        <f t="shared" si="4"/>
        <v>0</v>
      </c>
      <c r="X18" s="347">
        <f t="shared" si="4"/>
        <v>0</v>
      </c>
      <c r="Y18" s="347">
        <f t="shared" si="4"/>
        <v>0</v>
      </c>
      <c r="Z18" s="347">
        <f t="shared" si="4"/>
        <v>0</v>
      </c>
      <c r="AA18" s="347">
        <f t="shared" si="4"/>
        <v>0</v>
      </c>
      <c r="AB18" s="347">
        <f t="shared" si="4"/>
        <v>0</v>
      </c>
      <c r="AC18" s="215"/>
      <c r="AD18" s="555"/>
      <c r="AE18" s="83"/>
      <c r="AF18" s="558"/>
      <c r="AG18" s="439">
        <v>17</v>
      </c>
    </row>
    <row r="19" spans="1:34" ht="35.15" thickBot="1" x14ac:dyDescent="0.9">
      <c r="A19" s="657" t="s">
        <v>12</v>
      </c>
      <c r="B19" s="658"/>
      <c r="C19" s="658"/>
      <c r="D19" s="658"/>
      <c r="E19" s="658"/>
      <c r="F19" s="658"/>
      <c r="G19" s="658"/>
      <c r="H19" s="658"/>
      <c r="I19" s="658"/>
      <c r="J19" s="658"/>
      <c r="K19" s="658"/>
      <c r="L19" s="658"/>
      <c r="M19" s="658"/>
      <c r="N19" s="658"/>
      <c r="O19" s="658"/>
      <c r="P19" s="658"/>
      <c r="Q19" s="658"/>
      <c r="R19" s="658"/>
      <c r="S19" s="658"/>
      <c r="T19" s="658"/>
      <c r="U19" s="658"/>
      <c r="V19" s="658"/>
      <c r="W19" s="658"/>
      <c r="X19" s="658"/>
      <c r="Y19" s="658"/>
      <c r="Z19" s="658"/>
      <c r="AA19" s="658"/>
      <c r="AB19" s="658"/>
      <c r="AC19" s="658"/>
      <c r="AD19" s="579"/>
      <c r="AE19" s="658"/>
      <c r="AF19" s="580"/>
      <c r="AG19" s="439">
        <v>18</v>
      </c>
    </row>
    <row r="20" spans="1:34" s="7" customFormat="1" ht="26.25" customHeight="1" x14ac:dyDescent="0.85">
      <c r="A20" s="588" t="s">
        <v>37</v>
      </c>
      <c r="B20" s="611" t="s">
        <v>347</v>
      </c>
      <c r="C20" s="666" t="s">
        <v>328</v>
      </c>
      <c r="D20" s="646" t="s">
        <v>0</v>
      </c>
      <c r="E20" s="646"/>
      <c r="F20" s="646" t="s">
        <v>1</v>
      </c>
      <c r="G20" s="646"/>
      <c r="H20" s="646" t="s">
        <v>2</v>
      </c>
      <c r="I20" s="646"/>
      <c r="J20" s="646" t="s">
        <v>3</v>
      </c>
      <c r="K20" s="646"/>
      <c r="L20" s="646" t="s">
        <v>4</v>
      </c>
      <c r="M20" s="646"/>
      <c r="N20" s="646" t="s">
        <v>5</v>
      </c>
      <c r="O20" s="646"/>
      <c r="P20" s="646" t="s">
        <v>6</v>
      </c>
      <c r="Q20" s="646"/>
      <c r="R20" s="646" t="s">
        <v>7</v>
      </c>
      <c r="S20" s="646"/>
      <c r="T20" s="646" t="s">
        <v>8</v>
      </c>
      <c r="U20" s="646"/>
      <c r="V20" s="646" t="s">
        <v>23</v>
      </c>
      <c r="W20" s="646"/>
      <c r="X20" s="646" t="s">
        <v>24</v>
      </c>
      <c r="Y20" s="646"/>
      <c r="Z20" s="646" t="s">
        <v>9</v>
      </c>
      <c r="AA20" s="646"/>
      <c r="AB20" s="669" t="s">
        <v>19</v>
      </c>
      <c r="AC20" s="635" t="s">
        <v>381</v>
      </c>
      <c r="AD20" s="585" t="s">
        <v>387</v>
      </c>
      <c r="AE20" s="624" t="s">
        <v>388</v>
      </c>
      <c r="AF20" s="655" t="s">
        <v>388</v>
      </c>
      <c r="AG20" s="439">
        <v>19</v>
      </c>
      <c r="AH20" s="333"/>
    </row>
    <row r="21" spans="1:34" s="7" customFormat="1" ht="27" customHeight="1" thickBot="1" x14ac:dyDescent="0.9">
      <c r="A21" s="589"/>
      <c r="B21" s="612"/>
      <c r="C21" s="667"/>
      <c r="D21" s="81" t="s">
        <v>10</v>
      </c>
      <c r="E21" s="81" t="s">
        <v>11</v>
      </c>
      <c r="F21" s="81" t="s">
        <v>10</v>
      </c>
      <c r="G21" s="81" t="s">
        <v>11</v>
      </c>
      <c r="H21" s="81" t="s">
        <v>10</v>
      </c>
      <c r="I21" s="81" t="s">
        <v>11</v>
      </c>
      <c r="J21" s="81" t="s">
        <v>10</v>
      </c>
      <c r="K21" s="81" t="s">
        <v>11</v>
      </c>
      <c r="L21" s="81" t="s">
        <v>10</v>
      </c>
      <c r="M21" s="81" t="s">
        <v>11</v>
      </c>
      <c r="N21" s="81" t="s">
        <v>10</v>
      </c>
      <c r="O21" s="81" t="s">
        <v>11</v>
      </c>
      <c r="P21" s="81" t="s">
        <v>10</v>
      </c>
      <c r="Q21" s="81" t="s">
        <v>11</v>
      </c>
      <c r="R21" s="81" t="s">
        <v>10</v>
      </c>
      <c r="S21" s="81" t="s">
        <v>11</v>
      </c>
      <c r="T21" s="81" t="s">
        <v>10</v>
      </c>
      <c r="U21" s="81" t="s">
        <v>11</v>
      </c>
      <c r="V21" s="81" t="s">
        <v>10</v>
      </c>
      <c r="W21" s="81" t="s">
        <v>11</v>
      </c>
      <c r="X21" s="81" t="s">
        <v>10</v>
      </c>
      <c r="Y21" s="81" t="s">
        <v>11</v>
      </c>
      <c r="Z21" s="81" t="s">
        <v>10</v>
      </c>
      <c r="AA21" s="81" t="s">
        <v>11</v>
      </c>
      <c r="AB21" s="670"/>
      <c r="AC21" s="668"/>
      <c r="AD21" s="584"/>
      <c r="AE21" s="625"/>
      <c r="AF21" s="656"/>
      <c r="AG21" s="439">
        <v>20</v>
      </c>
      <c r="AH21" s="333"/>
    </row>
    <row r="22" spans="1:34" x14ac:dyDescent="0.85">
      <c r="A22" s="665" t="s">
        <v>121</v>
      </c>
      <c r="B22" s="274" t="s">
        <v>643</v>
      </c>
      <c r="C22" s="134" t="s">
        <v>144</v>
      </c>
      <c r="D22" s="126"/>
      <c r="E22" s="32"/>
      <c r="F22" s="31"/>
      <c r="G22" s="31"/>
      <c r="H22" s="31"/>
      <c r="I22" s="98"/>
      <c r="J22" s="31"/>
      <c r="K22" s="31"/>
      <c r="L22" s="31"/>
      <c r="M22" s="31"/>
      <c r="N22" s="31"/>
      <c r="O22" s="31"/>
      <c r="P22" s="31"/>
      <c r="Q22" s="31"/>
      <c r="R22" s="31"/>
      <c r="S22" s="31"/>
      <c r="T22" s="31"/>
      <c r="U22" s="31"/>
      <c r="V22" s="31"/>
      <c r="W22" s="31"/>
      <c r="X22" s="31"/>
      <c r="Y22" s="31"/>
      <c r="Z22" s="31"/>
      <c r="AA22" s="31"/>
      <c r="AB22" s="89">
        <f t="shared" ref="AB22:AB26" si="5">SUM(D22:AA22)</f>
        <v>0</v>
      </c>
      <c r="AC22" s="653" t="str">
        <f>CONCATENATE(IF(D23&gt;D22," * F01-02 "&amp;$D$20&amp;" "&amp;$D$21&amp;" is more than F01-01"&amp;CHAR(10),""),IF(E23&gt;E22," * F01-02 "&amp;$D$20&amp;" "&amp;$E$21&amp;" is more than F01-01"&amp;CHAR(10),""),IF(F23&gt;F22," * F01-02 "&amp;$F$20&amp;" "&amp;$F$21&amp;" is more than F01-01"&amp;CHAR(10),""),IF(G23&gt;G22," * F01-02 "&amp;$F$20&amp;" "&amp;$G$21&amp;" is more than F01-01"&amp;CHAR(10),""),IF(H23&gt;H22," * F01-02 "&amp;$H$20&amp;" "&amp;$H$21&amp;" is more than F01-01"&amp;CHAR(10),""),IF(I23&gt;I22," * F01-02 "&amp;$H$20&amp;" "&amp;$I$21&amp;" is more than F01-01"&amp;CHAR(10),""),IF(J23&gt;J22," * F01-02 "&amp;$J$20&amp;" "&amp;$J$21&amp;" is more than F01-01"&amp;CHAR(10),""),IF(K23&gt;K22," * F01-02 "&amp;$J$20&amp;" "&amp;$K$21&amp;" is more than F01-01"&amp;CHAR(10),""),IF(L23&gt;L22," * F01-02 "&amp;$L$20&amp;" "&amp;$L$21&amp;" is more than F01-01"&amp;CHAR(10),""),IF(M23&gt;M22," * F01-02 "&amp;$L$20&amp;" "&amp;$M$21&amp;" is more than F01-01"&amp;CHAR(10),""),IF(N23&gt;N22," * F01-02 "&amp;$N$20&amp;" "&amp;$N$21&amp;" is more than F01-01"&amp;CHAR(10),""),IF(O23&gt;O22," * F01-02 "&amp;$N$20&amp;" "&amp;$O$21&amp;" is more than F01-01"&amp;CHAR(10),""),IF(P23&gt;P22," * F01-02 "&amp;$P$20&amp;" "&amp;$P$21&amp;" is more than F01-01"&amp;CHAR(10),""),IF(Q23&gt;Q22," * F01-02 "&amp;$P$20&amp;" "&amp;$Q$21&amp;" is more than F01-01"&amp;CHAR(10),""),IF(R23&gt;R22," * F01-02 "&amp;$R$20&amp;" "&amp;$R$21&amp;" is more than F01-01"&amp;CHAR(10),""),IF(S23&gt;S22," * F01-02 "&amp;$R$20&amp;" "&amp;$S$21&amp;" is more than F01-01"&amp;CHAR(10),""),IF(T23&gt;T22," * F01-02 "&amp;$T$20&amp;" "&amp;$T$21&amp;" is more than F01-01"&amp;CHAR(10),""),IF(U23&gt;U22," * F01-02 "&amp;$T$20&amp;" "&amp;$U$21&amp;" is more than F01-01"&amp;CHAR(10),""),IF(V23&gt;V22," * F01-02 "&amp;$V$20&amp;" "&amp;$V$21&amp;" is more than F01-01"&amp;CHAR(10),""),IF(W23&gt;W22," * F01-02 "&amp;$V$20&amp;" "&amp;$W$21&amp;" is more than F01-01"&amp;CHAR(10),""),IF(X23&gt;X22," * F01-02 "&amp;$X$20&amp;" "&amp;$X$21&amp;" is more than F01-01"&amp;CHAR(10),""),IF(Y23&gt;Y22," * F01-02 "&amp;$X$20&amp;" "&amp;$Y$21&amp;" is more than F01-01"&amp;CHAR(10),""),IF(Z23&gt;Z22," * F01-02 "&amp;$Z$20&amp;" "&amp;$Z$21&amp;" is more than F01-01"&amp;CHAR(10),""),IF(AA23&gt;AA22," * F01-02 "&amp;$Z$20&amp;" "&amp;$AA$21&amp;" is more than F01-01"&amp;CHAR(10),""))</f>
        <v/>
      </c>
      <c r="AD22" s="659" t="str">
        <f>CONCATENATE(AC22,AC24,AC25,AC26,AC28,AC29,AC30,AC31,AC33,AC35,AC37,AC39,AC41,AC43,AC45,AC47,AC49)</f>
        <v/>
      </c>
      <c r="AE22" s="99"/>
      <c r="AF22" s="639" t="str">
        <f>CONCATENATE(AE22,AE23,AE24,AE25,AE26,AE27,AE28,AE29,AE30,AE31,AE32,AE33,AE34,AE35,AE36,AE37,AE38,AE39,AE40,AE41,AE42,AE43,AE44,AE45,AE46,AE47,AE48,AE49,AE50)</f>
        <v/>
      </c>
      <c r="AG22" s="439">
        <v>21</v>
      </c>
    </row>
    <row r="23" spans="1:34" x14ac:dyDescent="0.85">
      <c r="A23" s="566"/>
      <c r="B23" s="275" t="s">
        <v>644</v>
      </c>
      <c r="C23" s="135" t="s">
        <v>146</v>
      </c>
      <c r="D23" s="127"/>
      <c r="E23" s="18"/>
      <c r="F23" s="19"/>
      <c r="G23" s="19"/>
      <c r="H23" s="19"/>
      <c r="I23" s="19"/>
      <c r="J23" s="19"/>
      <c r="K23" s="19"/>
      <c r="L23" s="19"/>
      <c r="M23" s="19"/>
      <c r="N23" s="19"/>
      <c r="O23" s="19"/>
      <c r="P23" s="19"/>
      <c r="Q23" s="19"/>
      <c r="R23" s="19"/>
      <c r="S23" s="19"/>
      <c r="T23" s="19"/>
      <c r="U23" s="19"/>
      <c r="V23" s="19"/>
      <c r="W23" s="19"/>
      <c r="X23" s="19"/>
      <c r="Y23" s="19"/>
      <c r="Z23" s="19"/>
      <c r="AA23" s="19"/>
      <c r="AB23" s="37">
        <f t="shared" si="5"/>
        <v>0</v>
      </c>
      <c r="AC23" s="645"/>
      <c r="AD23" s="643"/>
      <c r="AE23" s="83"/>
      <c r="AF23" s="640"/>
      <c r="AG23" s="439">
        <v>22</v>
      </c>
    </row>
    <row r="24" spans="1:34" s="9" customFormat="1" x14ac:dyDescent="0.85">
      <c r="A24" s="566"/>
      <c r="B24" s="275" t="s">
        <v>147</v>
      </c>
      <c r="C24" s="135" t="s">
        <v>348</v>
      </c>
      <c r="D24" s="127"/>
      <c r="E24" s="18"/>
      <c r="F24" s="19"/>
      <c r="G24" s="19"/>
      <c r="H24" s="19"/>
      <c r="I24" s="19"/>
      <c r="J24" s="19"/>
      <c r="K24" s="19"/>
      <c r="L24" s="19"/>
      <c r="M24" s="19"/>
      <c r="N24" s="19"/>
      <c r="O24" s="19"/>
      <c r="P24" s="19"/>
      <c r="Q24" s="19"/>
      <c r="R24" s="19"/>
      <c r="S24" s="19"/>
      <c r="T24" s="19"/>
      <c r="U24" s="19"/>
      <c r="V24" s="19"/>
      <c r="W24" s="19"/>
      <c r="X24" s="19"/>
      <c r="Y24" s="19"/>
      <c r="Z24" s="19"/>
      <c r="AA24" s="19"/>
      <c r="AB24" s="37">
        <f t="shared" si="5"/>
        <v>0</v>
      </c>
      <c r="AC24" s="92"/>
      <c r="AD24" s="643"/>
      <c r="AE24" s="84" t="str">
        <f>CONCATENATE(IF(D24&lt;&gt;SUM(D25,D26,D29,D30)," * F01-03 for Age "&amp;D20&amp;" "&amp;D21&amp;" is not equal to the sum of (F01-04+F01-05+F01-08+F01-09)"&amp;CHAR(10),""),IF(E24&lt;&gt;SUM(E25,E26,E29,E30)," * F01-03 for Age "&amp;D20&amp;" "&amp;E21&amp;" is not equal to the sum of F01-04+F01-05+F01-08+F01-09"&amp;CHAR(10),""),IF(F24&lt;&gt;SUM(F25,F26,F29,F30)," * F01-03 for Age "&amp;F20&amp;" "&amp;F21&amp;" is not equal to the sum of (F01-04+F01-05+F01-08+F01-09)"&amp;CHAR(10),""),IF(G24&lt;&gt;SUM(G25,G26,G29,G30)," * F01-03 for Age "&amp;F20&amp;" "&amp;G21&amp;" is not equal to the sum of F01-04+F01-05+F01-08+F01-09"&amp;CHAR(10),""),IF(H24&lt;&gt;SUM(H25,H26,H29,H30)," * F01-03 for Age "&amp;H20&amp;" "&amp;H21&amp;" is not equal to the sum of (F01-04+F01-05+F01-08+F01-09)"&amp;CHAR(10),""),IF(I24&lt;&gt;SUM(I25,I26,I29,I30)," * F01-03 for Age "&amp;H20&amp;" "&amp;I21&amp;" is not equal to the sum of F01-04+F01-05+F01-08+F01-09"&amp;CHAR(10),""),IF(J24&lt;&gt;SUM(J25,J26,J29,J30)," * F01-03 for Age "&amp;J20&amp;" "&amp;J21&amp;" is not equal to the sum of (F01-04+F01-05+F01-08+F01-09)"&amp;CHAR(10),""),IF(K24&lt;&gt;SUM(K25,K26,K29,K30)," * F01-03 for Age "&amp;J20&amp;" "&amp;K21&amp;" is not equal to the sum of F01-04+F01-05+F01-08+F01-09"&amp;CHAR(10),""),IF(L24&lt;&gt;SUM(L25,L26,L29,L30)," * F01-03 for Age "&amp;L20&amp;" "&amp;L21&amp;" is not equal to the sum of (F01-04+F01-05+F01-08+F01-09)"&amp;CHAR(10),""),IF(M24&lt;&gt;SUM(M25,M26,M29,M30)," * F01-03 for Age "&amp;L20&amp;" "&amp;M21&amp;" is not equal to the sum of F01-04+F01-05+F01-08+F01-09"&amp;CHAR(10),""),IF(N24&lt;&gt;SUM(N25,N26,N29,N30)," * F01-03 for Age "&amp;N20&amp;" "&amp;N21&amp;" is not equal to the sum of (F01-04+F01-05+F01-08+F01-09)"&amp;CHAR(10),""),IF(O24&lt;&gt;SUM(O25,O26,O29,O30)," * F01-03 for Age "&amp;N20&amp;" "&amp;O21&amp;" is not equal to the sum of F01-04+F01-05+F01-08+F01-09"&amp;CHAR(10),""),IF(P24&lt;&gt;SUM(P25,P26,P29,P30)," * F01-03 for Age "&amp;P20&amp;" "&amp;P21&amp;" is not equal to the sum of (F01-04+F01-05+F01-08+F01-09)"&amp;CHAR(10),""),IF(Q24&lt;&gt;SUM(Q25,Q26,Q29,Q30)," * F01-03 for Age "&amp;P20&amp;" "&amp;Q21&amp;" is not equal to the sum of F01-04+F01-05+F01-08+F01-09"&amp;CHAR(10),""),IF(R24&lt;&gt;SUM(R25,R26,R29,R30)," * F01-03 for Age "&amp;R20&amp;" "&amp;R21&amp;" is not equal to the sum of (F01-04+F01-05+F01-08+F01-09)"&amp;CHAR(10),""),IF(S24&lt;&gt;SUM(S25,S26,S29,S30)," * F01-03 for Age "&amp;R20&amp;" "&amp;S21&amp;" is not equal to the sum of F01-04+F01-05+F01-08+F01-09"&amp;CHAR(10),""),IF(T24&lt;&gt;SUM(T25,T26,T29,T30)," * F01-03 for Age "&amp;T20&amp;" "&amp;T21&amp;" is not equal to the sum of (F01-04+F01-05+F01-08+F01-09)"&amp;CHAR(10),""),IF(U24&lt;&gt;SUM(U25,U26,U29,U30)," * F01-03 for Age "&amp;T20&amp;" "&amp;U21&amp;" is not equal to the sum of F01-04+F01-05+F01-08+F01-09"&amp;CHAR(10),""),IF(V24&lt;&gt;SUM(V25,V26,V29,V30)," * F01-03 for Age "&amp;V20&amp;" "&amp;V21&amp;" is not equal to the sum of (F01-04+F01-05+F01-08+F01-09)"&amp;CHAR(10),""),IF(W24&lt;&gt;SUM(W25,W26,W29,W30)," * F01-03 for Age "&amp;V20&amp;" "&amp;W21&amp;" is not equal to the sum of F01-04+F01-05+F01-08+F01-09"&amp;CHAR(10),""),IF(X24&lt;&gt;SUM(X25,X26,X29,X30)," * F01-03 for Age "&amp;X20&amp;" "&amp;X21&amp;" is not equal to the sum of (F01-04+F01-05+F01-08+F01-09)"&amp;CHAR(10),""),IF(Y24&lt;&gt;SUM(Y25,Y26,Y29,Y30)," * F01-03 for Age "&amp;X20&amp;" "&amp;Y21&amp;" is not equal to the sum of F01-04+F01-05+F01-08+F01-09"&amp;CHAR(10),""),IF(Z24&lt;&gt;SUM(Z25,Z26,Z29,Z30)," * F01-03 for Age "&amp;Z20&amp;" "&amp;Z21&amp;" is not equal to the sum of (F01-04+F01-05+F01-08+F01-09)"&amp;CHAR(10),""),IF(AA24&lt;&gt;SUM(AA25,AA26,AA29,AA30)," * F01-03 for Age "&amp;Z20&amp;" "&amp;AA21&amp;" is not equal to the sum of (F01-04+F01-05+F01-08+F01-09)"&amp;CHAR(10),""))</f>
        <v/>
      </c>
      <c r="AF24" s="640"/>
      <c r="AG24" s="439">
        <v>23</v>
      </c>
      <c r="AH24" s="334"/>
    </row>
    <row r="25" spans="1:34" s="8" customFormat="1" x14ac:dyDescent="0.85">
      <c r="A25" s="566"/>
      <c r="B25" s="275" t="s">
        <v>148</v>
      </c>
      <c r="C25" s="136" t="s">
        <v>149</v>
      </c>
      <c r="D25" s="127"/>
      <c r="E25" s="18"/>
      <c r="F25" s="19"/>
      <c r="G25" s="19"/>
      <c r="H25" s="19"/>
      <c r="I25" s="19"/>
      <c r="J25" s="19"/>
      <c r="K25" s="19"/>
      <c r="L25" s="19"/>
      <c r="M25" s="19"/>
      <c r="N25" s="19"/>
      <c r="O25" s="19"/>
      <c r="P25" s="19"/>
      <c r="Q25" s="19"/>
      <c r="R25" s="19"/>
      <c r="S25" s="19"/>
      <c r="T25" s="19"/>
      <c r="U25" s="19"/>
      <c r="V25" s="19"/>
      <c r="W25" s="19"/>
      <c r="X25" s="19"/>
      <c r="Y25" s="19"/>
      <c r="Z25" s="19"/>
      <c r="AA25" s="19"/>
      <c r="AB25" s="37">
        <f t="shared" si="5"/>
        <v>0</v>
      </c>
      <c r="AC25" s="92"/>
      <c r="AD25" s="643"/>
      <c r="AE25" s="83"/>
      <c r="AF25" s="640"/>
      <c r="AG25" s="439">
        <v>24</v>
      </c>
      <c r="AH25" s="335"/>
    </row>
    <row r="26" spans="1:34" s="8" customFormat="1" x14ac:dyDescent="0.85">
      <c r="A26" s="566"/>
      <c r="B26" s="275" t="s">
        <v>161</v>
      </c>
      <c r="C26" s="136" t="s">
        <v>150</v>
      </c>
      <c r="D26" s="127"/>
      <c r="E26" s="18"/>
      <c r="F26" s="19"/>
      <c r="G26" s="19"/>
      <c r="H26" s="19"/>
      <c r="I26" s="19"/>
      <c r="J26" s="19"/>
      <c r="K26" s="19"/>
      <c r="L26" s="19"/>
      <c r="M26" s="19"/>
      <c r="N26" s="19"/>
      <c r="O26" s="19"/>
      <c r="P26" s="19"/>
      <c r="Q26" s="19"/>
      <c r="R26" s="19"/>
      <c r="S26" s="19"/>
      <c r="T26" s="19"/>
      <c r="U26" s="19"/>
      <c r="V26" s="19"/>
      <c r="W26" s="19"/>
      <c r="X26" s="19"/>
      <c r="Y26" s="19"/>
      <c r="Z26" s="19"/>
      <c r="AA26" s="19"/>
      <c r="AB26" s="37">
        <f t="shared" si="5"/>
        <v>0</v>
      </c>
      <c r="AC26" s="645" t="str">
        <f>CONCATENATE(IF(D27&gt;D26," * Positive F01-06 for Age "&amp;D20&amp;" "&amp;D21&amp;" is more than Tested  F01-05"&amp;CHAR(10),""),IF(E27&gt;E26," * Positive F01-06 for Age "&amp;D20&amp;" "&amp;E21&amp;" is more than Tested  F01-05"&amp;CHAR(10),""),IF(F27&gt;F26," * Positive F01-06 for Age "&amp;F20&amp;" "&amp;F21&amp;" is more than Tested  F01-05"&amp;CHAR(10),""),IF(G27&gt;G26," * Positive F01-06 for Age "&amp;F20&amp;" "&amp;G21&amp;" is more than Tested  F01-05"&amp;CHAR(10),""),IF(H27&gt;H26," * Positive F01-06 for Age "&amp;H20&amp;" "&amp;H21&amp;" is more than Tested  F01-05"&amp;CHAR(10),""),IF(I27&gt;I26," * Positive F01-06 for Age "&amp;H20&amp;" "&amp;I21&amp;" is more than Tested  F01-05"&amp;CHAR(10),""),IF(J27&gt;J26," * Positive F01-06 for Age "&amp;J20&amp;" "&amp;J21&amp;" is more than Tested  F01-05"&amp;CHAR(10),""),IF(K27&gt;K26," * Positive F01-06 for Age "&amp;J20&amp;" "&amp;K21&amp;" is more than Tested  F01-05"&amp;CHAR(10),""),IF(L27&gt;L26," * Positive F01-06 for Age "&amp;L20&amp;" "&amp;L21&amp;" is more than Tested  F01-05"&amp;CHAR(10),""),IF(M27&gt;M26," * Positive F01-06 for Age "&amp;L20&amp;" "&amp;M21&amp;" is more than Tested  F01-05"&amp;CHAR(10),""),IF(N27&gt;N26," * Positive F01-06 for Age "&amp;N20&amp;" "&amp;N21&amp;" is more than Tested  F01-05"&amp;CHAR(10),""),IF(O27&gt;O26," * Positive F01-06 for Age "&amp;N20&amp;" "&amp;O21&amp;" is more than Tested  F01-05"&amp;CHAR(10),""),IF(P27&gt;P26," * Positive F01-06 for Age "&amp;P20&amp;" "&amp;P21&amp;" is more than Tested  F01-05"&amp;CHAR(10),""),IF(Q27&gt;Q26," * Positive F01-06 for Age "&amp;P20&amp;" "&amp;Q21&amp;" is more than Tested  F01-05"&amp;CHAR(10),""),IF(R27&gt;R26," * Positive F01-06 for Age "&amp;R20&amp;" "&amp;R21&amp;" is more than Tested  F01-05"&amp;CHAR(10),""),IF(S27&gt;S26," * Positive F01-06 for Age "&amp;R20&amp;" "&amp;S21&amp;" is more than Tested  F01-05"&amp;CHAR(10),""),IF(T27&gt;T26," * Positive F01-06 for Age "&amp;T20&amp;" "&amp;T21&amp;" is more than Tested  F01-05"&amp;CHAR(10),""),IF(U27&gt;U26," * Positive F01-06 for Age "&amp;T20&amp;" "&amp;U21&amp;" is more than Tested  F01-05"&amp;CHAR(10),""),IF(V27&gt;V26," * Positive F01-06 for Age "&amp;V20&amp;" "&amp;V21&amp;" is more than Tested  F01-05"&amp;CHAR(10),""),IF(W27&gt;W26," * Positive F01-06 for Age "&amp;V20&amp;" "&amp;W21&amp;" is more than Tested  F01-05"&amp;CHAR(10),""),IF(X27&gt;X26," * Positive F01-06 for Age "&amp;X20&amp;" "&amp;X21&amp;" is more than Tested  F01-05"&amp;CHAR(10),""),IF(Y27&gt;Y26," * Positive F01-06 for Age "&amp;X20&amp;" "&amp;Y21&amp;" is more than Tested  F01-05"&amp;CHAR(10),""),IF(Z27&gt;Z26," * Positive F01-06 for Age "&amp;Z20&amp;" "&amp;Z21&amp;" is more than Tested  F01-05"&amp;CHAR(10),""),IF(AA27&gt;AA26," * Positive F01-06 for Age "&amp;Z20&amp;" "&amp;AA21&amp;" is more than Tested  F01-05"&amp;CHAR(10),""))</f>
        <v/>
      </c>
      <c r="AD26" s="643"/>
      <c r="AE26" s="83" t="str">
        <f>CONCATENATE(IF(AND(IFERROR((AB27*100)/AB26,0)&gt;10,AB27&gt;5)," * This facility has a high positivity rate for Index Testing. Kindly confirm if this is the true reflection"&amp;CHAR(10),""),"")</f>
        <v/>
      </c>
      <c r="AF26" s="640"/>
      <c r="AG26" s="439">
        <v>25</v>
      </c>
      <c r="AH26" s="335"/>
    </row>
    <row r="27" spans="1:34" s="8" customFormat="1" ht="31.75" x14ac:dyDescent="0.85">
      <c r="A27" s="566"/>
      <c r="B27" s="280" t="s">
        <v>153</v>
      </c>
      <c r="C27" s="137" t="s">
        <v>152</v>
      </c>
      <c r="D27" s="127"/>
      <c r="E27" s="18"/>
      <c r="F27" s="20"/>
      <c r="G27" s="20"/>
      <c r="H27" s="20"/>
      <c r="I27" s="20"/>
      <c r="J27" s="20"/>
      <c r="K27" s="20"/>
      <c r="L27" s="20"/>
      <c r="M27" s="20"/>
      <c r="N27" s="20"/>
      <c r="O27" s="20"/>
      <c r="P27" s="20"/>
      <c r="Q27" s="20"/>
      <c r="R27" s="20"/>
      <c r="S27" s="20"/>
      <c r="T27" s="20"/>
      <c r="U27" s="20"/>
      <c r="V27" s="20"/>
      <c r="W27" s="20"/>
      <c r="X27" s="20"/>
      <c r="Y27" s="20"/>
      <c r="Z27" s="20"/>
      <c r="AA27" s="20"/>
      <c r="AB27" s="41">
        <f>SUM(D27:AA27)</f>
        <v>0</v>
      </c>
      <c r="AC27" s="645"/>
      <c r="AD27" s="643"/>
      <c r="AE27" s="83"/>
      <c r="AF27" s="640"/>
      <c r="AG27" s="439">
        <v>26</v>
      </c>
      <c r="AH27" s="335"/>
    </row>
    <row r="28" spans="1:34" s="8" customFormat="1" x14ac:dyDescent="0.85">
      <c r="A28" s="566"/>
      <c r="B28" s="275" t="s">
        <v>154</v>
      </c>
      <c r="C28" s="136" t="s">
        <v>155</v>
      </c>
      <c r="D28" s="127"/>
      <c r="E28" s="18"/>
      <c r="F28" s="19"/>
      <c r="G28" s="19"/>
      <c r="H28" s="19"/>
      <c r="I28" s="19"/>
      <c r="J28" s="19"/>
      <c r="K28" s="19"/>
      <c r="L28" s="19"/>
      <c r="M28" s="19"/>
      <c r="N28" s="19"/>
      <c r="O28" s="19"/>
      <c r="P28" s="19"/>
      <c r="Q28" s="19"/>
      <c r="R28" s="19"/>
      <c r="S28" s="19"/>
      <c r="T28" s="19"/>
      <c r="U28" s="19"/>
      <c r="V28" s="19"/>
      <c r="W28" s="19"/>
      <c r="X28" s="19"/>
      <c r="Y28" s="19"/>
      <c r="Z28" s="19"/>
      <c r="AA28" s="19"/>
      <c r="AB28" s="37">
        <f t="shared" ref="AB28:AB50" si="6">SUM(D28:AA28)</f>
        <v>0</v>
      </c>
      <c r="AC28" s="92"/>
      <c r="AD28" s="643"/>
      <c r="AE28" s="83"/>
      <c r="AF28" s="640"/>
      <c r="AG28" s="439">
        <v>27</v>
      </c>
      <c r="AH28" s="335"/>
    </row>
    <row r="29" spans="1:34" s="8" customFormat="1" x14ac:dyDescent="0.85">
      <c r="A29" s="566"/>
      <c r="B29" s="275" t="s">
        <v>655</v>
      </c>
      <c r="C29" s="136" t="s">
        <v>156</v>
      </c>
      <c r="D29" s="132"/>
      <c r="E29" s="21"/>
      <c r="F29" s="19"/>
      <c r="G29" s="19"/>
      <c r="H29" s="19"/>
      <c r="I29" s="19"/>
      <c r="J29" s="19"/>
      <c r="K29" s="19"/>
      <c r="L29" s="19"/>
      <c r="M29" s="19"/>
      <c r="N29" s="19"/>
      <c r="O29" s="19"/>
      <c r="P29" s="19"/>
      <c r="Q29" s="19"/>
      <c r="R29" s="19"/>
      <c r="S29" s="19"/>
      <c r="T29" s="19"/>
      <c r="U29" s="19"/>
      <c r="V29" s="19"/>
      <c r="W29" s="19"/>
      <c r="X29" s="19"/>
      <c r="Y29" s="19"/>
      <c r="Z29" s="19"/>
      <c r="AA29" s="19"/>
      <c r="AB29" s="37">
        <f t="shared" si="6"/>
        <v>0</v>
      </c>
      <c r="AC29" s="92"/>
      <c r="AD29" s="643"/>
      <c r="AE29" s="83"/>
      <c r="AF29" s="640"/>
      <c r="AG29" s="439">
        <v>28</v>
      </c>
      <c r="AH29" s="335"/>
    </row>
    <row r="30" spans="1:34" s="8" customFormat="1" ht="31.3" thickBot="1" x14ac:dyDescent="0.9">
      <c r="A30" s="567"/>
      <c r="B30" s="281" t="s">
        <v>157</v>
      </c>
      <c r="C30" s="138" t="s">
        <v>158</v>
      </c>
      <c r="D30" s="133"/>
      <c r="E30" s="42"/>
      <c r="F30" s="39"/>
      <c r="G30" s="39"/>
      <c r="H30" s="39"/>
      <c r="I30" s="39"/>
      <c r="J30" s="39"/>
      <c r="K30" s="39"/>
      <c r="L30" s="39"/>
      <c r="M30" s="39"/>
      <c r="N30" s="39"/>
      <c r="O30" s="39"/>
      <c r="P30" s="39"/>
      <c r="Q30" s="39"/>
      <c r="R30" s="39"/>
      <c r="S30" s="39"/>
      <c r="T30" s="39"/>
      <c r="U30" s="39"/>
      <c r="V30" s="39"/>
      <c r="W30" s="39"/>
      <c r="X30" s="39"/>
      <c r="Y30" s="39"/>
      <c r="Z30" s="39"/>
      <c r="AA30" s="39"/>
      <c r="AB30" s="40">
        <f t="shared" si="6"/>
        <v>0</v>
      </c>
      <c r="AC30" s="92"/>
      <c r="AD30" s="643"/>
      <c r="AE30" s="83"/>
      <c r="AF30" s="640"/>
      <c r="AG30" s="439">
        <v>29</v>
      </c>
      <c r="AH30" s="335"/>
    </row>
    <row r="31" spans="1:34" s="8" customFormat="1" x14ac:dyDescent="0.85">
      <c r="A31" s="565" t="s">
        <v>13</v>
      </c>
      <c r="B31" s="283" t="s">
        <v>161</v>
      </c>
      <c r="C31" s="134" t="s">
        <v>160</v>
      </c>
      <c r="D31" s="139"/>
      <c r="E31" s="43"/>
      <c r="F31" s="35"/>
      <c r="G31" s="35"/>
      <c r="H31" s="35"/>
      <c r="I31" s="35"/>
      <c r="J31" s="35"/>
      <c r="K31" s="35"/>
      <c r="L31" s="35"/>
      <c r="M31" s="35"/>
      <c r="N31" s="35"/>
      <c r="O31" s="35"/>
      <c r="P31" s="35"/>
      <c r="Q31" s="35"/>
      <c r="R31" s="35"/>
      <c r="S31" s="35"/>
      <c r="T31" s="35"/>
      <c r="U31" s="35"/>
      <c r="V31" s="35"/>
      <c r="W31" s="35"/>
      <c r="X31" s="35"/>
      <c r="Y31" s="35"/>
      <c r="Z31" s="35"/>
      <c r="AA31" s="35"/>
      <c r="AB31" s="36">
        <f t="shared" si="6"/>
        <v>0</v>
      </c>
      <c r="AC31" s="645" t="str">
        <f>CONCATENATE(IF(D32&gt;D31," * Positive F01-11 for Age "&amp;D20&amp;" "&amp;D21&amp;" is more than Tested  F01-10"&amp;CHAR(10),""),IF(E32&gt;E31," * Positive F01-11 for Age "&amp;D20&amp;" "&amp;E21&amp;" is more than Tested  F01-10"&amp;CHAR(10),""),IF(F32&gt;F31," * Positive F01-11 for Age "&amp;F20&amp;" "&amp;F21&amp;" is more than Tested  F01-10"&amp;CHAR(10),""),IF(G32&gt;G31," * Positive F01-11 for Age "&amp;F20&amp;" "&amp;G21&amp;" is more than Tested  F01-10"&amp;CHAR(10),""),IF(H32&gt;H31," * Positive F01-11 for Age "&amp;H20&amp;" "&amp;H21&amp;" is more than Tested  F01-10"&amp;CHAR(10),""),IF(I32&gt;I31," * Positive F01-11 for Age "&amp;H20&amp;" "&amp;I21&amp;" is more than Tested  F01-10"&amp;CHAR(10),""),IF(J32&gt;J31," * Positive F01-11 for Age "&amp;J20&amp;" "&amp;J21&amp;" is more than Tested  F01-10"&amp;CHAR(10),""),IF(K32&gt;K31," * Positive F01-11 for Age "&amp;J20&amp;" "&amp;K21&amp;" is more than Tested  F01-10"&amp;CHAR(10),""),IF(L32&gt;L31," * Positive F01-11 for Age "&amp;L20&amp;" "&amp;L21&amp;" is more than Tested  F01-10"&amp;CHAR(10),""),IF(M32&gt;M31," * Positive F01-11 for Age "&amp;L20&amp;" "&amp;M21&amp;" is more than Tested  F01-10"&amp;CHAR(10),""),IF(N32&gt;N31," * Positive F01-11 for Age "&amp;N20&amp;" "&amp;N21&amp;" is more than Tested  F01-10"&amp;CHAR(10),""),IF(O32&gt;O31," * Positive F01-11 for Age "&amp;N20&amp;" "&amp;O21&amp;" is more than Tested  F01-10"&amp;CHAR(10),""),IF(P32&gt;P31," * Positive F01-11 for Age "&amp;P20&amp;" "&amp;P21&amp;" is more than Tested  F01-10"&amp;CHAR(10),""),IF(Q32&gt;Q31," * Positive F01-11 for Age "&amp;P20&amp;" "&amp;Q21&amp;" is more than Tested  F01-10"&amp;CHAR(10),""),IF(R32&gt;R31," * Positive F01-11 for Age "&amp;R20&amp;" "&amp;R21&amp;" is more than Tested  F01-10"&amp;CHAR(10),""),IF(S32&gt;S31," * Positive F01-11 for Age "&amp;R20&amp;" "&amp;S21&amp;" is more than Tested  F01-10"&amp;CHAR(10),""),IF(T32&gt;T31," * Positive F01-11 for Age "&amp;T20&amp;" "&amp;T21&amp;" is more than Tested  F01-10"&amp;CHAR(10),""),IF(U32&gt;U31," * Positive F01-11 for Age "&amp;T20&amp;" "&amp;U21&amp;" is more than Tested  F01-10"&amp;CHAR(10),""),IF(V32&gt;V31," * Positive F01-11 for Age "&amp;V20&amp;" "&amp;V21&amp;" is more than Tested  F01-10"&amp;CHAR(10),""),IF(W32&gt;W31," * Positive F01-11 for Age "&amp;V20&amp;" "&amp;W21&amp;" is more than Tested  F01-10"&amp;CHAR(10),""),IF(X32&gt;X31," * Positive F01-11 for Age "&amp;X20&amp;" "&amp;X21&amp;" is more than Tested  F01-10"&amp;CHAR(10),""),IF(Y32&gt;Y31," * Positive F01-11 for Age "&amp;X20&amp;" "&amp;Y21&amp;" is more than Tested  F01-10"&amp;CHAR(10),""),IF(Z32&gt;Z31," * Positive F01-11 for Age "&amp;Z20&amp;" "&amp;Z21&amp;" is more than Tested  F01-10"&amp;CHAR(10),""),IF(AA32&gt;AA31," * Positive F01-11 for Age "&amp;Z20&amp;" "&amp;AA21&amp;" is more than Tested  F01-10"&amp;CHAR(10),""),IF(AB32&gt;AB31," * Total Positive F01-11 is more than Total Tested  F01-10"&amp;CHAR(10),""))</f>
        <v/>
      </c>
      <c r="AD31" s="643"/>
      <c r="AE31" s="83" t="str">
        <f>CONCATENATE(IF(AND(IFERROR((AB32*100)/AB31,0)&gt;10,AB32&gt;5)," * This facility has a high positivity rate for Index Testing. Kindly confirm if this is the true reflection"&amp;CHAR(10),""),"")</f>
        <v/>
      </c>
      <c r="AF31" s="640"/>
      <c r="AG31" s="439">
        <v>30</v>
      </c>
      <c r="AH31" s="335"/>
    </row>
    <row r="32" spans="1:34" s="8" customFormat="1" ht="32.15" thickBot="1" x14ac:dyDescent="0.9">
      <c r="A32" s="567"/>
      <c r="B32" s="284" t="s">
        <v>153</v>
      </c>
      <c r="C32" s="138" t="s">
        <v>162</v>
      </c>
      <c r="D32" s="140"/>
      <c r="E32" s="44"/>
      <c r="F32" s="205"/>
      <c r="G32" s="205"/>
      <c r="H32" s="205"/>
      <c r="I32" s="205"/>
      <c r="J32" s="205"/>
      <c r="K32" s="205"/>
      <c r="L32" s="205"/>
      <c r="M32" s="205"/>
      <c r="N32" s="205"/>
      <c r="O32" s="205"/>
      <c r="P32" s="205"/>
      <c r="Q32" s="205"/>
      <c r="R32" s="205"/>
      <c r="S32" s="205"/>
      <c r="T32" s="205"/>
      <c r="U32" s="205"/>
      <c r="V32" s="205"/>
      <c r="W32" s="205"/>
      <c r="X32" s="205"/>
      <c r="Y32" s="205"/>
      <c r="Z32" s="205"/>
      <c r="AA32" s="205"/>
      <c r="AB32" s="46">
        <f t="shared" si="6"/>
        <v>0</v>
      </c>
      <c r="AC32" s="645"/>
      <c r="AD32" s="643"/>
      <c r="AE32" s="83"/>
      <c r="AF32" s="640"/>
      <c r="AG32" s="439">
        <v>31</v>
      </c>
      <c r="AH32" s="335"/>
    </row>
    <row r="33" spans="1:34" s="8" customFormat="1" x14ac:dyDescent="0.85">
      <c r="A33" s="565" t="s">
        <v>14</v>
      </c>
      <c r="B33" s="283" t="s">
        <v>161</v>
      </c>
      <c r="C33" s="134" t="s">
        <v>163</v>
      </c>
      <c r="D33" s="141"/>
      <c r="E33" s="34"/>
      <c r="F33" s="35"/>
      <c r="G33" s="35"/>
      <c r="H33" s="35"/>
      <c r="I33" s="35"/>
      <c r="J33" s="35"/>
      <c r="K33" s="35"/>
      <c r="L33" s="35"/>
      <c r="M33" s="35"/>
      <c r="N33" s="35"/>
      <c r="O33" s="35"/>
      <c r="P33" s="35"/>
      <c r="Q33" s="35"/>
      <c r="R33" s="35"/>
      <c r="S33" s="35"/>
      <c r="T33" s="35"/>
      <c r="U33" s="35"/>
      <c r="V33" s="35"/>
      <c r="W33" s="35"/>
      <c r="X33" s="35"/>
      <c r="Y33" s="35"/>
      <c r="Z33" s="35"/>
      <c r="AA33" s="35"/>
      <c r="AB33" s="36">
        <f t="shared" si="6"/>
        <v>0</v>
      </c>
      <c r="AC33" s="645" t="str">
        <f>CONCATENATE(IF(D34&gt;D33," * Positive F01-13 for Age "&amp;D20&amp;" "&amp;D21&amp;" is more than Tested F01-12"&amp;CHAR(10),""),IF(E34&gt;E33," * Positive F01-13 for Age "&amp;D20&amp;" "&amp;E21&amp;" is more than Tested F01-12"&amp;CHAR(10),""),IF(F34&gt;F33," * Positive F01-13 for Age "&amp;F20&amp;" "&amp;F21&amp;" is more than Tested F01-12"&amp;CHAR(10),""),IF(G34&gt;G33," * Positive F01-13 for Age "&amp;F20&amp;" "&amp;G21&amp;" is more than Tested F01-12"&amp;CHAR(10),""),IF(H34&gt;H33," * Positive F01-13 for Age "&amp;H20&amp;" "&amp;H21&amp;" is more than Tested F01-12"&amp;CHAR(10),""),IF(I34&gt;I33," * Positive F01-13 for Age "&amp;H20&amp;" "&amp;I21&amp;" is more than Tested F01-12"&amp;CHAR(10),""),IF(J34&gt;J33," * Positive F01-13 for Age "&amp;J20&amp;" "&amp;J21&amp;" is more than Tested F01-12"&amp;CHAR(10),""),IF(K34&gt;K33," * Positive F01-13 for Age "&amp;J20&amp;" "&amp;K21&amp;" is more than Tested F01-12"&amp;CHAR(10),""),IF(L34&gt;L33," * Positive F01-13 for Age "&amp;L20&amp;" "&amp;L21&amp;" is more than Tested F01-12"&amp;CHAR(10),""),IF(M34&gt;M33," * Positive F01-13 for Age "&amp;L20&amp;" "&amp;M21&amp;" is more than Tested F01-12"&amp;CHAR(10),""),IF(N34&gt;N33," * Positive F01-13 for Age "&amp;N20&amp;" "&amp;N21&amp;" is more than Tested F01-12"&amp;CHAR(10),""),IF(O34&gt;O33," * Positive F01-13 for Age "&amp;N20&amp;" "&amp;O21&amp;" is more than Tested F01-12"&amp;CHAR(10),""),IF(P34&gt;P33," * Positive F01-13 for Age "&amp;P20&amp;" "&amp;P21&amp;" is more than Tested F01-12"&amp;CHAR(10),""),IF(Q34&gt;Q33," * Positive F01-13 for Age "&amp;P20&amp;" "&amp;Q21&amp;" is more than Tested F01-12"&amp;CHAR(10),""),IF(R34&gt;R33," * Positive F01-13 for Age "&amp;R20&amp;" "&amp;R21&amp;" is more than Tested F01-12"&amp;CHAR(10),""),IF(S34&gt;S33," * Positive F01-13 for Age "&amp;R20&amp;" "&amp;S21&amp;" is more than Tested F01-12"&amp;CHAR(10),""),IF(T34&gt;T33," * Positive F01-13 for Age "&amp;T20&amp;" "&amp;T21&amp;" is more than Tested F01-12"&amp;CHAR(10),""),IF(U34&gt;U33," * Positive F01-13 for Age "&amp;T20&amp;" "&amp;U21&amp;" is more than Tested F01-12"&amp;CHAR(10),""),IF(V34&gt;V33," * Positive F01-13 for Age "&amp;V20&amp;" "&amp;V21&amp;" is more than Tested F01-12"&amp;CHAR(10),""),IF(W34&gt;W33," * Positive F01-13 for Age "&amp;V20&amp;" "&amp;W21&amp;" is more than Tested F01-12"&amp;CHAR(10),""),IF(X34&gt;X33," * Positive F01-13 for Age "&amp;X20&amp;" "&amp;X21&amp;" is more than Tested F01-12"&amp;CHAR(10),""),IF(Y34&gt;Y33," * Positive F01-13 for Age "&amp;X20&amp;" "&amp;Y21&amp;" is more than Tested F01-12"&amp;CHAR(10),""),IF(Z34&gt;Z33," * Positive F01-13 for Age "&amp;Z20&amp;" "&amp;Z21&amp;" is more than Tested F01-12"&amp;CHAR(10),""),IF(AA34&gt;AA33," * Positive F01-13 for Age "&amp;Z20&amp;" "&amp;AA21&amp;" is more than Tested F01-12"&amp;CHAR(10),""))</f>
        <v/>
      </c>
      <c r="AD33" s="643"/>
      <c r="AE33" s="83" t="str">
        <f>CONCATENATE(IF(AND(IFERROR((AB34*100)/AB33,0)&gt;10,AB34&gt;5)," * This facility has a high positivity rate for Index Testing. Kindly confirm if this is the true reflection"&amp;CHAR(10),""),"")</f>
        <v/>
      </c>
      <c r="AF33" s="640"/>
      <c r="AG33" s="439">
        <v>32</v>
      </c>
      <c r="AH33" s="335"/>
    </row>
    <row r="34" spans="1:34" s="8" customFormat="1" ht="32.15" thickBot="1" x14ac:dyDescent="0.9">
      <c r="A34" s="567"/>
      <c r="B34" s="284" t="s">
        <v>153</v>
      </c>
      <c r="C34" s="138" t="s">
        <v>164</v>
      </c>
      <c r="D34" s="142"/>
      <c r="E34" s="47"/>
      <c r="F34" s="205"/>
      <c r="G34" s="205"/>
      <c r="H34" s="205"/>
      <c r="I34" s="205"/>
      <c r="J34" s="205"/>
      <c r="K34" s="205"/>
      <c r="L34" s="205"/>
      <c r="M34" s="205"/>
      <c r="N34" s="205"/>
      <c r="O34" s="205"/>
      <c r="P34" s="205"/>
      <c r="Q34" s="205"/>
      <c r="R34" s="205"/>
      <c r="S34" s="205"/>
      <c r="T34" s="205"/>
      <c r="U34" s="205"/>
      <c r="V34" s="205"/>
      <c r="W34" s="205"/>
      <c r="X34" s="205"/>
      <c r="Y34" s="205"/>
      <c r="Z34" s="205"/>
      <c r="AA34" s="205"/>
      <c r="AB34" s="46">
        <f t="shared" si="6"/>
        <v>0</v>
      </c>
      <c r="AC34" s="645"/>
      <c r="AD34" s="643"/>
      <c r="AE34" s="83" t="str">
        <f>CONCATENATE(IF(D33&gt;0," * F01-12 for Age "&amp;D20&amp;" "&amp;D21&amp;" has a value greater than 0"&amp;CHAR(10),""),IF(E33&gt;0," * F01-12 for Age "&amp;D20&amp;" "&amp;E21&amp;" has a value greater than 0"&amp;CHAR(10),""),IF(D34&gt;0," * F01-13 for Age "&amp;D20&amp;" "&amp;D21&amp;" has a value greater than 0"&amp;CHAR(10),""),IF(E34&gt;0," * F01-13 for Age "&amp;D20&amp;" "&amp;E21&amp;" has a value greater than 0"&amp;CHAR(10),""),IF(D35&gt;0," * F01-14 for Age "&amp;D20&amp;" "&amp;D21&amp;" has a value greater than 0"&amp;CHAR(10),""),IF(E35&gt;0," * F01-14 for Age "&amp;D20&amp;" "&amp;E21&amp;" has a value greater than 0"&amp;CHAR(10),""),IF(D36&gt;0," * F01-15 for Age "&amp;D20&amp;" "&amp;D21&amp;" has a value greater than 0"&amp;CHAR(10),""),IF(E36&gt;0," * F01-15 for Age "&amp;D20&amp;" "&amp;E21&amp;" has a value greater than 0"&amp;CHAR(10),""),IF(D41&gt;0," * F01-20 for Age "&amp;D20&amp;" "&amp;D21&amp;" has a value greater than 0"&amp;CHAR(10),""),IF(E41&gt;0," * F01-20 for Age "&amp;D20&amp;" "&amp;E21&amp;" has a value greater than 0"&amp;CHAR(10),""),IF(D42&gt;0," * F01-21 for Age "&amp;D20&amp;" "&amp;D21&amp;" has a value greater than 0"&amp;CHAR(10),""),IF(E42&gt;0," * F01-21 for Age "&amp;D20&amp;" "&amp;E21&amp;" has a value greater than 0"&amp;CHAR(10),""),IF(D43&gt;0," * F01-22 for Age "&amp;D20&amp;" "&amp;D21&amp;" has a value greater than 0"&amp;CHAR(10),""),IF(E43&gt;0," * F01-22 for Age "&amp;D20&amp;" "&amp;E21&amp;" has a value greater than 0"&amp;CHAR(10),""),IF(D44&gt;0," * F01-23 for Age "&amp;D20&amp;" "&amp;D21&amp;" has a value greater than 0"&amp;CHAR(10),""),IF(E44&gt;0," * F01-23 for Age "&amp;D20&amp;" "&amp;E21&amp;" has a value greater than 0"&amp;CHAR(10),""),"")</f>
        <v/>
      </c>
      <c r="AF34" s="640"/>
      <c r="AG34" s="439">
        <v>33</v>
      </c>
      <c r="AH34" s="335"/>
    </row>
    <row r="35" spans="1:34" x14ac:dyDescent="0.85">
      <c r="A35" s="565" t="s">
        <v>15</v>
      </c>
      <c r="B35" s="283" t="s">
        <v>161</v>
      </c>
      <c r="C35" s="134" t="s">
        <v>165</v>
      </c>
      <c r="D35" s="141"/>
      <c r="E35" s="34"/>
      <c r="F35" s="35"/>
      <c r="G35" s="35"/>
      <c r="H35" s="34"/>
      <c r="I35" s="34"/>
      <c r="J35" s="34"/>
      <c r="K35" s="34"/>
      <c r="L35" s="34"/>
      <c r="M35" s="34"/>
      <c r="N35" s="34"/>
      <c r="O35" s="34"/>
      <c r="P35" s="34"/>
      <c r="Q35" s="34"/>
      <c r="R35" s="34"/>
      <c r="S35" s="34"/>
      <c r="T35" s="34"/>
      <c r="U35" s="34"/>
      <c r="V35" s="34"/>
      <c r="W35" s="34"/>
      <c r="X35" s="34"/>
      <c r="Y35" s="34"/>
      <c r="Z35" s="34"/>
      <c r="AA35" s="34"/>
      <c r="AB35" s="36">
        <f t="shared" si="6"/>
        <v>0</v>
      </c>
      <c r="AC35" s="645" t="str">
        <f>CONCATENATE(IF(D36&gt;D35," * Positive F01-15 for Age "&amp;D20&amp;" "&amp;D21&amp;" is more than Tested F01-14"&amp;CHAR(10),""),IF(E36&gt;E35," * Positive F01-15 for Age "&amp;D20&amp;" "&amp;E21&amp;" is more than Tested F01-14"&amp;CHAR(10),""),IF(F36&gt;F35," * Positive F01-15 for Age "&amp;F20&amp;" "&amp;F21&amp;" is more than Tested F01-14"&amp;CHAR(10),""),IF(G36&gt;G35," * Positive F01-15 for Age "&amp;F20&amp;" "&amp;G21&amp;" is more than Tested F01-14"&amp;CHAR(10),""),IF(H36&gt;H35," * Positive F01-15 for Age "&amp;H20&amp;" "&amp;H21&amp;" is more than Tested F01-14"&amp;CHAR(10),""),IF(I36&gt;I35," * Positive F01-15 for Age "&amp;H20&amp;" "&amp;I21&amp;" is more than Tested F01-14"&amp;CHAR(10),""),IF(J36&gt;J35," * Positive F01-15 for Age "&amp;J20&amp;" "&amp;J21&amp;" is more than Tested F01-14"&amp;CHAR(10),""),IF(K36&gt;K35," * Positive F01-15 for Age "&amp;J20&amp;" "&amp;K21&amp;" is more than Tested F01-14"&amp;CHAR(10),""),IF(L36&gt;L35," * Positive F01-15 for Age "&amp;L20&amp;" "&amp;L21&amp;" is more than Tested F01-14"&amp;CHAR(10),""),IF(M36&gt;M35," * Positive F01-15 for Age "&amp;L20&amp;" "&amp;M21&amp;" is more than Tested F01-14"&amp;CHAR(10),""),IF(N36&gt;N35," * Positive F01-15 for Age "&amp;N20&amp;" "&amp;N21&amp;" is more than Tested F01-14"&amp;CHAR(10),""),IF(O36&gt;O35," * Positive F01-15 for Age "&amp;N20&amp;" "&amp;O21&amp;" is more than Tested F01-14"&amp;CHAR(10),""),IF(P36&gt;P35," * Positive F01-15 for Age "&amp;P20&amp;" "&amp;P21&amp;" is more than Tested F01-14"&amp;CHAR(10),""),IF(Q36&gt;Q35," * Positive F01-15 for Age "&amp;P20&amp;" "&amp;Q21&amp;" is more than Tested F01-14"&amp;CHAR(10),""),IF(R36&gt;R35," * Positive F01-15 for Age "&amp;R20&amp;" "&amp;R21&amp;" is more than Tested F01-14"&amp;CHAR(10),""),IF(S36&gt;S35," * Positive F01-15 for Age "&amp;R20&amp;" "&amp;S21&amp;" is more than Tested F01-14"&amp;CHAR(10),""),IF(T36&gt;T35," * Positive F01-15 for Age "&amp;T20&amp;" "&amp;T21&amp;" is more than Tested F01-14"&amp;CHAR(10),""),IF(U36&gt;U35," * Positive F01-15 for Age "&amp;T20&amp;" "&amp;U21&amp;" is more than Tested F01-14"&amp;CHAR(10),""),IF(V36&gt;V35," * Positive F01-15 for Age "&amp;V20&amp;" "&amp;V21&amp;" is more than Tested F01-14"&amp;CHAR(10),""),IF(W36&gt;W35," * Positive F01-15 for Age "&amp;V20&amp;" "&amp;W21&amp;" is more than Tested F01-14"&amp;CHAR(10),""),IF(X36&gt;X35," * Positive F01-15 for Age "&amp;X20&amp;" "&amp;X21&amp;" is more than Tested F01-14"&amp;CHAR(10),""),IF(Y36&gt;Y35," * Positive F01-15 for Age "&amp;X20&amp;" "&amp;Y21&amp;" is more than Tested F01-14"&amp;CHAR(10),""),IF(Z36&gt;Z35," * Positive F01-15 for Age "&amp;Z20&amp;" "&amp;Z21&amp;" is more than Tested F01-14"&amp;CHAR(10),""),IF(AA36&gt;AA35," * Positive F01-15 for Age "&amp;Z20&amp;" "&amp;AA21&amp;" is more than Tested F01-14"&amp;CHAR(10),""))</f>
        <v/>
      </c>
      <c r="AD35" s="643"/>
      <c r="AE35" s="83" t="str">
        <f>CONCATENATE(IF(AND(IFERROR((AB36*100)/AB35,0)&gt;10,AB36&gt;5)," * This facility has a high positivity rate for Index Testing. Kindly confirm if this is the true reflection"&amp;CHAR(10),""),"")</f>
        <v/>
      </c>
      <c r="AF35" s="640"/>
      <c r="AG35" s="439">
        <v>34</v>
      </c>
    </row>
    <row r="36" spans="1:34" ht="32.15" thickBot="1" x14ac:dyDescent="0.9">
      <c r="A36" s="567"/>
      <c r="B36" s="284" t="s">
        <v>153</v>
      </c>
      <c r="C36" s="138" t="s">
        <v>166</v>
      </c>
      <c r="D36" s="142"/>
      <c r="E36" s="47"/>
      <c r="F36" s="205"/>
      <c r="G36" s="205"/>
      <c r="H36" s="38"/>
      <c r="I36" s="38"/>
      <c r="J36" s="38"/>
      <c r="K36" s="38"/>
      <c r="L36" s="38"/>
      <c r="M36" s="38"/>
      <c r="N36" s="38"/>
      <c r="O36" s="38"/>
      <c r="P36" s="38"/>
      <c r="Q36" s="38"/>
      <c r="R36" s="38"/>
      <c r="S36" s="38"/>
      <c r="T36" s="38"/>
      <c r="U36" s="38"/>
      <c r="V36" s="38"/>
      <c r="W36" s="38"/>
      <c r="X36" s="38"/>
      <c r="Y36" s="38"/>
      <c r="Z36" s="38"/>
      <c r="AA36" s="38"/>
      <c r="AB36" s="46">
        <f t="shared" si="6"/>
        <v>0</v>
      </c>
      <c r="AC36" s="645"/>
      <c r="AD36" s="643"/>
      <c r="AE36" s="83"/>
      <c r="AF36" s="640"/>
      <c r="AG36" s="439">
        <v>35</v>
      </c>
    </row>
    <row r="37" spans="1:34" x14ac:dyDescent="0.85">
      <c r="A37" s="565" t="s">
        <v>443</v>
      </c>
      <c r="B37" s="283" t="s">
        <v>161</v>
      </c>
      <c r="C37" s="134" t="s">
        <v>167</v>
      </c>
      <c r="D37" s="141"/>
      <c r="E37" s="34"/>
      <c r="F37" s="35"/>
      <c r="G37" s="35"/>
      <c r="H37" s="34"/>
      <c r="I37" s="34"/>
      <c r="J37" s="34"/>
      <c r="K37" s="34"/>
      <c r="L37" s="34"/>
      <c r="M37" s="34"/>
      <c r="N37" s="34"/>
      <c r="O37" s="34"/>
      <c r="P37" s="34"/>
      <c r="Q37" s="34"/>
      <c r="R37" s="34"/>
      <c r="S37" s="34"/>
      <c r="T37" s="34"/>
      <c r="U37" s="34"/>
      <c r="V37" s="34"/>
      <c r="W37" s="34"/>
      <c r="X37" s="34"/>
      <c r="Y37" s="34"/>
      <c r="Z37" s="34"/>
      <c r="AA37" s="34"/>
      <c r="AB37" s="36">
        <f t="shared" si="6"/>
        <v>0</v>
      </c>
      <c r="AC37" s="645" t="str">
        <f>CONCATENATE(IF(D38&gt;D37," * Positive F01-17 for Age "&amp;D20&amp;" "&amp;D21&amp;" is more than Tested F01-16"&amp;CHAR(10),""),IF(E38&gt;E37," * Positive F01-17 for Age "&amp;D20&amp;" "&amp;E21&amp;" is more than Tested F01-16"&amp;CHAR(10),""),IF(F38&gt;F37," * Positive F01-17 for Age "&amp;F20&amp;" "&amp;F21&amp;" is more than Tested F01-16"&amp;CHAR(10),""),IF(G38&gt;G37," * Positive F01-17 for Age "&amp;F20&amp;" "&amp;G21&amp;" is more than Tested F01-16"&amp;CHAR(10),""),IF(H38&gt;H37," * Positive F01-17 for Age "&amp;H20&amp;" "&amp;H21&amp;" is more than Tested F01-16"&amp;CHAR(10),""),IF(I38&gt;I37," * Positive F01-17 for Age "&amp;H20&amp;" "&amp;I21&amp;" is more than Tested F01-16"&amp;CHAR(10),""),IF(J38&gt;J37," * Positive F01-17 for Age "&amp;J20&amp;" "&amp;J21&amp;" is more than Tested F01-16"&amp;CHAR(10),""),IF(K38&gt;K37," * Positive F01-17 for Age "&amp;J20&amp;" "&amp;K21&amp;" is more than Tested F01-16"&amp;CHAR(10),""),IF(L38&gt;L37," * Positive F01-17 for Age "&amp;L20&amp;" "&amp;L21&amp;" is more than Tested F01-16"&amp;CHAR(10),""),IF(M38&gt;M37," * Positive F01-17 for Age "&amp;L20&amp;" "&amp;M21&amp;" is more than Tested F01-16"&amp;CHAR(10),""),IF(N38&gt;N37," * Positive F01-17 for Age "&amp;N20&amp;" "&amp;N21&amp;" is more than Tested F01-16"&amp;CHAR(10),""),IF(O38&gt;O37," * Positive F01-17 for Age "&amp;N20&amp;" "&amp;O21&amp;" is more than Tested F01-16"&amp;CHAR(10),""),IF(P38&gt;P37," * Positive F01-17 for Age "&amp;P20&amp;" "&amp;P21&amp;" is more than Tested F01-16"&amp;CHAR(10),""),IF(Q38&gt;Q37," * Positive F01-17 for Age "&amp;P20&amp;" "&amp;Q21&amp;" is more than Tested F01-16"&amp;CHAR(10),""),IF(R38&gt;R37," * Positive F01-17 for Age "&amp;R20&amp;" "&amp;R21&amp;" is more than Tested F01-16"&amp;CHAR(10),""),IF(S38&gt;S37," * Positive F01-17 for Age "&amp;R20&amp;" "&amp;S21&amp;" is more than Tested F01-16"&amp;CHAR(10),""),IF(T38&gt;T37," * Positive F01-17 for Age "&amp;T20&amp;" "&amp;T21&amp;" is more than Tested F01-16"&amp;CHAR(10),""),IF(U38&gt;U37," * Positive F01-17 for Age "&amp;T20&amp;" "&amp;U21&amp;" is more than Tested F01-16"&amp;CHAR(10),""),IF(V38&gt;V37," * Positive F01-17 for Age "&amp;V20&amp;" "&amp;V21&amp;" is more than Tested F01-16"&amp;CHAR(10),""),IF(W38&gt;W37," * Positive F01-17 for Age "&amp;V20&amp;" "&amp;W21&amp;" is more than Tested F01-16"&amp;CHAR(10),""),IF(X38&gt;X37," * Positive F01-17 for Age "&amp;X20&amp;" "&amp;X21&amp;" is more than Tested F01-16"&amp;CHAR(10),""),IF(Y38&gt;Y37," * Positive F01-17 for Age "&amp;X20&amp;" "&amp;Y21&amp;" is more than Tested F01-16"&amp;CHAR(10),""),IF(Z38&gt;Z37," * Positive F01-17 for Age "&amp;Z20&amp;" "&amp;Z21&amp;" is more than Tested F01-16"&amp;CHAR(10),""),IF(AA38&gt;AA37," * Positive F01-17 for Age "&amp;Z20&amp;" "&amp;AA21&amp;" is more than Tested F01-16"&amp;CHAR(10),""))</f>
        <v/>
      </c>
      <c r="AD37" s="643"/>
      <c r="AE37" s="83" t="str">
        <f>CONCATENATE(IF(AND(IFERROR((AB38*100)/AB37,0)&gt;10,AB38&gt;5)," * This facility has a high positivity rate for Index Testing. Kindly confirm if this is the true reflection"&amp;CHAR(10),""),"")</f>
        <v/>
      </c>
      <c r="AF37" s="640"/>
      <c r="AG37" s="439">
        <v>36</v>
      </c>
    </row>
    <row r="38" spans="1:34" ht="32.15" thickBot="1" x14ac:dyDescent="0.9">
      <c r="A38" s="567"/>
      <c r="B38" s="284" t="s">
        <v>153</v>
      </c>
      <c r="C38" s="138" t="s">
        <v>168</v>
      </c>
      <c r="D38" s="143"/>
      <c r="E38" s="38"/>
      <c r="F38" s="205"/>
      <c r="G38" s="205"/>
      <c r="H38" s="38"/>
      <c r="I38" s="38"/>
      <c r="J38" s="38"/>
      <c r="K38" s="38"/>
      <c r="L38" s="38"/>
      <c r="M38" s="38"/>
      <c r="N38" s="38"/>
      <c r="O38" s="38"/>
      <c r="P38" s="38"/>
      <c r="Q38" s="38"/>
      <c r="R38" s="38"/>
      <c r="S38" s="38"/>
      <c r="T38" s="38"/>
      <c r="U38" s="38"/>
      <c r="V38" s="38"/>
      <c r="W38" s="38"/>
      <c r="X38" s="38"/>
      <c r="Y38" s="38"/>
      <c r="Z38" s="38"/>
      <c r="AA38" s="38"/>
      <c r="AB38" s="46">
        <f t="shared" si="6"/>
        <v>0</v>
      </c>
      <c r="AC38" s="645"/>
      <c r="AD38" s="643"/>
      <c r="AE38" s="83"/>
      <c r="AF38" s="640"/>
      <c r="AG38" s="439">
        <v>37</v>
      </c>
    </row>
    <row r="39" spans="1:34" x14ac:dyDescent="0.85">
      <c r="A39" s="565" t="s">
        <v>16</v>
      </c>
      <c r="B39" s="283" t="s">
        <v>161</v>
      </c>
      <c r="C39" s="134" t="s">
        <v>169</v>
      </c>
      <c r="D39" s="139"/>
      <c r="E39" s="43"/>
      <c r="F39" s="35"/>
      <c r="G39" s="35"/>
      <c r="H39" s="35"/>
      <c r="I39" s="35"/>
      <c r="J39" s="35"/>
      <c r="K39" s="35"/>
      <c r="L39" s="35"/>
      <c r="M39" s="35"/>
      <c r="N39" s="35"/>
      <c r="O39" s="35"/>
      <c r="P39" s="35"/>
      <c r="Q39" s="35"/>
      <c r="R39" s="35"/>
      <c r="S39" s="35"/>
      <c r="T39" s="35"/>
      <c r="U39" s="35"/>
      <c r="V39" s="35"/>
      <c r="W39" s="35"/>
      <c r="X39" s="35"/>
      <c r="Y39" s="35"/>
      <c r="Z39" s="35"/>
      <c r="AA39" s="35"/>
      <c r="AB39" s="36">
        <f t="shared" si="6"/>
        <v>0</v>
      </c>
      <c r="AC39" s="645" t="str">
        <f>CONCATENATE(IF(D40&gt;D39," * Positive F01-19 for Age "&amp;D20&amp;" "&amp;D21&amp;" is more than Tested F01-18"&amp;CHAR(10),""),IF(E40&gt;E39," * Positive F01-19 for Age "&amp;D20&amp;" "&amp;E21&amp;" is more than Tested F01-18"&amp;CHAR(10),""),IF(F40&gt;F39," * Positive F01-19 for Age "&amp;F20&amp;" "&amp;F21&amp;" is more than Tested F01-18"&amp;CHAR(10),""),IF(G40&gt;G39," * Positive F01-19 for Age "&amp;F20&amp;" "&amp;G21&amp;" is more than Tested F01-18"&amp;CHAR(10),""),IF(H40&gt;H39," * Positive F01-19 for Age "&amp;H20&amp;" "&amp;H21&amp;" is more than Tested F01-18"&amp;CHAR(10),""),IF(I40&gt;I39," * Positive F01-19 for Age "&amp;H20&amp;" "&amp;I21&amp;" is more than Tested F01-18"&amp;CHAR(10),""),IF(J40&gt;J39," * Positive F01-19 for Age "&amp;J20&amp;" "&amp;J21&amp;" is more than Tested F01-18"&amp;CHAR(10),""),IF(K40&gt;K39," * Positive F01-19 for Age "&amp;J20&amp;" "&amp;K21&amp;" is more than Tested F01-18"&amp;CHAR(10),""),IF(L40&gt;L39," * Positive F01-19 for Age "&amp;L20&amp;" "&amp;L21&amp;" is more than Tested F01-18"&amp;CHAR(10),""),IF(M40&gt;M39," * Positive F01-19 for Age "&amp;L20&amp;" "&amp;M21&amp;" is more than Tested F01-18"&amp;CHAR(10),""),IF(N40&gt;N39," * Positive F01-19 for Age "&amp;N20&amp;" "&amp;N21&amp;" is more than Tested F01-18"&amp;CHAR(10),""),IF(O40&gt;O39," * Positive F01-19 for Age "&amp;N20&amp;" "&amp;O21&amp;" is more than Tested F01-18"&amp;CHAR(10),""),IF(P40&gt;P39," * Positive F01-19 for Age "&amp;P20&amp;" "&amp;P21&amp;" is more than Tested F01-18"&amp;CHAR(10),""),IF(Q40&gt;Q39," * Positive F01-19 for Age "&amp;P20&amp;" "&amp;Q21&amp;" is more than Tested F01-18"&amp;CHAR(10),""),IF(R40&gt;R39," * Positive F01-19 for Age "&amp;R20&amp;" "&amp;R21&amp;" is more than Tested F01-18"&amp;CHAR(10),""),IF(S40&gt;S39," * Positive F01-19 for Age "&amp;R20&amp;" "&amp;S21&amp;" is more than Tested F01-18"&amp;CHAR(10),""),IF(T40&gt;T39," * Positive F01-19 for Age "&amp;T20&amp;" "&amp;T21&amp;" is more than Tested F01-18"&amp;CHAR(10),""),IF(U40&gt;U39," * Positive F01-19 for Age "&amp;T20&amp;" "&amp;U21&amp;" is more than Tested F01-18"&amp;CHAR(10),""),IF(V40&gt;V39," * Positive F01-19 for Age "&amp;V20&amp;" "&amp;V21&amp;" is more than Tested F01-18"&amp;CHAR(10),""),IF(W40&gt;W39," * Positive F01-19 for Age "&amp;V20&amp;" "&amp;W21&amp;" is more than Tested F01-18"&amp;CHAR(10),""),IF(X40&gt;X39," * Positive F01-19 for Age "&amp;X20&amp;" "&amp;X21&amp;" is more than Tested F01-18"&amp;CHAR(10),""),IF(Y40&gt;Y39," * Positive F01-19 for Age "&amp;X20&amp;" "&amp;Y21&amp;" is more than Tested F01-18"&amp;CHAR(10),""),IF(Z40&gt;Z39," * Positive F01-19 for Age "&amp;Z20&amp;" "&amp;Z21&amp;" is more than Tested F01-18"&amp;CHAR(10),""),IF(AA40&gt;AA39," * Positive F01-19 for Age "&amp;Z20&amp;" "&amp;AA21&amp;" is more than Tested F01-18"&amp;CHAR(10),""))</f>
        <v/>
      </c>
      <c r="AD39" s="643"/>
      <c r="AE39" s="83" t="str">
        <f>CONCATENATE(IF(AND(IFERROR((AB40*100)/AB39,0)&gt;10,AB40&gt;5)," * This facility has a high positivity rate for Index Testing. Kindly confirm if this is the true reflection"&amp;CHAR(10),""),"")</f>
        <v/>
      </c>
      <c r="AF39" s="640"/>
      <c r="AG39" s="439">
        <v>38</v>
      </c>
    </row>
    <row r="40" spans="1:34" ht="32.15" thickBot="1" x14ac:dyDescent="0.9">
      <c r="A40" s="567"/>
      <c r="B40" s="284" t="s">
        <v>153</v>
      </c>
      <c r="C40" s="138" t="s">
        <v>170</v>
      </c>
      <c r="D40" s="133"/>
      <c r="E40" s="42"/>
      <c r="F40" s="205"/>
      <c r="G40" s="205"/>
      <c r="H40" s="205"/>
      <c r="I40" s="205"/>
      <c r="J40" s="205"/>
      <c r="K40" s="205"/>
      <c r="L40" s="205"/>
      <c r="M40" s="205"/>
      <c r="N40" s="205"/>
      <c r="O40" s="205"/>
      <c r="P40" s="205"/>
      <c r="Q40" s="205"/>
      <c r="R40" s="205"/>
      <c r="S40" s="205"/>
      <c r="T40" s="205"/>
      <c r="U40" s="205"/>
      <c r="V40" s="205"/>
      <c r="W40" s="205"/>
      <c r="X40" s="205"/>
      <c r="Y40" s="205"/>
      <c r="Z40" s="205"/>
      <c r="AA40" s="205"/>
      <c r="AB40" s="46">
        <f t="shared" si="6"/>
        <v>0</v>
      </c>
      <c r="AC40" s="645"/>
      <c r="AD40" s="643"/>
      <c r="AE40" s="83"/>
      <c r="AF40" s="640"/>
      <c r="AG40" s="439">
        <v>39</v>
      </c>
    </row>
    <row r="41" spans="1:34" x14ac:dyDescent="0.85">
      <c r="A41" s="565" t="s">
        <v>17</v>
      </c>
      <c r="B41" s="283" t="s">
        <v>161</v>
      </c>
      <c r="C41" s="134" t="s">
        <v>349</v>
      </c>
      <c r="D41" s="139"/>
      <c r="E41" s="43"/>
      <c r="F41" s="35"/>
      <c r="G41" s="35"/>
      <c r="H41" s="35"/>
      <c r="I41" s="35"/>
      <c r="J41" s="35"/>
      <c r="K41" s="35"/>
      <c r="L41" s="35"/>
      <c r="M41" s="35"/>
      <c r="N41" s="35"/>
      <c r="O41" s="35"/>
      <c r="P41" s="35"/>
      <c r="Q41" s="35"/>
      <c r="R41" s="35"/>
      <c r="S41" s="35"/>
      <c r="T41" s="35"/>
      <c r="U41" s="35"/>
      <c r="V41" s="35"/>
      <c r="W41" s="35"/>
      <c r="X41" s="35"/>
      <c r="Y41" s="35"/>
      <c r="Z41" s="35"/>
      <c r="AA41" s="35"/>
      <c r="AB41" s="36">
        <f t="shared" si="6"/>
        <v>0</v>
      </c>
      <c r="AC41" s="645" t="str">
        <f>CONCATENATE(IF(D42&gt;D41," * Positive F01-21 for Age "&amp;D20&amp;" "&amp;D21&amp;" is more than Tested F01-20"&amp;CHAR(10),""),IF(E42&gt;E41," * Positive F01-21 for Age "&amp;D20&amp;" "&amp;E21&amp;" is more than Tested F01-20"&amp;CHAR(10),""),IF(F42&gt;F41," * Positive F01-21 for Age "&amp;F20&amp;" "&amp;F21&amp;" is more than Tested F01-20"&amp;CHAR(10),""),IF(G42&gt;G41," * Positive F01-21 for Age "&amp;F20&amp;" "&amp;G21&amp;" is more than Tested F01-20"&amp;CHAR(10),""),IF(H42&gt;H41," * Positive F01-21 for Age "&amp;H20&amp;" "&amp;H21&amp;" is more than Tested F01-20"&amp;CHAR(10),""),IF(I42&gt;I41," * Positive F01-21 for Age "&amp;H20&amp;" "&amp;I21&amp;" is more than Tested F01-20"&amp;CHAR(10),""),IF(J42&gt;J41," * Positive F01-21 for Age "&amp;J20&amp;" "&amp;J21&amp;" is more than Tested F01-20"&amp;CHAR(10),""),IF(K42&gt;K41," * Positive F01-21 for Age "&amp;J20&amp;" "&amp;K21&amp;" is more than Tested F01-20"&amp;CHAR(10),""),IF(L42&gt;L41," * Positive F01-21 for Age "&amp;L20&amp;" "&amp;L21&amp;" is more than Tested F01-20"&amp;CHAR(10),""),IF(M42&gt;M41," * Positive F01-21 for Age "&amp;L20&amp;" "&amp;M21&amp;" is more than Tested F01-20"&amp;CHAR(10),""),IF(N42&gt;N41," * Positive F01-21 for Age "&amp;N20&amp;" "&amp;N21&amp;" is more than Tested F01-20"&amp;CHAR(10),""),IF(O42&gt;O41," * Positive F01-21 for Age "&amp;N20&amp;" "&amp;O21&amp;" is more than Tested F01-20"&amp;CHAR(10),""),IF(P42&gt;P41," * Positive F01-21 for Age "&amp;P20&amp;" "&amp;P21&amp;" is more than Tested F01-20"&amp;CHAR(10),""),IF(Q42&gt;Q41," * Positive F01-21 for Age "&amp;P20&amp;" "&amp;Q21&amp;" is more than Tested F01-20"&amp;CHAR(10),""),IF(R42&gt;R41," * Positive F01-21 for Age "&amp;R20&amp;" "&amp;R21&amp;" is more than Tested F01-20"&amp;CHAR(10),""),IF(S42&gt;S41," * Positive F01-21 for Age "&amp;R20&amp;" "&amp;S21&amp;" is more than Tested F01-20"&amp;CHAR(10),""),IF(T42&gt;T41," * Positive F01-21 for Age "&amp;T20&amp;" "&amp;T21&amp;" is more than Tested F01-20"&amp;CHAR(10),""),IF(U42&gt;U41," * Positive F01-21 for Age "&amp;T20&amp;" "&amp;U21&amp;" is more than Tested F01-20"&amp;CHAR(10),""),IF(V42&gt;V41," * Positive F01-21 for Age "&amp;V20&amp;" "&amp;V21&amp;" is more than Tested F01-20"&amp;CHAR(10),""),IF(W42&gt;W41," * Positive F01-21 for Age "&amp;V20&amp;" "&amp;W21&amp;" is more than Tested F01-20"&amp;CHAR(10),""),IF(X42&gt;X41," * Positive F01-21 for Age "&amp;X20&amp;" "&amp;X21&amp;" is more than Tested F01-20"&amp;CHAR(10),""),IF(Y42&gt;Y41," * Positive F01-21 for Age "&amp;X20&amp;" "&amp;Y21&amp;" is more than Tested F01-20"&amp;CHAR(10),""),IF(Z42&gt;Z41," * Positive F01-21 for Age "&amp;Z20&amp;" "&amp;Z21&amp;" is more than Tested F01-20"&amp;CHAR(10),""),IF(AA42&gt;AA41," * Positive F01-21 for Age "&amp;Z20&amp;" "&amp;AA21&amp;" is more than Tested F01-20"&amp;CHAR(10),""))</f>
        <v/>
      </c>
      <c r="AD41" s="643"/>
      <c r="AE41" s="83" t="str">
        <f>CONCATENATE(IF(AND(IFERROR((AB42*100)/AB41,0)&gt;10,AB42&gt;5)," * This facility has a high positivity rate for Index Testing. Kindly confirm if this is the true reflection"&amp;CHAR(10),""),"")</f>
        <v/>
      </c>
      <c r="AF41" s="640"/>
      <c r="AG41" s="439">
        <v>40</v>
      </c>
    </row>
    <row r="42" spans="1:34" ht="32.15" thickBot="1" x14ac:dyDescent="0.9">
      <c r="A42" s="567"/>
      <c r="B42" s="284" t="s">
        <v>153</v>
      </c>
      <c r="C42" s="138" t="s">
        <v>171</v>
      </c>
      <c r="D42" s="133"/>
      <c r="E42" s="42"/>
      <c r="F42" s="205"/>
      <c r="G42" s="205"/>
      <c r="H42" s="205"/>
      <c r="I42" s="205"/>
      <c r="J42" s="205"/>
      <c r="K42" s="205"/>
      <c r="L42" s="205"/>
      <c r="M42" s="205"/>
      <c r="N42" s="205"/>
      <c r="O42" s="205"/>
      <c r="P42" s="205"/>
      <c r="Q42" s="205"/>
      <c r="R42" s="205"/>
      <c r="S42" s="205"/>
      <c r="T42" s="205"/>
      <c r="U42" s="205"/>
      <c r="V42" s="205"/>
      <c r="W42" s="205"/>
      <c r="X42" s="205"/>
      <c r="Y42" s="205"/>
      <c r="Z42" s="205"/>
      <c r="AA42" s="205"/>
      <c r="AB42" s="46">
        <f t="shared" si="6"/>
        <v>0</v>
      </c>
      <c r="AC42" s="645"/>
      <c r="AD42" s="643"/>
      <c r="AE42" s="83"/>
      <c r="AF42" s="640"/>
      <c r="AG42" s="439">
        <v>41</v>
      </c>
    </row>
    <row r="43" spans="1:34" x14ac:dyDescent="0.85">
      <c r="A43" s="565" t="s">
        <v>22</v>
      </c>
      <c r="B43" s="283" t="s">
        <v>161</v>
      </c>
      <c r="C43" s="134" t="s">
        <v>172</v>
      </c>
      <c r="D43" s="141"/>
      <c r="E43" s="34"/>
      <c r="F43" s="35"/>
      <c r="G43" s="35"/>
      <c r="H43" s="35"/>
      <c r="I43" s="35"/>
      <c r="J43" s="35"/>
      <c r="K43" s="35"/>
      <c r="L43" s="35"/>
      <c r="M43" s="35"/>
      <c r="N43" s="35"/>
      <c r="O43" s="35"/>
      <c r="P43" s="35"/>
      <c r="Q43" s="35"/>
      <c r="R43" s="35"/>
      <c r="S43" s="35"/>
      <c r="T43" s="35"/>
      <c r="U43" s="35"/>
      <c r="V43" s="35"/>
      <c r="W43" s="35"/>
      <c r="X43" s="35"/>
      <c r="Y43" s="35"/>
      <c r="Z43" s="35"/>
      <c r="AA43" s="35"/>
      <c r="AB43" s="36">
        <f t="shared" si="6"/>
        <v>0</v>
      </c>
      <c r="AC43" s="645" t="str">
        <f>CONCATENATE(IF(D44&gt;D43," * Positive F01-23 for Age "&amp;D20&amp;" "&amp;D21&amp;" is more than Tested F01-22"&amp;CHAR(10),""),IF(E44&gt;E43," * Positive F01-23 for Age "&amp;D20&amp;" "&amp;E21&amp;" is more than Tested F01-22"&amp;CHAR(10),""),IF(F44&gt;F43," * Positive F01-23 for Age "&amp;F20&amp;" "&amp;F21&amp;" is more than Tested F01-22"&amp;CHAR(10),""),IF(G44&gt;G43," * Positive F01-23 for Age "&amp;F20&amp;" "&amp;G21&amp;" is more than Tested F01-22"&amp;CHAR(10),""),IF(H44&gt;H43," * Positive F01-23 for Age "&amp;H20&amp;" "&amp;H21&amp;" is more than Tested F01-22"&amp;CHAR(10),""),IF(I44&gt;I43," * Positive F01-23 for Age "&amp;H20&amp;" "&amp;I21&amp;" is more than Tested F01-22"&amp;CHAR(10),""),IF(J44&gt;J43," * Positive F01-23 for Age "&amp;J20&amp;" "&amp;J21&amp;" is more than Tested F01-22"&amp;CHAR(10),""),IF(K44&gt;K43," * Positive F01-23 for Age "&amp;J20&amp;" "&amp;K21&amp;" is more than Tested F01-22"&amp;CHAR(10),""),IF(L44&gt;L43," * Positive F01-23 for Age "&amp;L20&amp;" "&amp;L21&amp;" is more than Tested F01-22"&amp;CHAR(10),""),IF(M44&gt;M43," * Positive F01-23 for Age "&amp;L20&amp;" "&amp;M21&amp;" is more than Tested F01-22"&amp;CHAR(10),""),IF(N44&gt;N43," * Positive F01-23 for Age "&amp;N20&amp;" "&amp;N21&amp;" is more than Tested F01-22"&amp;CHAR(10),""),IF(O44&gt;O43," * Positive F01-23 for Age "&amp;N20&amp;" "&amp;O21&amp;" is more than Tested F01-22"&amp;CHAR(10),""),IF(P44&gt;P43," * Positive F01-23 for Age "&amp;P20&amp;" "&amp;P21&amp;" is more than Tested F01-22"&amp;CHAR(10),""),IF(Q44&gt;Q43," * Positive F01-23 for Age "&amp;P20&amp;" "&amp;Q21&amp;" is more than Tested F01-22"&amp;CHAR(10),""),IF(R44&gt;R43," * Positive F01-23 for Age "&amp;R20&amp;" "&amp;R21&amp;" is more than Tested F01-22"&amp;CHAR(10),""),IF(S44&gt;S43," * Positive F01-23 for Age "&amp;R20&amp;" "&amp;S21&amp;" is more than Tested F01-22"&amp;CHAR(10),""),IF(T44&gt;T43," * Positive F01-23 for Age "&amp;T20&amp;" "&amp;T21&amp;" is more than Tested F01-22"&amp;CHAR(10),""),IF(U44&gt;U43," * Positive F01-23 for Age "&amp;T20&amp;" "&amp;U21&amp;" is more than Tested F01-22"&amp;CHAR(10),""),IF(V44&gt;V43," * Positive F01-23 for Age "&amp;V20&amp;" "&amp;V21&amp;" is more than Tested F01-22"&amp;CHAR(10),""),IF(W44&gt;W43," * Positive F01-23 for Age "&amp;V20&amp;" "&amp;W21&amp;" is more than Tested F01-22"&amp;CHAR(10),""),IF(X44&gt;X43," * Positive F01-23 for Age "&amp;X20&amp;" "&amp;X21&amp;" is more than Tested F01-22"&amp;CHAR(10),""),IF(Y44&gt;Y43," * Positive F01-23 for Age "&amp;X20&amp;" "&amp;Y21&amp;" is more than Tested F01-22"&amp;CHAR(10),""),IF(Z44&gt;Z43," * Positive F01-23 for Age "&amp;Z20&amp;" "&amp;Z21&amp;" is more than Tested F01-22"&amp;CHAR(10),""),IF(AA44&gt;AA43," * Positive F01-23 for Age "&amp;Z20&amp;" "&amp;AA21&amp;" is more than Tested F01-22"&amp;CHAR(10),""))</f>
        <v/>
      </c>
      <c r="AD43" s="643"/>
      <c r="AE43" s="83" t="str">
        <f>CONCATENATE(IF(AND(IFERROR((AB44*100)/AB43,0)&gt;10,AB44&gt;5)," * This facility has a high positivity rate for Index Testing. Kindly confirm if this is the true reflection"&amp;CHAR(10),""),"")</f>
        <v/>
      </c>
      <c r="AF43" s="640"/>
      <c r="AG43" s="439">
        <v>42</v>
      </c>
    </row>
    <row r="44" spans="1:34" ht="32.15" thickBot="1" x14ac:dyDescent="0.9">
      <c r="A44" s="567"/>
      <c r="B44" s="284" t="s">
        <v>153</v>
      </c>
      <c r="C44" s="138" t="s">
        <v>173</v>
      </c>
      <c r="D44" s="143"/>
      <c r="E44" s="38"/>
      <c r="F44" s="205"/>
      <c r="G44" s="205"/>
      <c r="H44" s="205"/>
      <c r="I44" s="205"/>
      <c r="J44" s="205"/>
      <c r="K44" s="205"/>
      <c r="L44" s="205"/>
      <c r="M44" s="205"/>
      <c r="N44" s="205"/>
      <c r="O44" s="205"/>
      <c r="P44" s="205"/>
      <c r="Q44" s="205"/>
      <c r="R44" s="205"/>
      <c r="S44" s="205"/>
      <c r="T44" s="205"/>
      <c r="U44" s="205"/>
      <c r="V44" s="205"/>
      <c r="W44" s="205"/>
      <c r="X44" s="205"/>
      <c r="Y44" s="205"/>
      <c r="Z44" s="205"/>
      <c r="AA44" s="205"/>
      <c r="AB44" s="46">
        <f t="shared" si="6"/>
        <v>0</v>
      </c>
      <c r="AC44" s="645"/>
      <c r="AD44" s="643"/>
      <c r="AE44" s="83"/>
      <c r="AF44" s="640"/>
      <c r="AG44" s="439">
        <v>43</v>
      </c>
    </row>
    <row r="45" spans="1:34" x14ac:dyDescent="0.85">
      <c r="A45" s="565" t="s">
        <v>18</v>
      </c>
      <c r="B45" s="283" t="s">
        <v>161</v>
      </c>
      <c r="C45" s="134" t="s">
        <v>174</v>
      </c>
      <c r="D45" s="139"/>
      <c r="E45" s="43"/>
      <c r="F45" s="34"/>
      <c r="G45" s="34"/>
      <c r="H45" s="34"/>
      <c r="I45" s="34"/>
      <c r="J45" s="34"/>
      <c r="K45" s="34"/>
      <c r="L45" s="35"/>
      <c r="M45" s="35"/>
      <c r="N45" s="35"/>
      <c r="O45" s="35"/>
      <c r="P45" s="35"/>
      <c r="Q45" s="35"/>
      <c r="R45" s="35"/>
      <c r="S45" s="35"/>
      <c r="T45" s="35"/>
      <c r="U45" s="35"/>
      <c r="V45" s="35"/>
      <c r="W45" s="35"/>
      <c r="X45" s="35"/>
      <c r="Y45" s="35"/>
      <c r="Z45" s="35"/>
      <c r="AA45" s="35"/>
      <c r="AB45" s="36">
        <f t="shared" si="6"/>
        <v>0</v>
      </c>
      <c r="AC45" s="645" t="str">
        <f>CONCATENATE(IF(D46&gt;D45," * Positive F01-25 for Age "&amp;D20&amp;" "&amp;D21&amp;" is more than Tested F01-24"&amp;CHAR(10),""),IF(E46&gt;E45," * Positive F01-25 for Age "&amp;D20&amp;" "&amp;E21&amp;" is more than Tested F01-24"&amp;CHAR(10),""),IF(F46&gt;F45," * Positive F01-25 for Age "&amp;F20&amp;" "&amp;F21&amp;" is more than Tested F01-24"&amp;CHAR(10),""),IF(G46&gt;G45," * Positive F01-25 for Age "&amp;F20&amp;" "&amp;G21&amp;" is more than Tested F01-24"&amp;CHAR(10),""),IF(H46&gt;H45," * Positive F01-25 for Age "&amp;H20&amp;" "&amp;H21&amp;" is more than Tested F01-24"&amp;CHAR(10),""),IF(I46&gt;I45," * Positive F01-25 for Age "&amp;H20&amp;" "&amp;I21&amp;" is more than Tested F01-24"&amp;CHAR(10),""),IF(J46&gt;J45," * Positive F01-25 for Age "&amp;J20&amp;" "&amp;J21&amp;" is more than Tested F01-24"&amp;CHAR(10),""),IF(K46&gt;K45," * Positive F01-25 for Age "&amp;J20&amp;" "&amp;K21&amp;" is more than Tested F01-24"&amp;CHAR(10),""),IF(L46&gt;L45," * Positive F01-25 for Age "&amp;L20&amp;" "&amp;L21&amp;" is more than Tested F01-24"&amp;CHAR(10),""),IF(M46&gt;M45," * Positive F01-25 for Age "&amp;L20&amp;" "&amp;M21&amp;" is more than Tested F01-24"&amp;CHAR(10),""),IF(N46&gt;N45," * Positive F01-25 for Age "&amp;N20&amp;" "&amp;N21&amp;" is more than Tested F01-24"&amp;CHAR(10),""),IF(O46&gt;O45," * Positive F01-25 for Age "&amp;N20&amp;" "&amp;O21&amp;" is more than Tested F01-24"&amp;CHAR(10),""),IF(P46&gt;P45," * Positive F01-25 for Age "&amp;P20&amp;" "&amp;P21&amp;" is more than Tested F01-24"&amp;CHAR(10),""),IF(Q46&gt;Q45," * Positive F01-25 for Age "&amp;P20&amp;" "&amp;Q21&amp;" is more than Tested F01-24"&amp;CHAR(10),""),IF(R46&gt;R45," * Positive F01-25 for Age "&amp;R20&amp;" "&amp;R21&amp;" is more than Tested F01-24"&amp;CHAR(10),""),IF(S46&gt;S45," * Positive F01-25 for Age "&amp;R20&amp;" "&amp;S21&amp;" is more than Tested F01-24"&amp;CHAR(10),""),IF(T46&gt;T45," * Positive F01-25 for Age "&amp;T20&amp;" "&amp;T21&amp;" is more than Tested F01-24"&amp;CHAR(10),""),IF(U46&gt;U45," * Positive F01-25 for Age "&amp;T20&amp;" "&amp;U21&amp;" is more than Tested F01-24"&amp;CHAR(10),""),IF(V46&gt;V45," * Positive F01-25 for Age "&amp;V20&amp;" "&amp;V21&amp;" is more than Tested F01-24"&amp;CHAR(10),""),IF(W46&gt;W45," * Positive F01-25 for Age "&amp;V20&amp;" "&amp;W21&amp;" is more than Tested F01-24"&amp;CHAR(10),""),IF(X46&gt;X45," * Positive F01-25 for Age "&amp;X20&amp;" "&amp;X21&amp;" is more than Tested F01-24"&amp;CHAR(10),""),IF(Y46&gt;Y45," * Positive F01-25 for Age "&amp;X20&amp;" "&amp;Y21&amp;" is more than Tested F01-24"&amp;CHAR(10),""),IF(Z46&gt;Z45," * Positive F01-25 for Age "&amp;Z20&amp;" "&amp;Z21&amp;" is more than Tested F01-24"&amp;CHAR(10),""),IF(AA46&gt;AA45," * Positive F01-25 for Age "&amp;Z20&amp;" "&amp;AA21&amp;" is more than Tested F01-24"&amp;CHAR(10),""))</f>
        <v/>
      </c>
      <c r="AD45" s="643"/>
      <c r="AE45" s="83" t="str">
        <f>CONCATENATE(IF(AND(IFERROR((AB46*100)/AB45,0)&gt;10,AB46&gt;5)," * This facility has a high positivity rate for Index Testing. Kindly confirm if this is the true reflection"&amp;CHAR(10),""),"")</f>
        <v/>
      </c>
      <c r="AF45" s="640"/>
      <c r="AG45" s="439">
        <v>44</v>
      </c>
    </row>
    <row r="46" spans="1:34" ht="32.15" thickBot="1" x14ac:dyDescent="0.9">
      <c r="A46" s="567"/>
      <c r="B46" s="284" t="s">
        <v>153</v>
      </c>
      <c r="C46" s="138" t="s">
        <v>175</v>
      </c>
      <c r="D46" s="133"/>
      <c r="E46" s="42"/>
      <c r="F46" s="38"/>
      <c r="G46" s="38"/>
      <c r="H46" s="38"/>
      <c r="I46" s="38"/>
      <c r="J46" s="38"/>
      <c r="K46" s="38"/>
      <c r="L46" s="45"/>
      <c r="M46" s="45"/>
      <c r="N46" s="45"/>
      <c r="O46" s="45"/>
      <c r="P46" s="45"/>
      <c r="Q46" s="45"/>
      <c r="R46" s="45"/>
      <c r="S46" s="45"/>
      <c r="T46" s="45"/>
      <c r="U46" s="45"/>
      <c r="V46" s="45"/>
      <c r="W46" s="45"/>
      <c r="X46" s="45"/>
      <c r="Y46" s="45"/>
      <c r="Z46" s="45"/>
      <c r="AA46" s="45"/>
      <c r="AB46" s="46">
        <f t="shared" si="6"/>
        <v>0</v>
      </c>
      <c r="AC46" s="645"/>
      <c r="AD46" s="643"/>
      <c r="AE46" s="83"/>
      <c r="AF46" s="640"/>
      <c r="AG46" s="439">
        <v>45</v>
      </c>
    </row>
    <row r="47" spans="1:34" x14ac:dyDescent="0.85">
      <c r="A47" s="565" t="s">
        <v>113</v>
      </c>
      <c r="B47" s="283" t="s">
        <v>161</v>
      </c>
      <c r="C47" s="134" t="s">
        <v>350</v>
      </c>
      <c r="D47" s="139"/>
      <c r="E47" s="43"/>
      <c r="F47" s="34"/>
      <c r="G47" s="34"/>
      <c r="H47" s="34"/>
      <c r="I47" s="34"/>
      <c r="J47" s="34"/>
      <c r="K47" s="34"/>
      <c r="L47" s="35"/>
      <c r="M47" s="34"/>
      <c r="N47" s="35"/>
      <c r="O47" s="34"/>
      <c r="P47" s="35"/>
      <c r="Q47" s="34"/>
      <c r="R47" s="35"/>
      <c r="S47" s="34"/>
      <c r="T47" s="35"/>
      <c r="U47" s="34"/>
      <c r="V47" s="35"/>
      <c r="W47" s="34"/>
      <c r="X47" s="35"/>
      <c r="Y47" s="34"/>
      <c r="Z47" s="35"/>
      <c r="AA47" s="34"/>
      <c r="AB47" s="36">
        <f t="shared" si="6"/>
        <v>0</v>
      </c>
      <c r="AC47" s="645" t="str">
        <f>CONCATENATE(IF(D48&gt;D47," * Positive F01-27 for Age "&amp;D20&amp;" "&amp;D21&amp;" is more than Tested F01-26"&amp;CHAR(10),""),IF(E48&gt;E47," * Positive F01-27 for Age "&amp;D20&amp;" "&amp;E21&amp;" is more than Tested F01-26"&amp;CHAR(10),""),IF(F48&gt;F47," * Positive F01-27 for Age "&amp;F20&amp;" "&amp;F21&amp;" is more than Tested F01-26"&amp;CHAR(10),""),IF(G48&gt;G47," * Positive F01-27 for Age "&amp;F20&amp;" "&amp;G21&amp;" is more than Tested F01-26"&amp;CHAR(10),""),IF(H48&gt;H47," * Positive F01-27 for Age "&amp;H20&amp;" "&amp;H21&amp;" is more than Tested F01-26"&amp;CHAR(10),""),IF(I48&gt;I47," * Positive F01-27 for Age "&amp;H20&amp;" "&amp;I21&amp;" is more than Tested F01-26"&amp;CHAR(10),""),IF(J48&gt;J47," * Positive F01-27 for Age "&amp;J20&amp;" "&amp;J21&amp;" is more than Tested F01-26"&amp;CHAR(10),""),IF(K48&gt;K47," * Positive F01-27 for Age "&amp;J20&amp;" "&amp;K21&amp;" is more than Tested F01-26"&amp;CHAR(10),""),IF(L48&gt;L47," * Positive F01-27 for Age "&amp;L20&amp;" "&amp;L21&amp;" is more than Tested F01-26"&amp;CHAR(10),""),IF(M48&gt;M47," * Positive F01-27 for Age "&amp;L20&amp;" "&amp;M21&amp;" is more than Tested F01-26"&amp;CHAR(10),""),IF(N48&gt;N47," * Positive F01-27 for Age "&amp;N20&amp;" "&amp;N21&amp;" is more than Tested F01-26"&amp;CHAR(10),""),IF(O48&gt;O47," * Positive F01-27 for Age "&amp;N20&amp;" "&amp;O21&amp;" is more than Tested F01-26"&amp;CHAR(10),""),IF(P48&gt;P47," * Positive F01-27 for Age "&amp;P20&amp;" "&amp;P21&amp;" is more than Tested F01-26"&amp;CHAR(10),""),IF(Q48&gt;Q47," * Positive F01-27 for Age "&amp;P20&amp;" "&amp;Q21&amp;" is more than Tested F01-26"&amp;CHAR(10),""),IF(R48&gt;R47," * Positive F01-27 for Age "&amp;R20&amp;" "&amp;R21&amp;" is more than Tested F01-26"&amp;CHAR(10),""),IF(S48&gt;S47," * Positive F01-27 for Age "&amp;R20&amp;" "&amp;S21&amp;" is more than Tested F01-26"&amp;CHAR(10),""),IF(T48&gt;T47," * Positive F01-27 for Age "&amp;T20&amp;" "&amp;T21&amp;" is more than Tested F01-26"&amp;CHAR(10),""),IF(U48&gt;U47," * Positive F01-27 for Age "&amp;T20&amp;" "&amp;U21&amp;" is more than Tested F01-26"&amp;CHAR(10),""),IF(V48&gt;V47," * Positive F01-27 for Age "&amp;V20&amp;" "&amp;V21&amp;" is more than Tested F01-26"&amp;CHAR(10),""),IF(W48&gt;W47," * Positive F01-27 for Age "&amp;V20&amp;" "&amp;W21&amp;" is more than Tested F01-26"&amp;CHAR(10),""),IF(X48&gt;X47," * Positive F01-27 for Age "&amp;X20&amp;" "&amp;X21&amp;" is more than Tested F01-26"&amp;CHAR(10),""),IF(Y48&gt;Y47," * Positive F01-27 for Age "&amp;X20&amp;" "&amp;Y21&amp;" is more than Tested F01-26"&amp;CHAR(10),""),IF(Z48&gt;Z47," * Positive F01-27 for Age "&amp;Z20&amp;" "&amp;Z21&amp;" is more than Tested F01-26"&amp;CHAR(10),""),IF(AA48&gt;AA47," * Positive F01-27 for Age "&amp;Z20&amp;" "&amp;AA21&amp;" is more than Tested F01-26"&amp;CHAR(10),""))</f>
        <v/>
      </c>
      <c r="AD47" s="643"/>
      <c r="AE47" s="83" t="str">
        <f>CONCATENATE(IF(AND(IFERROR((AB48*100)/AB47,0)&gt;10,AB48&gt;5)," * This facility has a high positivity rate for Index Testing. Kindly confirm if this is the true reflection"&amp;CHAR(10),""),"")</f>
        <v/>
      </c>
      <c r="AF47" s="640"/>
      <c r="AG47" s="439">
        <v>46</v>
      </c>
    </row>
    <row r="48" spans="1:34" ht="32.15" thickBot="1" x14ac:dyDescent="0.9">
      <c r="A48" s="567"/>
      <c r="B48" s="284" t="s">
        <v>153</v>
      </c>
      <c r="C48" s="138" t="s">
        <v>176</v>
      </c>
      <c r="D48" s="133"/>
      <c r="E48" s="42"/>
      <c r="F48" s="38"/>
      <c r="G48" s="38"/>
      <c r="H48" s="38"/>
      <c r="I48" s="38"/>
      <c r="J48" s="38"/>
      <c r="K48" s="38"/>
      <c r="L48" s="205"/>
      <c r="M48" s="38"/>
      <c r="N48" s="205"/>
      <c r="O48" s="38"/>
      <c r="P48" s="205"/>
      <c r="Q48" s="38"/>
      <c r="R48" s="205"/>
      <c r="S48" s="38"/>
      <c r="T48" s="205"/>
      <c r="U48" s="38"/>
      <c r="V48" s="205"/>
      <c r="W48" s="38"/>
      <c r="X48" s="205"/>
      <c r="Y48" s="38"/>
      <c r="Z48" s="205"/>
      <c r="AA48" s="38"/>
      <c r="AB48" s="40">
        <f t="shared" si="6"/>
        <v>0</v>
      </c>
      <c r="AC48" s="645"/>
      <c r="AD48" s="643"/>
      <c r="AE48" s="83"/>
      <c r="AF48" s="640"/>
      <c r="AG48" s="439">
        <v>47</v>
      </c>
    </row>
    <row r="49" spans="1:34" s="3" customFormat="1" ht="31.75" x14ac:dyDescent="0.95">
      <c r="A49" s="660" t="s">
        <v>132</v>
      </c>
      <c r="B49" s="287" t="s">
        <v>647</v>
      </c>
      <c r="C49" s="134" t="s">
        <v>351</v>
      </c>
      <c r="D49" s="262">
        <f t="shared" ref="D49:AA49" si="7">SUM(D26+D31+D33+D35+D37+D39+D41+D43+D45+D47)</f>
        <v>0</v>
      </c>
      <c r="E49" s="262">
        <f t="shared" si="7"/>
        <v>0</v>
      </c>
      <c r="F49" s="262">
        <f t="shared" si="7"/>
        <v>0</v>
      </c>
      <c r="G49" s="262">
        <f t="shared" si="7"/>
        <v>0</v>
      </c>
      <c r="H49" s="262">
        <f t="shared" si="7"/>
        <v>0</v>
      </c>
      <c r="I49" s="262">
        <f t="shared" si="7"/>
        <v>0</v>
      </c>
      <c r="J49" s="262">
        <f t="shared" si="7"/>
        <v>0</v>
      </c>
      <c r="K49" s="262">
        <f t="shared" si="7"/>
        <v>0</v>
      </c>
      <c r="L49" s="262">
        <f t="shared" si="7"/>
        <v>0</v>
      </c>
      <c r="M49" s="262">
        <f t="shared" si="7"/>
        <v>0</v>
      </c>
      <c r="N49" s="262">
        <f t="shared" si="7"/>
        <v>0</v>
      </c>
      <c r="O49" s="262">
        <f t="shared" si="7"/>
        <v>0</v>
      </c>
      <c r="P49" s="262">
        <f t="shared" si="7"/>
        <v>0</v>
      </c>
      <c r="Q49" s="262">
        <f t="shared" si="7"/>
        <v>0</v>
      </c>
      <c r="R49" s="262">
        <f t="shared" si="7"/>
        <v>0</v>
      </c>
      <c r="S49" s="262">
        <f t="shared" si="7"/>
        <v>0</v>
      </c>
      <c r="T49" s="262">
        <f t="shared" si="7"/>
        <v>0</v>
      </c>
      <c r="U49" s="262">
        <f t="shared" si="7"/>
        <v>0</v>
      </c>
      <c r="V49" s="262">
        <f t="shared" si="7"/>
        <v>0</v>
      </c>
      <c r="W49" s="262">
        <f t="shared" si="7"/>
        <v>0</v>
      </c>
      <c r="X49" s="262">
        <f t="shared" si="7"/>
        <v>0</v>
      </c>
      <c r="Y49" s="262">
        <f t="shared" si="7"/>
        <v>0</v>
      </c>
      <c r="Z49" s="262">
        <f t="shared" si="7"/>
        <v>0</v>
      </c>
      <c r="AA49" s="262">
        <f t="shared" si="7"/>
        <v>0</v>
      </c>
      <c r="AB49" s="115">
        <f t="shared" si="6"/>
        <v>0</v>
      </c>
      <c r="AC49" s="82" t="str">
        <f>CONCATENATE(IF(D50&gt;D49," * Totals HTS Positive F01-29 for Age "&amp;D20&amp;" "&amp;D21&amp;" is more than Total Tested F01-28"&amp;CHAR(10),""),IF(E50&gt;E49," * Totals HTS Positive F01-29 for Age "&amp;D20&amp;" "&amp;E21&amp;" is more than Total Tested F01-28"&amp;CHAR(10),""),IF(F50&gt;F49," * Totals HTS Positive F01-29 for Age "&amp;F20&amp;" "&amp;F21&amp;" is more than Total Tested F01-28"&amp;CHAR(10),""),IF(G50&gt;G49," * Totals HTS Positive F01-29 for Age "&amp;F20&amp;" "&amp;G21&amp;" is more than Total Tested F01-28"&amp;CHAR(10),""),IF(H50&gt;H49," * Totals HTS Positive F01-29 for Age "&amp;H20&amp;" "&amp;H21&amp;" is more than Total Tested F01-28"&amp;CHAR(10),""),IF(I50&gt;I49," * Totals HTS Positive F01-29 for Age "&amp;H20&amp;" "&amp;I21&amp;" is more than Total Tested F01-28"&amp;CHAR(10),""),IF(J50&gt;J49," * Totals HTS Positive F01-29 for Age "&amp;J20&amp;" "&amp;J21&amp;" is more than Total Tested F01-28"&amp;CHAR(10),""),IF(K50&gt;K49," * Totals HTS Positive F01-29 for Age "&amp;J20&amp;" "&amp;K21&amp;" is more than Total Tested F01-28"&amp;CHAR(10),""),IF(L50&gt;L49," * Totals HTS Positive F01-29 for Age "&amp;L20&amp;" "&amp;L21&amp;" is more than Total Tested F01-28"&amp;CHAR(10),""),IF(M50&gt;M49," * Totals HTS Positive F01-29 for Age "&amp;L20&amp;" "&amp;M21&amp;" is more than Total Tested F01-28"&amp;CHAR(10),""),IF(N50&gt;N49," * Totals HTS Positive F01-29 for Age "&amp;N20&amp;" "&amp;N21&amp;" is more than Total Tested F01-28"&amp;CHAR(10),""),IF(O50&gt;O49," * Totals HTS Positive F01-29 for Age "&amp;N20&amp;" "&amp;O21&amp;" is more than Total Tested F01-28"&amp;CHAR(10),""),IF(P50&gt;P49," * Totals HTS Positive F01-29 for Age "&amp;P20&amp;" "&amp;P21&amp;" is more than Total Tested F01-28"&amp;CHAR(10),""),IF(Q50&gt;Q49," * Totals HTS Positive F01-29 for Age "&amp;P20&amp;" "&amp;Q21&amp;" is more than Total Tested F01-28"&amp;CHAR(10),""),IF(R50&gt;R49," * Totals HTS Positive F01-29 for Age "&amp;R20&amp;" "&amp;R21&amp;" is more than Total Tested F01-28"&amp;CHAR(10),""),IF(S50&gt;S49," * Totals HTS Positive F01-29 for Age "&amp;R20&amp;" "&amp;S21&amp;" is more than Total Tested F01-28"&amp;CHAR(10),""),IF(T50&gt;T49," * Totals HTS Positive F01-29 for Age "&amp;T20&amp;" "&amp;T21&amp;" is more than Total Tested F01-28"&amp;CHAR(10),""),IF(U50&gt;U49," * Totals HTS Positive F01-29 for Age "&amp;T20&amp;" "&amp;U21&amp;" is more than Total Tested F01-28"&amp;CHAR(10),""),IF(V50&gt;V49," * Totals HTS Positive F01-29 for Age "&amp;V20&amp;" "&amp;V21&amp;" is more than Total Tested F01-28"&amp;CHAR(10),""),IF(W50&gt;W49," * Totals HTS Positive F01-29 for Age "&amp;V20&amp;" "&amp;W21&amp;" is more than Total Tested F01-28"&amp;CHAR(10),""),IF(X50&gt;X49," * Totals HTS Positive F01-29 for Age "&amp;X20&amp;" "&amp;X21&amp;" is more than Total Tested F01-28"&amp;CHAR(10),""),IF(Y50&gt;Y49," * Totals HTS Positive F01-29 for Age "&amp;X20&amp;" "&amp;Y21&amp;" is more than Total Tested F01-28"&amp;CHAR(10),""),IF(Z50&gt;Z49," * Totals HTS Positive F01-29 for Age "&amp;Z20&amp;" "&amp;Z21&amp;" is more than Total Tested F01-28"&amp;CHAR(10),""),IF(AA50&gt;AA49," * Totals HTS Positive F01-29 for Age "&amp;Z20&amp;" "&amp;AA21&amp;" is more than Total Tested F01-28"&amp;CHAR(10),""))</f>
        <v/>
      </c>
      <c r="AD49" s="643"/>
      <c r="AE49" s="93" t="str">
        <f>CONCATENATE(IF(AB243&gt;SUM(AB27,AB32,AB34,AB36,AB38,AB40,AB42,AB44,AB46,AB48,AB195,AB199,AB203,AB207)," * This site has more started on ART than positives"&amp;CHAR(10),""),"")</f>
        <v/>
      </c>
      <c r="AF49" s="640"/>
      <c r="AG49" s="439">
        <v>48</v>
      </c>
      <c r="AH49" s="331"/>
    </row>
    <row r="50" spans="1:34" s="114" customFormat="1" ht="35.15" thickBot="1" x14ac:dyDescent="1">
      <c r="A50" s="661"/>
      <c r="B50" s="444" t="s">
        <v>656</v>
      </c>
      <c r="C50" s="145" t="s">
        <v>352</v>
      </c>
      <c r="D50" s="144">
        <f>SUM(D27+D32+D34+D36+D38+D40+D42+D44+D46+D48)</f>
        <v>0</v>
      </c>
      <c r="E50" s="110">
        <f t="shared" ref="E50:Z50" si="8">SUM(E27+E32+E34+E36+E38+E40+E42+E44+E46+E48)</f>
        <v>0</v>
      </c>
      <c r="F50" s="111">
        <f t="shared" si="8"/>
        <v>0</v>
      </c>
      <c r="G50" s="111">
        <f t="shared" si="8"/>
        <v>0</v>
      </c>
      <c r="H50" s="111">
        <f t="shared" si="8"/>
        <v>0</v>
      </c>
      <c r="I50" s="111">
        <f t="shared" si="8"/>
        <v>0</v>
      </c>
      <c r="J50" s="111">
        <f t="shared" si="8"/>
        <v>0</v>
      </c>
      <c r="K50" s="111">
        <f t="shared" si="8"/>
        <v>0</v>
      </c>
      <c r="L50" s="111">
        <f t="shared" si="8"/>
        <v>0</v>
      </c>
      <c r="M50" s="111">
        <f t="shared" si="8"/>
        <v>0</v>
      </c>
      <c r="N50" s="111">
        <f t="shared" si="8"/>
        <v>0</v>
      </c>
      <c r="O50" s="111">
        <f t="shared" si="8"/>
        <v>0</v>
      </c>
      <c r="P50" s="111">
        <f t="shared" si="8"/>
        <v>0</v>
      </c>
      <c r="Q50" s="111">
        <f t="shared" si="8"/>
        <v>0</v>
      </c>
      <c r="R50" s="111">
        <f t="shared" si="8"/>
        <v>0</v>
      </c>
      <c r="S50" s="111">
        <f t="shared" si="8"/>
        <v>0</v>
      </c>
      <c r="T50" s="111">
        <f t="shared" si="8"/>
        <v>0</v>
      </c>
      <c r="U50" s="111">
        <f t="shared" si="8"/>
        <v>0</v>
      </c>
      <c r="V50" s="111">
        <f t="shared" si="8"/>
        <v>0</v>
      </c>
      <c r="W50" s="111">
        <f t="shared" si="8"/>
        <v>0</v>
      </c>
      <c r="X50" s="111">
        <f t="shared" si="8"/>
        <v>0</v>
      </c>
      <c r="Y50" s="111">
        <f t="shared" si="8"/>
        <v>0</v>
      </c>
      <c r="Z50" s="111">
        <f t="shared" si="8"/>
        <v>0</v>
      </c>
      <c r="AA50" s="111">
        <f>SUM(AA27+AA32+AA34+AA36+AA38+AA40+AA42+AA44+AA46+AA48)</f>
        <v>0</v>
      </c>
      <c r="AB50" s="112">
        <f t="shared" si="6"/>
        <v>0</v>
      </c>
      <c r="AC50" s="223"/>
      <c r="AD50" s="644"/>
      <c r="AE50" s="113" t="str">
        <f>CONCATENATE(IF(AND(AB243=0,SUM(AB27,AB32,AB34,AB36,AB38,AB40,AB42,AB44,AB46,AB48,AB195,AB199,AB203,AB207)&gt;0)," * This site has positives but none was started on ART"&amp;CHAR(10),""),"")</f>
        <v/>
      </c>
      <c r="AF50" s="641"/>
      <c r="AG50" s="439">
        <v>49</v>
      </c>
      <c r="AH50" s="336"/>
    </row>
    <row r="51" spans="1:34" ht="35.15" thickBot="1" x14ac:dyDescent="0.9">
      <c r="A51" s="578" t="s">
        <v>112</v>
      </c>
      <c r="B51" s="579"/>
      <c r="C51" s="579"/>
      <c r="D51" s="579"/>
      <c r="E51" s="579"/>
      <c r="F51" s="579"/>
      <c r="G51" s="579"/>
      <c r="H51" s="579"/>
      <c r="I51" s="579"/>
      <c r="J51" s="579"/>
      <c r="K51" s="579"/>
      <c r="L51" s="579"/>
      <c r="M51" s="579"/>
      <c r="N51" s="579"/>
      <c r="O51" s="579"/>
      <c r="P51" s="579"/>
      <c r="Q51" s="579"/>
      <c r="R51" s="579"/>
      <c r="S51" s="579"/>
      <c r="T51" s="579"/>
      <c r="U51" s="579"/>
      <c r="V51" s="579"/>
      <c r="W51" s="579"/>
      <c r="X51" s="579"/>
      <c r="Y51" s="579"/>
      <c r="Z51" s="579"/>
      <c r="AA51" s="579"/>
      <c r="AB51" s="579"/>
      <c r="AC51" s="579"/>
      <c r="AD51" s="579"/>
      <c r="AE51" s="579"/>
      <c r="AF51" s="580"/>
      <c r="AG51" s="439">
        <v>50</v>
      </c>
    </row>
    <row r="52" spans="1:34" ht="26.25" customHeight="1" x14ac:dyDescent="0.85">
      <c r="A52" s="588" t="s">
        <v>37</v>
      </c>
      <c r="B52" s="611" t="s">
        <v>347</v>
      </c>
      <c r="C52" s="666" t="s">
        <v>328</v>
      </c>
      <c r="D52" s="647"/>
      <c r="E52" s="647"/>
      <c r="F52" s="647"/>
      <c r="G52" s="647"/>
      <c r="H52" s="647"/>
      <c r="I52" s="647"/>
      <c r="J52" s="646" t="s">
        <v>3</v>
      </c>
      <c r="K52" s="646"/>
      <c r="L52" s="646" t="s">
        <v>4</v>
      </c>
      <c r="M52" s="646"/>
      <c r="N52" s="646" t="s">
        <v>5</v>
      </c>
      <c r="O52" s="646"/>
      <c r="P52" s="646" t="s">
        <v>6</v>
      </c>
      <c r="Q52" s="646"/>
      <c r="R52" s="646" t="s">
        <v>7</v>
      </c>
      <c r="S52" s="646"/>
      <c r="T52" s="646" t="s">
        <v>8</v>
      </c>
      <c r="U52" s="646"/>
      <c r="V52" s="646" t="s">
        <v>23</v>
      </c>
      <c r="W52" s="646"/>
      <c r="X52" s="646" t="s">
        <v>24</v>
      </c>
      <c r="Y52" s="646"/>
      <c r="Z52" s="646" t="s">
        <v>9</v>
      </c>
      <c r="AA52" s="646"/>
      <c r="AB52" s="594" t="s">
        <v>19</v>
      </c>
      <c r="AC52" s="635" t="s">
        <v>381</v>
      </c>
      <c r="AD52" s="585" t="s">
        <v>387</v>
      </c>
      <c r="AE52" s="581" t="s">
        <v>388</v>
      </c>
      <c r="AF52" s="576" t="s">
        <v>388</v>
      </c>
      <c r="AG52" s="439">
        <v>51</v>
      </c>
    </row>
    <row r="53" spans="1:34" ht="27" customHeight="1" thickBot="1" x14ac:dyDescent="0.9">
      <c r="A53" s="589"/>
      <c r="B53" s="612"/>
      <c r="C53" s="667"/>
      <c r="D53" s="648"/>
      <c r="E53" s="648"/>
      <c r="F53" s="648"/>
      <c r="G53" s="648"/>
      <c r="H53" s="648"/>
      <c r="I53" s="648"/>
      <c r="J53" s="30" t="s">
        <v>10</v>
      </c>
      <c r="K53" s="30" t="s">
        <v>11</v>
      </c>
      <c r="L53" s="30" t="s">
        <v>10</v>
      </c>
      <c r="M53" s="30" t="s">
        <v>11</v>
      </c>
      <c r="N53" s="30" t="s">
        <v>10</v>
      </c>
      <c r="O53" s="30" t="s">
        <v>11</v>
      </c>
      <c r="P53" s="30" t="s">
        <v>10</v>
      </c>
      <c r="Q53" s="30" t="s">
        <v>11</v>
      </c>
      <c r="R53" s="30" t="s">
        <v>10</v>
      </c>
      <c r="S53" s="30" t="s">
        <v>11</v>
      </c>
      <c r="T53" s="30" t="s">
        <v>10</v>
      </c>
      <c r="U53" s="30" t="s">
        <v>11</v>
      </c>
      <c r="V53" s="30" t="s">
        <v>10</v>
      </c>
      <c r="W53" s="30" t="s">
        <v>11</v>
      </c>
      <c r="X53" s="30" t="s">
        <v>10</v>
      </c>
      <c r="Y53" s="30" t="s">
        <v>11</v>
      </c>
      <c r="Z53" s="30" t="s">
        <v>10</v>
      </c>
      <c r="AA53" s="30" t="s">
        <v>11</v>
      </c>
      <c r="AB53" s="595"/>
      <c r="AC53" s="636"/>
      <c r="AD53" s="584"/>
      <c r="AE53" s="582"/>
      <c r="AF53" s="577"/>
      <c r="AG53" s="439">
        <v>52</v>
      </c>
    </row>
    <row r="54" spans="1:34" x14ac:dyDescent="0.85">
      <c r="A54" s="565" t="s">
        <v>20</v>
      </c>
      <c r="B54" s="283" t="s">
        <v>657</v>
      </c>
      <c r="C54" s="134" t="s">
        <v>177</v>
      </c>
      <c r="D54" s="141"/>
      <c r="E54" s="34"/>
      <c r="F54" s="34"/>
      <c r="G54" s="34"/>
      <c r="H54" s="34"/>
      <c r="I54" s="34"/>
      <c r="J54" s="35"/>
      <c r="K54" s="35"/>
      <c r="L54" s="35"/>
      <c r="M54" s="35"/>
      <c r="N54" s="35"/>
      <c r="O54" s="35"/>
      <c r="P54" s="35"/>
      <c r="Q54" s="35"/>
      <c r="R54" s="35"/>
      <c r="S54" s="35"/>
      <c r="T54" s="35"/>
      <c r="U54" s="35"/>
      <c r="V54" s="35"/>
      <c r="W54" s="35"/>
      <c r="X54" s="35"/>
      <c r="Y54" s="35"/>
      <c r="Z54" s="35"/>
      <c r="AA54" s="35"/>
      <c r="AB54" s="36">
        <f>SUM(D54:AA54)</f>
        <v>0</v>
      </c>
      <c r="AC54" s="85"/>
      <c r="AD54" s="642" t="str">
        <f>CONCATENATE(AC54,AC55,AC56,AC57,AC58)</f>
        <v/>
      </c>
      <c r="AE54" s="83"/>
      <c r="AF54" s="654" t="str">
        <f>CONCATENATE(AE54,AE55,AE56,AE57,AE58)</f>
        <v/>
      </c>
      <c r="AG54" s="439">
        <v>53</v>
      </c>
    </row>
    <row r="55" spans="1:34" x14ac:dyDescent="0.85">
      <c r="A55" s="566"/>
      <c r="B55" s="275" t="s">
        <v>658</v>
      </c>
      <c r="C55" s="136" t="s">
        <v>179</v>
      </c>
      <c r="D55" s="127"/>
      <c r="E55" s="18"/>
      <c r="F55" s="18"/>
      <c r="G55" s="18"/>
      <c r="H55" s="18"/>
      <c r="I55" s="18"/>
      <c r="J55" s="19"/>
      <c r="K55" s="19"/>
      <c r="L55" s="19"/>
      <c r="M55" s="19"/>
      <c r="N55" s="19"/>
      <c r="O55" s="19"/>
      <c r="P55" s="19"/>
      <c r="Q55" s="19"/>
      <c r="R55" s="19"/>
      <c r="S55" s="19"/>
      <c r="T55" s="19"/>
      <c r="U55" s="19"/>
      <c r="V55" s="19"/>
      <c r="W55" s="19"/>
      <c r="X55" s="19"/>
      <c r="Y55" s="19"/>
      <c r="Z55" s="19"/>
      <c r="AA55" s="19"/>
      <c r="AB55" s="37">
        <f t="shared" ref="AB55:AB57" si="9">SUM(D55:AA55)</f>
        <v>0</v>
      </c>
      <c r="AC55" s="85"/>
      <c r="AD55" s="643"/>
      <c r="AE55" s="83"/>
      <c r="AF55" s="640"/>
      <c r="AG55" s="439">
        <v>54</v>
      </c>
    </row>
    <row r="56" spans="1:34" x14ac:dyDescent="0.85">
      <c r="A56" s="566"/>
      <c r="B56" s="275" t="s">
        <v>659</v>
      </c>
      <c r="C56" s="136" t="s">
        <v>180</v>
      </c>
      <c r="D56" s="127"/>
      <c r="E56" s="18"/>
      <c r="F56" s="18"/>
      <c r="G56" s="18"/>
      <c r="H56" s="18"/>
      <c r="I56" s="18"/>
      <c r="J56" s="19"/>
      <c r="K56" s="19"/>
      <c r="L56" s="19"/>
      <c r="M56" s="19"/>
      <c r="N56" s="19"/>
      <c r="O56" s="19"/>
      <c r="P56" s="19"/>
      <c r="Q56" s="19"/>
      <c r="R56" s="19"/>
      <c r="S56" s="19"/>
      <c r="T56" s="19"/>
      <c r="U56" s="19"/>
      <c r="V56" s="19"/>
      <c r="W56" s="19"/>
      <c r="X56" s="19"/>
      <c r="Y56" s="19"/>
      <c r="Z56" s="19"/>
      <c r="AA56" s="19"/>
      <c r="AB56" s="37">
        <f t="shared" si="9"/>
        <v>0</v>
      </c>
      <c r="AC56" s="85"/>
      <c r="AD56" s="643"/>
      <c r="AE56" s="83"/>
      <c r="AF56" s="640"/>
      <c r="AG56" s="439">
        <v>55</v>
      </c>
    </row>
    <row r="57" spans="1:34" x14ac:dyDescent="0.85">
      <c r="A57" s="566"/>
      <c r="B57" s="275" t="s">
        <v>660</v>
      </c>
      <c r="C57" s="136" t="s">
        <v>181</v>
      </c>
      <c r="D57" s="127"/>
      <c r="E57" s="18"/>
      <c r="F57" s="18"/>
      <c r="G57" s="18"/>
      <c r="H57" s="18"/>
      <c r="I57" s="18"/>
      <c r="J57" s="19"/>
      <c r="K57" s="19"/>
      <c r="L57" s="19"/>
      <c r="M57" s="19"/>
      <c r="N57" s="19"/>
      <c r="O57" s="19"/>
      <c r="P57" s="19"/>
      <c r="Q57" s="19"/>
      <c r="R57" s="19"/>
      <c r="S57" s="19"/>
      <c r="T57" s="19"/>
      <c r="U57" s="19"/>
      <c r="V57" s="19"/>
      <c r="W57" s="19"/>
      <c r="X57" s="19"/>
      <c r="Y57" s="19"/>
      <c r="Z57" s="19"/>
      <c r="AA57" s="19"/>
      <c r="AB57" s="37">
        <f t="shared" si="9"/>
        <v>0</v>
      </c>
      <c r="AC57" s="85"/>
      <c r="AD57" s="643"/>
      <c r="AE57" s="83"/>
      <c r="AF57" s="640"/>
      <c r="AG57" s="439">
        <v>56</v>
      </c>
    </row>
    <row r="58" spans="1:34" ht="31.3" thickBot="1" x14ac:dyDescent="0.9">
      <c r="A58" s="671"/>
      <c r="B58" s="276" t="s">
        <v>661</v>
      </c>
      <c r="C58" s="138" t="s">
        <v>182</v>
      </c>
      <c r="D58" s="128"/>
      <c r="E58" s="50"/>
      <c r="F58" s="50"/>
      <c r="G58" s="50"/>
      <c r="H58" s="50"/>
      <c r="I58" s="50"/>
      <c r="J58" s="51"/>
      <c r="K58" s="51"/>
      <c r="L58" s="51"/>
      <c r="M58" s="51"/>
      <c r="N58" s="51"/>
      <c r="O58" s="51"/>
      <c r="P58" s="51"/>
      <c r="Q58" s="51"/>
      <c r="R58" s="51"/>
      <c r="S58" s="51"/>
      <c r="T58" s="51"/>
      <c r="U58" s="51"/>
      <c r="V58" s="51"/>
      <c r="W58" s="51"/>
      <c r="X58" s="51"/>
      <c r="Y58" s="51"/>
      <c r="Z58" s="51"/>
      <c r="AA58" s="51"/>
      <c r="AB58" s="91">
        <f>SUM(D58:AA58)</f>
        <v>0</v>
      </c>
      <c r="AC58" s="194"/>
      <c r="AD58" s="644"/>
      <c r="AE58" s="97"/>
      <c r="AF58" s="641"/>
      <c r="AG58" s="439">
        <v>57</v>
      </c>
    </row>
    <row r="59" spans="1:34" ht="35.15" thickBot="1" x14ac:dyDescent="0.9">
      <c r="A59" s="578" t="s">
        <v>125</v>
      </c>
      <c r="B59" s="579"/>
      <c r="C59" s="579"/>
      <c r="D59" s="579"/>
      <c r="E59" s="579"/>
      <c r="F59" s="579"/>
      <c r="G59" s="579"/>
      <c r="H59" s="579"/>
      <c r="I59" s="579"/>
      <c r="J59" s="579"/>
      <c r="K59" s="579"/>
      <c r="L59" s="579"/>
      <c r="M59" s="579"/>
      <c r="N59" s="579"/>
      <c r="O59" s="579"/>
      <c r="P59" s="579"/>
      <c r="Q59" s="579"/>
      <c r="R59" s="579"/>
      <c r="S59" s="579"/>
      <c r="T59" s="579"/>
      <c r="U59" s="579"/>
      <c r="V59" s="579"/>
      <c r="W59" s="579"/>
      <c r="X59" s="579"/>
      <c r="Y59" s="579"/>
      <c r="Z59" s="579"/>
      <c r="AA59" s="579"/>
      <c r="AB59" s="579"/>
      <c r="AC59" s="579"/>
      <c r="AD59" s="579"/>
      <c r="AE59" s="579"/>
      <c r="AF59" s="580"/>
      <c r="AG59" s="439">
        <v>58</v>
      </c>
    </row>
    <row r="60" spans="1:34" ht="26.25" customHeight="1" x14ac:dyDescent="0.85">
      <c r="A60" s="588" t="s">
        <v>37</v>
      </c>
      <c r="B60" s="611" t="s">
        <v>347</v>
      </c>
      <c r="C60" s="666" t="s">
        <v>328</v>
      </c>
      <c r="D60" s="647"/>
      <c r="E60" s="647"/>
      <c r="F60" s="647"/>
      <c r="G60" s="647"/>
      <c r="H60" s="647"/>
      <c r="I60" s="647"/>
      <c r="J60" s="602" t="s">
        <v>3</v>
      </c>
      <c r="K60" s="602"/>
      <c r="L60" s="602" t="s">
        <v>4</v>
      </c>
      <c r="M60" s="602"/>
      <c r="N60" s="602" t="s">
        <v>5</v>
      </c>
      <c r="O60" s="602"/>
      <c r="P60" s="602" t="s">
        <v>6</v>
      </c>
      <c r="Q60" s="602"/>
      <c r="R60" s="602" t="s">
        <v>7</v>
      </c>
      <c r="S60" s="602"/>
      <c r="T60" s="602" t="s">
        <v>8</v>
      </c>
      <c r="U60" s="602"/>
      <c r="V60" s="602" t="s">
        <v>23</v>
      </c>
      <c r="W60" s="602"/>
      <c r="X60" s="602" t="s">
        <v>24</v>
      </c>
      <c r="Y60" s="602"/>
      <c r="Z60" s="602" t="s">
        <v>9</v>
      </c>
      <c r="AA60" s="602"/>
      <c r="AB60" s="649" t="s">
        <v>19</v>
      </c>
      <c r="AC60" s="637" t="s">
        <v>381</v>
      </c>
      <c r="AD60" s="583" t="s">
        <v>387</v>
      </c>
      <c r="AE60" s="582" t="s">
        <v>388</v>
      </c>
      <c r="AF60" s="630" t="s">
        <v>388</v>
      </c>
      <c r="AG60" s="439">
        <v>59</v>
      </c>
    </row>
    <row r="61" spans="1:34" ht="27" customHeight="1" thickBot="1" x14ac:dyDescent="0.9">
      <c r="A61" s="589"/>
      <c r="B61" s="612"/>
      <c r="C61" s="667"/>
      <c r="D61" s="648"/>
      <c r="E61" s="648"/>
      <c r="F61" s="648"/>
      <c r="G61" s="648"/>
      <c r="H61" s="648"/>
      <c r="I61" s="648"/>
      <c r="J61" s="81" t="s">
        <v>10</v>
      </c>
      <c r="K61" s="81" t="s">
        <v>11</v>
      </c>
      <c r="L61" s="81" t="s">
        <v>10</v>
      </c>
      <c r="M61" s="81" t="s">
        <v>11</v>
      </c>
      <c r="N61" s="81" t="s">
        <v>10</v>
      </c>
      <c r="O61" s="81" t="s">
        <v>11</v>
      </c>
      <c r="P61" s="81" t="s">
        <v>10</v>
      </c>
      <c r="Q61" s="81" t="s">
        <v>11</v>
      </c>
      <c r="R61" s="81" t="s">
        <v>10</v>
      </c>
      <c r="S61" s="81" t="s">
        <v>11</v>
      </c>
      <c r="T61" s="81" t="s">
        <v>10</v>
      </c>
      <c r="U61" s="81" t="s">
        <v>11</v>
      </c>
      <c r="V61" s="81" t="s">
        <v>10</v>
      </c>
      <c r="W61" s="81" t="s">
        <v>11</v>
      </c>
      <c r="X61" s="81" t="s">
        <v>10</v>
      </c>
      <c r="Y61" s="81" t="s">
        <v>11</v>
      </c>
      <c r="Z61" s="81" t="s">
        <v>10</v>
      </c>
      <c r="AA61" s="81" t="s">
        <v>11</v>
      </c>
      <c r="AB61" s="650"/>
      <c r="AC61" s="638"/>
      <c r="AD61" s="584"/>
      <c r="AE61" s="582"/>
      <c r="AF61" s="577"/>
      <c r="AG61" s="439">
        <v>60</v>
      </c>
    </row>
    <row r="62" spans="1:34" x14ac:dyDescent="0.85">
      <c r="A62" s="627" t="s">
        <v>591</v>
      </c>
      <c r="B62" s="274" t="s">
        <v>662</v>
      </c>
      <c r="C62" s="134" t="s">
        <v>187</v>
      </c>
      <c r="D62" s="126"/>
      <c r="E62" s="32"/>
      <c r="F62" s="32"/>
      <c r="G62" s="32"/>
      <c r="H62" s="32"/>
      <c r="I62" s="32"/>
      <c r="J62" s="33"/>
      <c r="K62" s="33"/>
      <c r="L62" s="33"/>
      <c r="M62" s="33"/>
      <c r="N62" s="33"/>
      <c r="O62" s="33"/>
      <c r="P62" s="33"/>
      <c r="Q62" s="33"/>
      <c r="R62" s="33"/>
      <c r="S62" s="33"/>
      <c r="T62" s="33"/>
      <c r="U62" s="33"/>
      <c r="V62" s="33"/>
      <c r="W62" s="33"/>
      <c r="X62" s="33"/>
      <c r="Y62" s="33"/>
      <c r="Z62" s="33"/>
      <c r="AA62" s="33"/>
      <c r="AB62" s="89">
        <f>SUM(D62:AA62)</f>
        <v>0</v>
      </c>
      <c r="AC62" s="100" t="str">
        <f>CONCATENATE(IF(D65&gt;D62," * Eligible for PrEP  for Age "&amp;D20&amp;" "&amp;D21&amp;" is more than Assessed for HIV risk"&amp;CHAR(10),""),IF(E65&gt;E62," * Eligible for PrEP  for Age "&amp;D20&amp;" "&amp;E21&amp;" is more than Assessed for HIV risk"&amp;CHAR(10),""),IF(F65&gt;F62," * Eligible for PrEP  for Age "&amp;F20&amp;" "&amp;F21&amp;" is more than Assessed for HIV risk"&amp;CHAR(10),""),IF(G65&gt;G62," * Eligible for PrEP  for Age "&amp;F20&amp;" "&amp;G21&amp;" is more than Assessed for HIV risk"&amp;CHAR(10),""),IF(H65&gt;H62," * Eligible for PrEP  for Age "&amp;H20&amp;" "&amp;H21&amp;" is more than Assessed for HIV risk"&amp;CHAR(10),""),IF(I65&gt;I62," * Eligible for PrEP  for Age "&amp;H20&amp;" "&amp;I21&amp;" is more than Assessed for HIV risk"&amp;CHAR(10),""),IF(J65&gt;J62," * Eligible for PrEP  for Age "&amp;J20&amp;" "&amp;J21&amp;" is more than Assessed for HIV risk"&amp;CHAR(10),""),IF(K65&gt;K62," * Eligible for PrEP  for Age "&amp;J20&amp;" "&amp;K21&amp;" is more than Assessed for HIV risk"&amp;CHAR(10),""),IF(L65&gt;L62," * Eligible for PrEP  for Age "&amp;L20&amp;" "&amp;L21&amp;" is more than Assessed for HIV risk"&amp;CHAR(10),""),IF(M65&gt;M62," * Eligible for PrEP  for Age "&amp;L20&amp;" "&amp;M21&amp;" is more than Assessed for HIV risk"&amp;CHAR(10),""),IF(N65&gt;N62," * Eligible for PrEP  for Age "&amp;N20&amp;" "&amp;N21&amp;" is more than Assessed for HIV risk"&amp;CHAR(10),""),IF(O65&gt;O62," * Eligible for PrEP  for Age "&amp;N20&amp;" "&amp;O21&amp;" is more than Assessed for HIV risk"&amp;CHAR(10),""),IF(P65&gt;P62," * Eligible for PrEP  for Age "&amp;P20&amp;" "&amp;P21&amp;" is more than Assessed for HIV risk"&amp;CHAR(10),""),IF(Q65&gt;Q62," * Eligible for PrEP  for Age "&amp;P20&amp;" "&amp;Q21&amp;" is more than Assessed for HIV risk"&amp;CHAR(10),""),IF(R65&gt;R62," * Eligible for PrEP  for Age "&amp;R20&amp;" "&amp;R21&amp;" is more than Assessed for HIV risk"&amp;CHAR(10),""),IF(S65&gt;S62," * Eligible for PrEP  for Age "&amp;R20&amp;" "&amp;S21&amp;" is more than Assessed for HIV risk"&amp;CHAR(10),""),IF(T65&gt;T62," * Eligible for PrEP  for Age "&amp;T20&amp;" "&amp;T21&amp;" is more than Assessed for HIV risk"&amp;CHAR(10),""),IF(U65&gt;U62," * Eligible for PrEP  for Age "&amp;T20&amp;" "&amp;U21&amp;" is more than Assessed for HIV risk"&amp;CHAR(10),""),IF(V65&gt;V62," * Eligible for PrEP  for Age "&amp;V20&amp;" "&amp;V21&amp;" is more than Assessed for HIV risk"&amp;CHAR(10),""),IF(W65&gt;W62," * Eligible for PrEP  for Age "&amp;V20&amp;" "&amp;W21&amp;" is more than Assessed for HIV risk"&amp;CHAR(10),""),IF(X65&gt;X62," * Eligible for PrEP  for Age "&amp;X20&amp;" "&amp;X21&amp;" is more than Assessed for HIV risk"&amp;CHAR(10),""),IF(Y65&gt;Y62," * Eligible for PrEP  for Age "&amp;X20&amp;" "&amp;Y21&amp;" is more than Assessed for HIV risk"&amp;CHAR(10),""),IF(Z65&gt;Z62," * Eligible for PrEP  for Age "&amp;Z20&amp;" "&amp;Z21&amp;" is more than Assessed for HIV risk"&amp;CHAR(10),""),IF(AA65&gt;AA62," * Eligible for PrEP  for Age "&amp;Z20&amp;" "&amp;AA21&amp;" is more than Assessed for HIV risk"&amp;CHAR(10),""))</f>
        <v/>
      </c>
      <c r="AD62" s="659" t="str">
        <f>CONCATENATE(AC62,AC63,AC64,AC65,AC66,AC67,AC68,AC69,AC70,AC71,AC72,AC73,AC74,AC75,AC76,AC77,AC78,AC79,AC80,AC81,AC82,AC83,AC84,AC86,AC87,AC88,AC89,AC90,AC91,AC92,AC93,AC94,AC95)</f>
        <v/>
      </c>
      <c r="AE62" s="99"/>
      <c r="AF62" s="639" t="str">
        <f>CONCATENATE(AE62,AE65,AE66,AE73,AE76,AE84,AE85,AE86,AE87,AE88,AE89,AE90,AE91,AE92,AE93,AE94,AE95)</f>
        <v/>
      </c>
      <c r="AG62" s="439">
        <v>61</v>
      </c>
    </row>
    <row r="63" spans="1:34" x14ac:dyDescent="0.85">
      <c r="A63" s="628"/>
      <c r="B63" s="275" t="s">
        <v>564</v>
      </c>
      <c r="C63" s="146" t="s">
        <v>565</v>
      </c>
      <c r="D63" s="127"/>
      <c r="E63" s="18"/>
      <c r="F63" s="18"/>
      <c r="G63" s="18"/>
      <c r="H63" s="18"/>
      <c r="I63" s="18"/>
      <c r="J63" s="24"/>
      <c r="K63" s="24"/>
      <c r="L63" s="24"/>
      <c r="M63" s="24"/>
      <c r="N63" s="24"/>
      <c r="O63" s="24"/>
      <c r="P63" s="24"/>
      <c r="Q63" s="24"/>
      <c r="R63" s="24"/>
      <c r="S63" s="24"/>
      <c r="T63" s="24"/>
      <c r="U63" s="24"/>
      <c r="V63" s="24"/>
      <c r="W63" s="24"/>
      <c r="X63" s="24"/>
      <c r="Y63" s="24"/>
      <c r="Z63" s="24"/>
      <c r="AA63" s="24"/>
      <c r="AB63" s="37">
        <f>SUM(J63:AA63)</f>
        <v>0</v>
      </c>
      <c r="AC63" s="82" t="str">
        <f>CONCATENATE(IF(D64&gt;D63," * screened for Prep initiation testing positive For age "&amp;$D$20&amp;" "&amp;$D$21&amp;" is more than HIV tested for PrEP initiation"&amp;CHAR(10),""),IF(E64&gt;E63," * screened for Prep initiation testing positive For age "&amp;$D$20&amp;" "&amp;$E$21&amp;" is more than HIV tested for PrEP initiation"&amp;CHAR(10),""),IF(F64&gt;F63," * screened for Prep initiation testing positive For age "&amp;$F$20&amp;" "&amp;$F$21&amp;" is more than HIV tested for PrEP initiation"&amp;CHAR(10),""),IF(G64&gt;G63," * screened for Prep initiation testing positive For age "&amp;$F$20&amp;" "&amp;$G$21&amp;" is more than HIV tested for PrEP initiation"&amp;CHAR(10),""),IF(H64&gt;H63," * screened for Prep initiation testing positive For age "&amp;$H$20&amp;" "&amp;$H$21&amp;" is more than HIV tested for PrEP initiation"&amp;CHAR(10),""),IF(I64&gt;I63," * screened for Prep initiation testing positive For age "&amp;$H$20&amp;" "&amp;$I$21&amp;" is more than HIV tested for PrEP initiation"&amp;CHAR(10),""),IF(J64&gt;J63," * screened for Prep initiation testing positive For age "&amp;$J$20&amp;" "&amp;$J$21&amp;" is more than HIV tested for PrEP initiation"&amp;CHAR(10),""),IF(K64&gt;K63," * screened for Prep initiation testing positive For age "&amp;$J$20&amp;" "&amp;$K$21&amp;" is more than HIV tested for PrEP initiation"&amp;CHAR(10),""),IF(L64&gt;L63," * screened for Prep initiation testing positive For age "&amp;$L$20&amp;" "&amp;$L$21&amp;" is more than HIV tested for PrEP initiation"&amp;CHAR(10),""),IF(M64&gt;M63," * screened for Prep initiation testing positive For age "&amp;$L$20&amp;" "&amp;$M$21&amp;" is more than HIV tested for PrEP initiation"&amp;CHAR(10),""),IF(N64&gt;N63," * screened for Prep initiation testing positive For age "&amp;$N$20&amp;" "&amp;$N$21&amp;" is more than HIV tested for PrEP initiation"&amp;CHAR(10),""),IF(O64&gt;O63," * screened for Prep initiation testing positive For age "&amp;$N$20&amp;" "&amp;$O$21&amp;" is more than HIV tested for PrEP initiation"&amp;CHAR(10),""),IF(P64&gt;P63," * screened for Prep initiation testing positive For age "&amp;$P$20&amp;" "&amp;$P$21&amp;" is more than HIV tested for PrEP initiation"&amp;CHAR(10),""),IF(Q64&gt;Q63," * screened for Prep initiation testing positive For age "&amp;$P$20&amp;" "&amp;$Q$21&amp;" is more than HIV tested for PrEP initiation"&amp;CHAR(10),""),IF(R64&gt;R63," * screened for Prep initiation testing positive For age "&amp;$R$20&amp;" "&amp;$R$21&amp;" is more than HIV tested for PrEP initiation"&amp;CHAR(10),""),IF(S64&gt;S63," * screened for Prep initiation testing positive For age "&amp;$R$20&amp;" "&amp;$S$21&amp;" is more than HIV tested for PrEP initiation"&amp;CHAR(10),""),IF(T64&gt;T63," * screened for Prep initiation testing positive For age "&amp;$T$20&amp;" "&amp;$T$21&amp;" is more than HIV tested for PrEP initiation"&amp;CHAR(10),""),IF(U64&gt;U63," * screened for Prep initiation testing positive For age "&amp;$T$20&amp;" "&amp;$U$21&amp;" is more than HIV tested for PrEP initiation"&amp;CHAR(10),""),IF(V64&gt;V63," * screened for Prep initiation testing positive For age "&amp;$V$20&amp;" "&amp;$V$21&amp;" is more than HIV tested for PrEP initiation"&amp;CHAR(10),""),IF(W64&gt;W63," * screened for Prep initiation testing positive For age "&amp;$V$20&amp;" "&amp;$W$21&amp;" is more than HIV tested for PrEP initiation"&amp;CHAR(10),""),IF(X64&gt;X63," * screened for Prep initiation testing positive For age "&amp;$X$20&amp;" "&amp;$X$21&amp;" is more than HIV tested for PrEP initiation"&amp;CHAR(10),""),IF(Y64&gt;Y63," * screened for Prep initiation testing positive For age "&amp;$X$20&amp;" "&amp;$Y$21&amp;" is more than HIV tested for PrEP initiation"&amp;CHAR(10),""),IF(Z64&gt;Z63," * screened for Prep initiation testing positive For age "&amp;$Z$20&amp;" "&amp;$Z$21&amp;" is more than HIV tested for PrEP initiation"&amp;CHAR(10),""),IF(AA64&gt;AA63," * screened for Prep initiation testing positive For age "&amp;$Z$20&amp;" "&amp;$AA$21&amp;" is more than HIV tested for PrEP initiation"&amp;CHAR(10),""))</f>
        <v/>
      </c>
      <c r="AD63" s="643"/>
      <c r="AE63" s="83"/>
      <c r="AF63" s="640"/>
      <c r="AG63" s="439">
        <v>62</v>
      </c>
    </row>
    <row r="64" spans="1:34" x14ac:dyDescent="0.85">
      <c r="A64" s="628"/>
      <c r="B64" s="275" t="s">
        <v>663</v>
      </c>
      <c r="C64" s="146" t="s">
        <v>566</v>
      </c>
      <c r="D64" s="127"/>
      <c r="E64" s="18"/>
      <c r="F64" s="18"/>
      <c r="G64" s="18"/>
      <c r="H64" s="18"/>
      <c r="I64" s="18"/>
      <c r="J64" s="24"/>
      <c r="K64" s="24"/>
      <c r="L64" s="24"/>
      <c r="M64" s="24"/>
      <c r="N64" s="24"/>
      <c r="O64" s="24"/>
      <c r="P64" s="24"/>
      <c r="Q64" s="24"/>
      <c r="R64" s="24"/>
      <c r="S64" s="24"/>
      <c r="T64" s="24"/>
      <c r="U64" s="24"/>
      <c r="V64" s="24"/>
      <c r="W64" s="24"/>
      <c r="X64" s="24"/>
      <c r="Y64" s="24"/>
      <c r="Z64" s="24"/>
      <c r="AA64" s="24"/>
      <c r="AB64" s="37">
        <f>SUM(J64:AA64)</f>
        <v>0</v>
      </c>
      <c r="AC64" s="94"/>
      <c r="AD64" s="643"/>
      <c r="AE64" s="83"/>
      <c r="AF64" s="640"/>
      <c r="AG64" s="439">
        <v>63</v>
      </c>
    </row>
    <row r="65" spans="1:33" ht="31.3" thickBot="1" x14ac:dyDescent="0.9">
      <c r="A65" s="629"/>
      <c r="B65" s="281" t="s">
        <v>664</v>
      </c>
      <c r="C65" s="138" t="s">
        <v>188</v>
      </c>
      <c r="D65" s="143"/>
      <c r="E65" s="38"/>
      <c r="F65" s="38"/>
      <c r="G65" s="38"/>
      <c r="H65" s="38"/>
      <c r="I65" s="38"/>
      <c r="J65" s="39"/>
      <c r="K65" s="39"/>
      <c r="L65" s="39"/>
      <c r="M65" s="39"/>
      <c r="N65" s="39"/>
      <c r="O65" s="39"/>
      <c r="P65" s="39"/>
      <c r="Q65" s="39"/>
      <c r="R65" s="39"/>
      <c r="S65" s="39"/>
      <c r="T65" s="39"/>
      <c r="U65" s="39"/>
      <c r="V65" s="39"/>
      <c r="W65" s="39"/>
      <c r="X65" s="39"/>
      <c r="Y65" s="39"/>
      <c r="Z65" s="39"/>
      <c r="AA65" s="39"/>
      <c r="AB65" s="40">
        <f t="shared" ref="AB65:AB93" si="10">SUM(D65:AA65)</f>
        <v>0</v>
      </c>
      <c r="AC65" s="94"/>
      <c r="AD65" s="643"/>
      <c r="AE65" s="83"/>
      <c r="AF65" s="640"/>
      <c r="AG65" s="439">
        <v>64</v>
      </c>
    </row>
    <row r="66" spans="1:33" ht="32.15" thickBot="1" x14ac:dyDescent="0.9">
      <c r="A66" s="457" t="s">
        <v>592</v>
      </c>
      <c r="B66" s="366" t="s">
        <v>646</v>
      </c>
      <c r="C66" s="134" t="s">
        <v>189</v>
      </c>
      <c r="D66" s="141"/>
      <c r="E66" s="34"/>
      <c r="F66" s="34"/>
      <c r="G66" s="34"/>
      <c r="H66" s="34"/>
      <c r="I66" s="34"/>
      <c r="J66" s="49">
        <f>SUM(J67:J72)</f>
        <v>0</v>
      </c>
      <c r="K66" s="49">
        <f t="shared" ref="K66:AA66" si="11">SUM(K67:K72)</f>
        <v>0</v>
      </c>
      <c r="L66" s="49">
        <f t="shared" si="11"/>
        <v>0</v>
      </c>
      <c r="M66" s="49">
        <f t="shared" si="11"/>
        <v>0</v>
      </c>
      <c r="N66" s="49">
        <f t="shared" si="11"/>
        <v>0</v>
      </c>
      <c r="O66" s="49">
        <f t="shared" si="11"/>
        <v>0</v>
      </c>
      <c r="P66" s="49">
        <f t="shared" si="11"/>
        <v>0</v>
      </c>
      <c r="Q66" s="49">
        <f t="shared" si="11"/>
        <v>0</v>
      </c>
      <c r="R66" s="49">
        <f t="shared" si="11"/>
        <v>0</v>
      </c>
      <c r="S66" s="49">
        <f t="shared" si="11"/>
        <v>0</v>
      </c>
      <c r="T66" s="49">
        <f t="shared" si="11"/>
        <v>0</v>
      </c>
      <c r="U66" s="49">
        <f t="shared" si="11"/>
        <v>0</v>
      </c>
      <c r="V66" s="49">
        <f t="shared" si="11"/>
        <v>0</v>
      </c>
      <c r="W66" s="49">
        <f t="shared" si="11"/>
        <v>0</v>
      </c>
      <c r="X66" s="49">
        <f t="shared" si="11"/>
        <v>0</v>
      </c>
      <c r="Y66" s="49">
        <f t="shared" si="11"/>
        <v>0</v>
      </c>
      <c r="Z66" s="49">
        <f t="shared" si="11"/>
        <v>0</v>
      </c>
      <c r="AA66" s="49">
        <f t="shared" si="11"/>
        <v>0</v>
      </c>
      <c r="AB66" s="36">
        <f t="shared" si="10"/>
        <v>0</v>
      </c>
      <c r="AC66" s="85" t="str">
        <f>CONCATENATE(IF(D66&gt;D65," * Initiated new on PrEP  for Age "&amp;D20&amp;" "&amp;D21&amp;" is more than Eligible for PrEP"&amp;CHAR(10),""),IF(E66&gt;E65," * Initiated new on PrEP  for Age "&amp;D20&amp;" "&amp;E21&amp;" is more than Eligible for PrEP"&amp;CHAR(10),""),IF(F66&gt;F65," * Initiated new on PrEP  for Age "&amp;F20&amp;" "&amp;F21&amp;" is more than Eligible for PrEP"&amp;CHAR(10),""),IF(G66&gt;G65," * Initiated new on PrEP  for Age "&amp;F20&amp;" "&amp;G21&amp;" is more than Eligible for PrEP"&amp;CHAR(10),""),IF(H66&gt;H65," * Initiated new on PrEP  for Age "&amp;H20&amp;" "&amp;H21&amp;" is more than Eligible for PrEP"&amp;CHAR(10),""),IF(I66&gt;I65," * Initiated new on PrEP  for Age "&amp;H20&amp;" "&amp;I21&amp;" is more than Eligible for PrEP"&amp;CHAR(10),""),IF(J66&gt;J65," * Initiated new on PrEP  for Age "&amp;J20&amp;" "&amp;J21&amp;" is more than Eligible for PrEP"&amp;CHAR(10),""),IF(K66&gt;K65," * Initiated new on PrEP  for Age "&amp;J20&amp;" "&amp;K21&amp;" is more than Eligible for PrEP"&amp;CHAR(10),""),IF(L66&gt;L65," * Initiated new on PrEP  for Age "&amp;L20&amp;" "&amp;L21&amp;" is more than Eligible for PrEP"&amp;CHAR(10),""),IF(M66&gt;M65," * Initiated new on PrEP  for Age "&amp;L20&amp;" "&amp;M21&amp;" is more than Eligible for PrEP"&amp;CHAR(10),""),IF(N66&gt;N65," * Initiated new on PrEP  for Age "&amp;N20&amp;" "&amp;N21&amp;" is more than Eligible for PrEP"&amp;CHAR(10),""),IF(O66&gt;O65," * Initiated new on PrEP  for Age "&amp;N20&amp;" "&amp;O21&amp;" is more than Eligible for PrEP"&amp;CHAR(10),""),IF(P66&gt;P65," * Initiated new on PrEP  for Age "&amp;P20&amp;" "&amp;P21&amp;" is more than Eligible for PrEP"&amp;CHAR(10),""),IF(Q66&gt;Q65," * Initiated new on PrEP  for Age "&amp;P20&amp;" "&amp;Q21&amp;" is more than Eligible for PrEP"&amp;CHAR(10),""),IF(R66&gt;R65," * Initiated new on PrEP  for Age "&amp;R20&amp;" "&amp;R21&amp;" is more than Eligible for PrEP"&amp;CHAR(10),""),IF(S66&gt;S65," * Initiated new on PrEP  for Age "&amp;R20&amp;" "&amp;S21&amp;" is more than Eligible for PrEP"&amp;CHAR(10),""),IF(T66&gt;T65," * Initiated new on PrEP  for Age "&amp;T20&amp;" "&amp;T21&amp;" is more than Eligible for PrEP"&amp;CHAR(10),""),IF(U66&gt;U65," * Initiated new on PrEP  for Age "&amp;T20&amp;" "&amp;U21&amp;" is more than Eligible for PrEP"&amp;CHAR(10),""),IF(V66&gt;V65," * Initiated new on PrEP  for Age "&amp;V20&amp;" "&amp;V21&amp;" is more than Eligible for PrEP"&amp;CHAR(10),""),IF(W66&gt;W65," * Initiated new on PrEP  for Age "&amp;V20&amp;" "&amp;W21&amp;" is more than Eligible for PrEP"&amp;CHAR(10),""),IF(X66&gt;X65," * Initiated new on PrEP  for Age "&amp;X20&amp;" "&amp;X21&amp;" is more than Eligible for PrEP"&amp;CHAR(10),""),IF(Y66&gt;Y65," * Initiated new on PrEP  for Age "&amp;X20&amp;" "&amp;Y21&amp;" is more than Eligible for PrEP"&amp;CHAR(10),""),IF(Z66&gt;Z65," * Initiated new on PrEP  for Age "&amp;Z20&amp;" "&amp;Z21&amp;" is more than Eligible for PrEP"&amp;CHAR(10),""),IF(AA66&gt;AA65," * Initiated new on PrEP  for Age "&amp;Z20&amp;" "&amp;AA21&amp;" is more than Eligible for PrEP"&amp;CHAR(10),""))</f>
        <v/>
      </c>
      <c r="AD66" s="643"/>
      <c r="AE66" s="83" t="str">
        <f>CONCATENATE(IF(AB66&lt;&gt;SUM(AB94,AB95)," * Total Sum of (PMTCT Discordant Couple + HTS Discordant Couple) is not equal to F02-03"&amp;CHAR(10),""))</f>
        <v/>
      </c>
      <c r="AF66" s="640"/>
      <c r="AG66" s="439">
        <v>65</v>
      </c>
    </row>
    <row r="67" spans="1:33" x14ac:dyDescent="0.85">
      <c r="A67" s="573" t="s">
        <v>584</v>
      </c>
      <c r="B67" s="275" t="s">
        <v>396</v>
      </c>
      <c r="C67" s="146" t="s">
        <v>585</v>
      </c>
      <c r="D67" s="127"/>
      <c r="E67" s="18"/>
      <c r="F67" s="18"/>
      <c r="G67" s="18"/>
      <c r="H67" s="18"/>
      <c r="I67" s="18"/>
      <c r="J67" s="19"/>
      <c r="K67" s="19"/>
      <c r="L67" s="19"/>
      <c r="M67" s="19"/>
      <c r="N67" s="19"/>
      <c r="O67" s="19"/>
      <c r="P67" s="19"/>
      <c r="Q67" s="19"/>
      <c r="R67" s="19"/>
      <c r="S67" s="19"/>
      <c r="T67" s="19"/>
      <c r="U67" s="19"/>
      <c r="V67" s="19"/>
      <c r="W67" s="19"/>
      <c r="X67" s="19"/>
      <c r="Y67" s="19"/>
      <c r="Z67" s="19"/>
      <c r="AA67" s="19"/>
      <c r="AB67" s="242">
        <f t="shared" ref="AB67:AB70" si="12">SUM(J67:AA67)</f>
        <v>0</v>
      </c>
      <c r="AC67" s="85"/>
      <c r="AD67" s="643"/>
      <c r="AE67" s="83"/>
      <c r="AF67" s="640"/>
      <c r="AG67" s="439">
        <v>66</v>
      </c>
    </row>
    <row r="68" spans="1:33" x14ac:dyDescent="0.85">
      <c r="A68" s="574"/>
      <c r="B68" s="275" t="s">
        <v>391</v>
      </c>
      <c r="C68" s="146" t="s">
        <v>586</v>
      </c>
      <c r="D68" s="127"/>
      <c r="E68" s="18"/>
      <c r="F68" s="18"/>
      <c r="G68" s="18"/>
      <c r="H68" s="18"/>
      <c r="I68" s="18"/>
      <c r="J68" s="19"/>
      <c r="K68" s="19"/>
      <c r="L68" s="19"/>
      <c r="M68" s="19"/>
      <c r="N68" s="19"/>
      <c r="O68" s="19"/>
      <c r="P68" s="19"/>
      <c r="Q68" s="19"/>
      <c r="R68" s="19"/>
      <c r="S68" s="19"/>
      <c r="T68" s="19"/>
      <c r="U68" s="19"/>
      <c r="V68" s="19"/>
      <c r="W68" s="19"/>
      <c r="X68" s="19"/>
      <c r="Y68" s="19"/>
      <c r="Z68" s="19"/>
      <c r="AA68" s="19"/>
      <c r="AB68" s="242">
        <f t="shared" si="12"/>
        <v>0</v>
      </c>
      <c r="AC68" s="85"/>
      <c r="AD68" s="643"/>
      <c r="AE68" s="83"/>
      <c r="AF68" s="640"/>
      <c r="AG68" s="439">
        <v>67</v>
      </c>
    </row>
    <row r="69" spans="1:33" x14ac:dyDescent="0.85">
      <c r="A69" s="574"/>
      <c r="B69" s="275" t="s">
        <v>392</v>
      </c>
      <c r="C69" s="146" t="s">
        <v>587</v>
      </c>
      <c r="D69" s="127"/>
      <c r="E69" s="18"/>
      <c r="F69" s="18"/>
      <c r="G69" s="18"/>
      <c r="H69" s="18"/>
      <c r="I69" s="18"/>
      <c r="J69" s="19"/>
      <c r="K69" s="19"/>
      <c r="L69" s="19"/>
      <c r="M69" s="19"/>
      <c r="N69" s="19"/>
      <c r="O69" s="19"/>
      <c r="P69" s="19"/>
      <c r="Q69" s="19"/>
      <c r="R69" s="19"/>
      <c r="S69" s="19"/>
      <c r="T69" s="19"/>
      <c r="U69" s="19"/>
      <c r="V69" s="19"/>
      <c r="W69" s="19"/>
      <c r="X69" s="19"/>
      <c r="Y69" s="19"/>
      <c r="Z69" s="19"/>
      <c r="AA69" s="19"/>
      <c r="AB69" s="242">
        <f t="shared" si="12"/>
        <v>0</v>
      </c>
      <c r="AC69" s="85"/>
      <c r="AD69" s="643"/>
      <c r="AE69" s="83"/>
      <c r="AF69" s="640"/>
      <c r="AG69" s="439">
        <v>68</v>
      </c>
    </row>
    <row r="70" spans="1:33" x14ac:dyDescent="0.85">
      <c r="A70" s="574"/>
      <c r="B70" s="275" t="s">
        <v>393</v>
      </c>
      <c r="C70" s="146" t="s">
        <v>588</v>
      </c>
      <c r="D70" s="127"/>
      <c r="E70" s="18"/>
      <c r="F70" s="18"/>
      <c r="G70" s="18"/>
      <c r="H70" s="18"/>
      <c r="I70" s="18"/>
      <c r="J70" s="19"/>
      <c r="K70" s="19"/>
      <c r="L70" s="19"/>
      <c r="M70" s="19"/>
      <c r="N70" s="19"/>
      <c r="O70" s="19"/>
      <c r="P70" s="19"/>
      <c r="Q70" s="19"/>
      <c r="R70" s="19"/>
      <c r="S70" s="19"/>
      <c r="T70" s="19"/>
      <c r="U70" s="19"/>
      <c r="V70" s="19"/>
      <c r="W70" s="19"/>
      <c r="X70" s="19"/>
      <c r="Y70" s="19"/>
      <c r="Z70" s="19"/>
      <c r="AA70" s="19"/>
      <c r="AB70" s="242">
        <f t="shared" si="12"/>
        <v>0</v>
      </c>
      <c r="AC70" s="85"/>
      <c r="AD70" s="643"/>
      <c r="AE70" s="83"/>
      <c r="AF70" s="640"/>
      <c r="AG70" s="439">
        <v>69</v>
      </c>
    </row>
    <row r="71" spans="1:33" x14ac:dyDescent="0.85">
      <c r="A71" s="574"/>
      <c r="B71" s="275" t="s">
        <v>394</v>
      </c>
      <c r="C71" s="146" t="s">
        <v>589</v>
      </c>
      <c r="D71" s="127"/>
      <c r="E71" s="18"/>
      <c r="F71" s="18"/>
      <c r="G71" s="18"/>
      <c r="H71" s="18"/>
      <c r="I71" s="18"/>
      <c r="J71" s="19"/>
      <c r="K71" s="19"/>
      <c r="L71" s="19"/>
      <c r="M71" s="19"/>
      <c r="N71" s="19"/>
      <c r="O71" s="19"/>
      <c r="P71" s="19"/>
      <c r="Q71" s="19"/>
      <c r="R71" s="19"/>
      <c r="S71" s="19"/>
      <c r="T71" s="19"/>
      <c r="U71" s="19"/>
      <c r="V71" s="19"/>
      <c r="W71" s="19"/>
      <c r="X71" s="19"/>
      <c r="Y71" s="19"/>
      <c r="Z71" s="19"/>
      <c r="AA71" s="19"/>
      <c r="AB71" s="37">
        <f>SUM(J71:AA71)</f>
        <v>0</v>
      </c>
      <c r="AC71" s="85"/>
      <c r="AD71" s="643"/>
      <c r="AE71" s="83"/>
      <c r="AF71" s="640"/>
      <c r="AG71" s="439">
        <v>70</v>
      </c>
    </row>
    <row r="72" spans="1:33" ht="31.3" thickBot="1" x14ac:dyDescent="0.9">
      <c r="A72" s="575"/>
      <c r="B72" s="281" t="s">
        <v>395</v>
      </c>
      <c r="C72" s="147" t="s">
        <v>590</v>
      </c>
      <c r="D72" s="143"/>
      <c r="E72" s="38"/>
      <c r="F72" s="38"/>
      <c r="G72" s="38"/>
      <c r="H72" s="38"/>
      <c r="I72" s="38"/>
      <c r="J72" s="39"/>
      <c r="K72" s="39"/>
      <c r="L72" s="39"/>
      <c r="M72" s="39"/>
      <c r="N72" s="39"/>
      <c r="O72" s="39"/>
      <c r="P72" s="39"/>
      <c r="Q72" s="39"/>
      <c r="R72" s="39"/>
      <c r="S72" s="39"/>
      <c r="T72" s="39"/>
      <c r="U72" s="39"/>
      <c r="V72" s="39"/>
      <c r="W72" s="39"/>
      <c r="X72" s="39"/>
      <c r="Y72" s="39"/>
      <c r="Z72" s="39"/>
      <c r="AA72" s="39"/>
      <c r="AB72" s="40">
        <f>SUM(J72:AA72)</f>
        <v>0</v>
      </c>
      <c r="AC72" s="85"/>
      <c r="AD72" s="643"/>
      <c r="AE72" s="83"/>
      <c r="AF72" s="640"/>
      <c r="AG72" s="439">
        <v>71</v>
      </c>
    </row>
    <row r="73" spans="1:33" x14ac:dyDescent="0.85">
      <c r="A73" s="702" t="s">
        <v>593</v>
      </c>
      <c r="B73" s="283" t="s">
        <v>563</v>
      </c>
      <c r="C73" s="134" t="s">
        <v>353</v>
      </c>
      <c r="D73" s="141"/>
      <c r="E73" s="34"/>
      <c r="F73" s="34"/>
      <c r="G73" s="34"/>
      <c r="H73" s="34"/>
      <c r="I73" s="34"/>
      <c r="J73" s="35"/>
      <c r="K73" s="35"/>
      <c r="L73" s="35"/>
      <c r="M73" s="35"/>
      <c r="N73" s="35"/>
      <c r="O73" s="35"/>
      <c r="P73" s="35"/>
      <c r="Q73" s="35"/>
      <c r="R73" s="35"/>
      <c r="S73" s="35"/>
      <c r="T73" s="35"/>
      <c r="U73" s="35"/>
      <c r="V73" s="35"/>
      <c r="W73" s="35"/>
      <c r="X73" s="35"/>
      <c r="Y73" s="35"/>
      <c r="Z73" s="35"/>
      <c r="AA73" s="35"/>
      <c r="AB73" s="36">
        <f>SUM(J73:AA73)</f>
        <v>0</v>
      </c>
      <c r="AC73" s="94" t="str">
        <f>CONCATENATE(IF(D77&lt;D73," * Continuing (Refills) Prep  for Age "&amp;D60&amp;" "&amp;D61&amp;" is more than Current on Prep"&amp;CHAR(10),""),IF(E77&lt;E73," * Continuing (Refills) Prep  for Age "&amp;D60&amp;" "&amp;E61&amp;" is more than Current on Prep"&amp;CHAR(10),""),IF(F77&lt;F73," * Continuing (Refills) Prep  for Age "&amp;F60&amp;" "&amp;F61&amp;" is more than Current on Prep"&amp;CHAR(10),""),IF(G77&lt;G73," * Continuing (Refills) Prep  for Age "&amp;F60&amp;" "&amp;G61&amp;" is more than Current on Prep"&amp;CHAR(10),""),IF(H77&lt;H73," * Continuing (Refills) Prep  for Age "&amp;H60&amp;" "&amp;H61&amp;" is more than Current on Prep"&amp;CHAR(10),""),IF(I77&lt;I73," * Continuing (Refills) Prep  for Age "&amp;H60&amp;" "&amp;I61&amp;" is more than Current on Prep"&amp;CHAR(10),""),IF(J77&lt;J73," * Continuing (Refills) Prep  for Age "&amp;J60&amp;" "&amp;J61&amp;" is more than Current on Prep"&amp;CHAR(10),""),IF(K77&lt;K73," * Continuing (Refills) Prep  for Age "&amp;J60&amp;" "&amp;K61&amp;" is more than Current on Prep"&amp;CHAR(10),""),IF(L77&lt;L73," * Continuing (Refills) Prep  for Age "&amp;L60&amp;" "&amp;L61&amp;" is more than Current on Prep"&amp;CHAR(10),""),IF(M77&lt;M73," * Continuing (Refills) Prep  for Age "&amp;L60&amp;" "&amp;M61&amp;" is more than Current on Prep"&amp;CHAR(10),""),IF(N77&lt;N73," * Continuing (Refills) Prep  for Age "&amp;N60&amp;" "&amp;N61&amp;" is more than Current on Prep"&amp;CHAR(10),""),IF(O77&lt;O73," * Continuing (Refills) Prep  for Age "&amp;N60&amp;" "&amp;O61&amp;" is more than Current on Prep"&amp;CHAR(10),""),IF(P77&lt;P73," * Continuing (Refills) Prep  for Age "&amp;P60&amp;" "&amp;P61&amp;" is more than Current on Prep"&amp;CHAR(10),""),IF(Q77&lt;Q73," * Continuing (Refills) Prep  for Age "&amp;P60&amp;" "&amp;Q61&amp;" is more than Current on Prep"&amp;CHAR(10),""),IF(R77&lt;R73," * Continuing (Refills) Prep  for Age "&amp;R60&amp;" "&amp;R61&amp;" is more than Current on Prep"&amp;CHAR(10),""),IF(S77&lt;S73," * Continuing (Refills) Prep  for Age "&amp;R60&amp;" "&amp;S61&amp;" is more than Current on Prep"&amp;CHAR(10),""),IF(T77&lt;T73," * Continuing (Refills) Prep  for Age "&amp;T60&amp;" "&amp;T61&amp;" is more than Current on Prep"&amp;CHAR(10),""),IF(U77&lt;U73," * Continuing (Refills) Prep  for Age "&amp;T60&amp;" "&amp;U61&amp;" is more than Current on Prep"&amp;CHAR(10),""),IF(V77&lt;V73," * Continuing (Refills) Prep  for Age "&amp;V60&amp;" "&amp;V61&amp;" is more than Current on Prep"&amp;CHAR(10),""),IF(W77&lt;W73," * Continuing (Refills) Prep  for Age "&amp;V60&amp;" "&amp;W61&amp;" is more than Current on Prep"&amp;CHAR(10),""),IF(X77&lt;X73," * Continuing (Refills) Prep  for Age "&amp;X60&amp;" "&amp;X61&amp;" is more than Current on Prep"&amp;CHAR(10),""),IF(Y77&lt;Y73," * Continuing (Refills) Prep  for Age "&amp;X60&amp;" "&amp;Y61&amp;" is more than Current on Prep"&amp;CHAR(10),""),IF(Z77&lt;Z73," * Continuing (Refills) Prep  for Age "&amp;Z60&amp;" "&amp;Z61&amp;" is more than Current on Prep"&amp;CHAR(10),""),IF(AA77&lt;AA73," * Continuing (Refills) Prep  for Age "&amp;Z60&amp;" "&amp;AA61&amp;" is more than Current on Prep"&amp;CHAR(10),""))</f>
        <v/>
      </c>
      <c r="AD73" s="643"/>
      <c r="AE73" s="83"/>
      <c r="AF73" s="640"/>
      <c r="AG73" s="439">
        <v>72</v>
      </c>
    </row>
    <row r="74" spans="1:33" x14ac:dyDescent="0.85">
      <c r="A74" s="703"/>
      <c r="B74" s="275" t="s">
        <v>567</v>
      </c>
      <c r="C74" s="146" t="s">
        <v>569</v>
      </c>
      <c r="D74" s="127"/>
      <c r="E74" s="18"/>
      <c r="F74" s="18"/>
      <c r="G74" s="18"/>
      <c r="H74" s="18"/>
      <c r="I74" s="18"/>
      <c r="J74" s="19"/>
      <c r="K74" s="19"/>
      <c r="L74" s="19"/>
      <c r="M74" s="19"/>
      <c r="N74" s="19"/>
      <c r="O74" s="19"/>
      <c r="P74" s="19"/>
      <c r="Q74" s="19"/>
      <c r="R74" s="19"/>
      <c r="S74" s="19"/>
      <c r="T74" s="19"/>
      <c r="U74" s="19"/>
      <c r="V74" s="19"/>
      <c r="W74" s="19"/>
      <c r="X74" s="19"/>
      <c r="Y74" s="19"/>
      <c r="Z74" s="19"/>
      <c r="AA74" s="19"/>
      <c r="AB74" s="37">
        <f>SUM(J74:AA74)</f>
        <v>0</v>
      </c>
      <c r="AC74" s="85"/>
      <c r="AD74" s="643"/>
      <c r="AE74" s="83"/>
      <c r="AF74" s="640"/>
      <c r="AG74" s="439">
        <v>73</v>
      </c>
    </row>
    <row r="75" spans="1:33" x14ac:dyDescent="0.85">
      <c r="A75" s="703"/>
      <c r="B75" s="275" t="s">
        <v>568</v>
      </c>
      <c r="C75" s="146" t="s">
        <v>570</v>
      </c>
      <c r="D75" s="127"/>
      <c r="E75" s="18"/>
      <c r="F75" s="18"/>
      <c r="G75" s="18"/>
      <c r="H75" s="18"/>
      <c r="I75" s="18"/>
      <c r="J75" s="19"/>
      <c r="K75" s="19"/>
      <c r="L75" s="19"/>
      <c r="M75" s="19"/>
      <c r="N75" s="19"/>
      <c r="O75" s="19"/>
      <c r="P75" s="19"/>
      <c r="Q75" s="19"/>
      <c r="R75" s="19"/>
      <c r="S75" s="19"/>
      <c r="T75" s="19"/>
      <c r="U75" s="19"/>
      <c r="V75" s="19"/>
      <c r="W75" s="19"/>
      <c r="X75" s="19"/>
      <c r="Y75" s="19"/>
      <c r="Z75" s="19"/>
      <c r="AA75" s="19"/>
      <c r="AB75" s="242">
        <f t="shared" ref="AB75:AB76" si="13">SUM(J75:AA75)</f>
        <v>0</v>
      </c>
      <c r="AC75" s="85"/>
      <c r="AD75" s="643"/>
      <c r="AE75" s="83"/>
      <c r="AF75" s="640"/>
      <c r="AG75" s="439">
        <v>74</v>
      </c>
    </row>
    <row r="76" spans="1:33" ht="31.3" thickBot="1" x14ac:dyDescent="0.9">
      <c r="A76" s="704"/>
      <c r="B76" s="281" t="s">
        <v>665</v>
      </c>
      <c r="C76" s="138" t="s">
        <v>190</v>
      </c>
      <c r="D76" s="143"/>
      <c r="E76" s="38"/>
      <c r="F76" s="38"/>
      <c r="G76" s="38"/>
      <c r="H76" s="38"/>
      <c r="I76" s="38"/>
      <c r="J76" s="39"/>
      <c r="K76" s="39"/>
      <c r="L76" s="39"/>
      <c r="M76" s="39"/>
      <c r="N76" s="39"/>
      <c r="O76" s="39"/>
      <c r="P76" s="39"/>
      <c r="Q76" s="39"/>
      <c r="R76" s="39"/>
      <c r="S76" s="39"/>
      <c r="T76" s="39"/>
      <c r="U76" s="39"/>
      <c r="V76" s="39"/>
      <c r="W76" s="39"/>
      <c r="X76" s="39"/>
      <c r="Y76" s="39"/>
      <c r="Z76" s="39"/>
      <c r="AA76" s="39"/>
      <c r="AB76" s="242">
        <f t="shared" si="13"/>
        <v>0</v>
      </c>
      <c r="AC76" s="82" t="str">
        <f>CONCATENATE(IF(D77&lt;D76," * Restarting Prep For age "&amp;$D$20&amp;" "&amp;$D$21&amp;" is more than Current On Prep"&amp;CHAR(10),""),IF(E77&lt;E76," * Restarting Prep For age "&amp;$D$20&amp;" "&amp;$E$21&amp;" is more than Current On Prep"&amp;CHAR(10),""),IF(F77&lt;F76," * Restarting Prep For age "&amp;$F$20&amp;" "&amp;$F$21&amp;" is more than Current On Prep"&amp;CHAR(10),""),IF(G77&lt;G76," * Restarting Prep For age "&amp;$F$20&amp;" "&amp;$G$21&amp;" is more than Current On Prep"&amp;CHAR(10),""),IF(H77&lt;H76," * Restarting Prep For age "&amp;$H$20&amp;" "&amp;$H$21&amp;" is more than Current On Prep"&amp;CHAR(10),""),IF(I77&lt;I76," * Restarting Prep For age "&amp;$H$20&amp;" "&amp;$I$21&amp;" is more than Current On Prep"&amp;CHAR(10),""),IF(J77&lt;J76," * Restarting Prep For age "&amp;$J$20&amp;" "&amp;$J$21&amp;" is more than Current On Prep"&amp;CHAR(10),""),IF(K77&lt;K76," * Restarting Prep For age "&amp;$J$20&amp;" "&amp;$K$21&amp;" is more than Current On Prep"&amp;CHAR(10),""),IF(L77&lt;L76," * Restarting Prep For age "&amp;$L$20&amp;" "&amp;$L$21&amp;" is more than Current On Prep"&amp;CHAR(10),""),IF(M77&lt;M76," * Restarting Prep For age "&amp;$L$20&amp;" "&amp;$M$21&amp;" is more than Current On Prep"&amp;CHAR(10),""),IF(N77&lt;N76," * Restarting Prep For age "&amp;$N$20&amp;" "&amp;$N$21&amp;" is more than Current On Prep"&amp;CHAR(10),""),IF(O77&lt;O76," * Restarting Prep For age "&amp;$N$20&amp;" "&amp;$O$21&amp;" is more than Current On Prep"&amp;CHAR(10),""),IF(P77&lt;P76," * Restarting Prep For age "&amp;$P$20&amp;" "&amp;$P$21&amp;" is more than Current On Prep"&amp;CHAR(10),""),IF(Q77&lt;Q76," * Restarting Prep For age "&amp;$P$20&amp;" "&amp;$Q$21&amp;" is more than Current On Prep"&amp;CHAR(10),""),IF(R77&lt;R76," * Restarting Prep For age "&amp;$R$20&amp;" "&amp;$R$21&amp;" is more than Current On Prep"&amp;CHAR(10),""),IF(S77&lt;S76," * Restarting Prep For age "&amp;$R$20&amp;" "&amp;$S$21&amp;" is more than Current On Prep"&amp;CHAR(10),""),IF(T77&lt;T76," * Restarting Prep For age "&amp;$T$20&amp;" "&amp;$T$21&amp;" is more than Current On Prep"&amp;CHAR(10),""),IF(U77&lt;U76," * Restarting Prep For age "&amp;$T$20&amp;" "&amp;$U$21&amp;" is more than Current On Prep"&amp;CHAR(10),""),IF(V77&lt;V76," * Restarting Prep For age "&amp;$V$20&amp;" "&amp;$V$21&amp;" is more than Current On Prep"&amp;CHAR(10),""),IF(W77&lt;W76," * Restarting Prep For age "&amp;$V$20&amp;" "&amp;$W$21&amp;" is more than Current On Prep"&amp;CHAR(10),""),IF(X77&lt;X76," * Restarting Prep For age "&amp;$X$20&amp;" "&amp;$X$21&amp;" is more than Current On Prep"&amp;CHAR(10),""),IF(Y77&lt;Y76," * Restarting Prep For age "&amp;$X$20&amp;" "&amp;$Y$21&amp;" is more than Current On Prep"&amp;CHAR(10),""),IF(Z77&lt;Z76," * Restarting Prep For age "&amp;$Z$20&amp;" "&amp;$Z$21&amp;" is more than Current On Prep"&amp;CHAR(10),""),IF(AA77&lt;AA76," * Restarting Prep For age "&amp;$Z$20&amp;" "&amp;$AA$21&amp;" is more than Current On Prep"&amp;CHAR(10),""))</f>
        <v/>
      </c>
      <c r="AD76" s="643"/>
      <c r="AE76" s="83"/>
      <c r="AF76" s="640"/>
      <c r="AG76" s="439">
        <v>75</v>
      </c>
    </row>
    <row r="77" spans="1:33" ht="63.9" thickBot="1" x14ac:dyDescent="0.9">
      <c r="A77" s="457" t="s">
        <v>872</v>
      </c>
      <c r="B77" s="366" t="s">
        <v>946</v>
      </c>
      <c r="C77" s="129" t="s">
        <v>572</v>
      </c>
      <c r="D77" s="141"/>
      <c r="E77" s="34"/>
      <c r="F77" s="34"/>
      <c r="G77" s="34"/>
      <c r="H77" s="34"/>
      <c r="I77" s="34"/>
      <c r="J77" s="49">
        <f>SUM(J78:J83)</f>
        <v>0</v>
      </c>
      <c r="K77" s="49">
        <f t="shared" ref="K77:AA77" si="14">SUM(K78:K83)</f>
        <v>0</v>
      </c>
      <c r="L77" s="49">
        <f t="shared" si="14"/>
        <v>0</v>
      </c>
      <c r="M77" s="49">
        <f t="shared" si="14"/>
        <v>0</v>
      </c>
      <c r="N77" s="49">
        <f t="shared" si="14"/>
        <v>0</v>
      </c>
      <c r="O77" s="49">
        <f t="shared" si="14"/>
        <v>0</v>
      </c>
      <c r="P77" s="49">
        <f t="shared" si="14"/>
        <v>0</v>
      </c>
      <c r="Q77" s="49">
        <f t="shared" si="14"/>
        <v>0</v>
      </c>
      <c r="R77" s="49">
        <f t="shared" si="14"/>
        <v>0</v>
      </c>
      <c r="S77" s="49">
        <f t="shared" si="14"/>
        <v>0</v>
      </c>
      <c r="T77" s="49">
        <f t="shared" si="14"/>
        <v>0</v>
      </c>
      <c r="U77" s="49">
        <f t="shared" si="14"/>
        <v>0</v>
      </c>
      <c r="V77" s="49">
        <f t="shared" si="14"/>
        <v>0</v>
      </c>
      <c r="W77" s="49">
        <f t="shared" si="14"/>
        <v>0</v>
      </c>
      <c r="X77" s="49">
        <f t="shared" si="14"/>
        <v>0</v>
      </c>
      <c r="Y77" s="49">
        <f t="shared" si="14"/>
        <v>0</v>
      </c>
      <c r="Z77" s="49">
        <f t="shared" si="14"/>
        <v>0</v>
      </c>
      <c r="AA77" s="49">
        <f t="shared" si="14"/>
        <v>0</v>
      </c>
      <c r="AB77" s="435">
        <f>SUM(J77:AA77)</f>
        <v>0</v>
      </c>
      <c r="AC77" s="82" t="str">
        <f>CONCATENATE(IF(D77&lt;D66," * Initiated (new) on PrEP For Age  "&amp;$D$20&amp;" "&amp;$D$21&amp;" is more than Current on PREP"&amp;CHAR(10),""),IF(E77&lt;E66," * Initiated (new) on PrEP For Age  "&amp;$D$20&amp;" "&amp;$E$21&amp;" is more than Current on PREP"&amp;CHAR(10),""),IF(F77&lt;F66," * Initiated (new) on PrEP For Age  "&amp;$F$20&amp;" "&amp;$F$21&amp;" is more than Current on PREP"&amp;CHAR(10),""),IF(G77&lt;G66," * Initiated (new) on PrEP For Age  "&amp;$F$20&amp;" "&amp;$G$21&amp;" is more than Current on PREP"&amp;CHAR(10),""),IF(H77&lt;H66," * Initiated (new) on PrEP For Age  "&amp;$H$20&amp;" "&amp;$H$21&amp;" is more than Current on PREP"&amp;CHAR(10),""),IF(I77&lt;I66," * Initiated (new) on PrEP For Age  "&amp;$H$20&amp;" "&amp;$I$21&amp;" is more than Current on PREP"&amp;CHAR(10),""),IF(J77&lt;J66," * Initiated (new) on PrEP For Age  "&amp;$J$20&amp;" "&amp;$J$21&amp;" is more than Current on PREP"&amp;CHAR(10),""),IF(K77&lt;K66," * Initiated (new) on PrEP For Age  "&amp;$J$20&amp;" "&amp;$K$21&amp;" is more than Current on PREP"&amp;CHAR(10),""),IF(L77&lt;L66," * Initiated (new) on PrEP For Age  "&amp;$L$20&amp;" "&amp;$L$21&amp;" is more than Current on PREP"&amp;CHAR(10),""),IF(M77&lt;M66," * Initiated (new) on PrEP For Age  "&amp;$L$20&amp;" "&amp;$M$21&amp;" is more than Current on PREP"&amp;CHAR(10),""),IF(N77&lt;N66," * Initiated (new) on PrEP For Age  "&amp;$N$20&amp;" "&amp;$N$21&amp;" is more than Current on PREP"&amp;CHAR(10),""),IF(O77&lt;O66," * Initiated (new) on PrEP For Age  "&amp;$N$20&amp;" "&amp;$O$21&amp;" is more than Current on PREP"&amp;CHAR(10),""),IF(P77&lt;P66," * Initiated (new) on PrEP For Age  "&amp;$P$20&amp;" "&amp;$P$21&amp;" is more than Current on PREP"&amp;CHAR(10),""),IF(Q77&lt;Q66," * Initiated (new) on PrEP For Age  "&amp;$P$20&amp;" "&amp;$Q$21&amp;" is more than Current on PREP"&amp;CHAR(10),""),IF(R77&lt;R66," * Initiated (new) on PrEP For Age  "&amp;$R$20&amp;" "&amp;$R$21&amp;" is more than Current on PREP"&amp;CHAR(10),""),IF(S77&lt;S66," * Initiated (new) on PrEP For Age  "&amp;$R$20&amp;" "&amp;$S$21&amp;" is more than Current on PREP"&amp;CHAR(10),""),IF(T77&lt;T66," * Initiated (new) on PrEP For Age  "&amp;$T$20&amp;" "&amp;$T$21&amp;" is more than Current on PREP"&amp;CHAR(10),""),IF(U77&lt;U66," * Initiated (new) on PrEP For Age  "&amp;$T$20&amp;" "&amp;$U$21&amp;" is more than Current on PREP"&amp;CHAR(10),""),IF(V77&lt;V66," * Initiated (new) on PrEP For Age  "&amp;$V$20&amp;" "&amp;$V$21&amp;" is more than Current on PREP"&amp;CHAR(10),""),IF(W77&lt;W66," * Initiated (new) on PrEP For Age  "&amp;$V$20&amp;" "&amp;$W$21&amp;" is more than Current on PREP"&amp;CHAR(10),""),IF(X77&lt;X66," * Initiated (new) on PrEP For Age  "&amp;$X$20&amp;" "&amp;$X$21&amp;" is more than Current on PREP"&amp;CHAR(10),""),IF(Y77&lt;Y66," * Initiated (new) on PrEP For Age  "&amp;$X$20&amp;" "&amp;$Y$21&amp;" is more than Current on PREP"&amp;CHAR(10),""),IF(Z77&lt;Z66," * Initiated (new) on PrEP For Age  "&amp;$Z$20&amp;" "&amp;$Z$21&amp;" is more than Current on PREP"&amp;CHAR(10),""),IF(AA77&lt;AA66," * Initiated (new) on PrEP For Age  "&amp;$Z$20&amp;" "&amp;$AA$21&amp;" is more than Current on PREP"&amp;CHAR(10),""))</f>
        <v/>
      </c>
      <c r="AD77" s="643"/>
      <c r="AE77" s="83"/>
      <c r="AF77" s="640"/>
      <c r="AG77" s="439">
        <v>76</v>
      </c>
    </row>
    <row r="78" spans="1:33" x14ac:dyDescent="0.85">
      <c r="A78" s="573" t="s">
        <v>583</v>
      </c>
      <c r="B78" s="275" t="s">
        <v>396</v>
      </c>
      <c r="C78" s="146" t="s">
        <v>594</v>
      </c>
      <c r="D78" s="127"/>
      <c r="E78" s="18"/>
      <c r="F78" s="18"/>
      <c r="G78" s="18"/>
      <c r="H78" s="18"/>
      <c r="I78" s="18"/>
      <c r="J78" s="19"/>
      <c r="K78" s="19"/>
      <c r="L78" s="19"/>
      <c r="M78" s="19"/>
      <c r="N78" s="19"/>
      <c r="O78" s="19"/>
      <c r="P78" s="19"/>
      <c r="Q78" s="19"/>
      <c r="R78" s="19"/>
      <c r="S78" s="19"/>
      <c r="T78" s="19"/>
      <c r="U78" s="19"/>
      <c r="V78" s="19"/>
      <c r="W78" s="19"/>
      <c r="X78" s="19"/>
      <c r="Y78" s="19"/>
      <c r="Z78" s="19"/>
      <c r="AA78" s="19"/>
      <c r="AB78" s="37">
        <f>SUM(J78:AA78)</f>
        <v>0</v>
      </c>
      <c r="AC78" s="85"/>
      <c r="AD78" s="643"/>
      <c r="AE78" s="83"/>
      <c r="AF78" s="640"/>
      <c r="AG78" s="439">
        <v>77</v>
      </c>
    </row>
    <row r="79" spans="1:33" x14ac:dyDescent="0.85">
      <c r="A79" s="574"/>
      <c r="B79" s="275" t="s">
        <v>391</v>
      </c>
      <c r="C79" s="146" t="s">
        <v>595</v>
      </c>
      <c r="D79" s="127"/>
      <c r="E79" s="18"/>
      <c r="F79" s="18"/>
      <c r="G79" s="18"/>
      <c r="H79" s="18"/>
      <c r="I79" s="18"/>
      <c r="J79" s="19"/>
      <c r="K79" s="19"/>
      <c r="L79" s="19"/>
      <c r="M79" s="19"/>
      <c r="N79" s="19"/>
      <c r="O79" s="19"/>
      <c r="P79" s="19"/>
      <c r="Q79" s="19"/>
      <c r="R79" s="19"/>
      <c r="S79" s="19"/>
      <c r="T79" s="19"/>
      <c r="U79" s="19"/>
      <c r="V79" s="19"/>
      <c r="W79" s="19"/>
      <c r="X79" s="19"/>
      <c r="Y79" s="19"/>
      <c r="Z79" s="19"/>
      <c r="AA79" s="19"/>
      <c r="AB79" s="37">
        <f>SUM(J79:AA79)</f>
        <v>0</v>
      </c>
      <c r="AC79" s="85"/>
      <c r="AD79" s="643"/>
      <c r="AE79" s="83"/>
      <c r="AF79" s="640"/>
      <c r="AG79" s="439">
        <v>78</v>
      </c>
    </row>
    <row r="80" spans="1:33" x14ac:dyDescent="0.85">
      <c r="A80" s="574"/>
      <c r="B80" s="275" t="s">
        <v>392</v>
      </c>
      <c r="C80" s="146" t="s">
        <v>596</v>
      </c>
      <c r="D80" s="127"/>
      <c r="E80" s="18"/>
      <c r="F80" s="18"/>
      <c r="G80" s="18"/>
      <c r="H80" s="18"/>
      <c r="I80" s="18"/>
      <c r="J80" s="19"/>
      <c r="K80" s="19"/>
      <c r="L80" s="19"/>
      <c r="M80" s="19"/>
      <c r="N80" s="19"/>
      <c r="O80" s="19"/>
      <c r="P80" s="19"/>
      <c r="Q80" s="19"/>
      <c r="R80" s="19"/>
      <c r="S80" s="19"/>
      <c r="T80" s="19"/>
      <c r="U80" s="19"/>
      <c r="V80" s="19"/>
      <c r="W80" s="19"/>
      <c r="X80" s="19"/>
      <c r="Y80" s="19"/>
      <c r="Z80" s="19"/>
      <c r="AA80" s="19"/>
      <c r="AB80" s="242">
        <f t="shared" ref="AB80:AB83" si="15">SUM(J80:AA80)</f>
        <v>0</v>
      </c>
      <c r="AC80" s="85"/>
      <c r="AD80" s="643"/>
      <c r="AE80" s="83"/>
      <c r="AF80" s="640"/>
      <c r="AG80" s="439">
        <v>79</v>
      </c>
    </row>
    <row r="81" spans="1:33" x14ac:dyDescent="0.85">
      <c r="A81" s="574"/>
      <c r="B81" s="275" t="s">
        <v>393</v>
      </c>
      <c r="C81" s="146" t="s">
        <v>597</v>
      </c>
      <c r="D81" s="127"/>
      <c r="E81" s="18"/>
      <c r="F81" s="18"/>
      <c r="G81" s="18"/>
      <c r="H81" s="18"/>
      <c r="I81" s="18"/>
      <c r="J81" s="19"/>
      <c r="K81" s="19"/>
      <c r="L81" s="19"/>
      <c r="M81" s="19"/>
      <c r="N81" s="19"/>
      <c r="O81" s="19"/>
      <c r="P81" s="19"/>
      <c r="Q81" s="19"/>
      <c r="R81" s="19"/>
      <c r="S81" s="19"/>
      <c r="T81" s="19"/>
      <c r="U81" s="19"/>
      <c r="V81" s="19"/>
      <c r="W81" s="19"/>
      <c r="X81" s="19"/>
      <c r="Y81" s="19"/>
      <c r="Z81" s="19"/>
      <c r="AA81" s="19"/>
      <c r="AB81" s="242">
        <f t="shared" si="15"/>
        <v>0</v>
      </c>
      <c r="AC81" s="85"/>
      <c r="AD81" s="643"/>
      <c r="AE81" s="83"/>
      <c r="AF81" s="640"/>
      <c r="AG81" s="439">
        <v>80</v>
      </c>
    </row>
    <row r="82" spans="1:33" x14ac:dyDescent="0.85">
      <c r="A82" s="574"/>
      <c r="B82" s="275" t="s">
        <v>394</v>
      </c>
      <c r="C82" s="146" t="s">
        <v>598</v>
      </c>
      <c r="D82" s="127"/>
      <c r="E82" s="18"/>
      <c r="F82" s="18"/>
      <c r="G82" s="18"/>
      <c r="H82" s="18"/>
      <c r="I82" s="18"/>
      <c r="J82" s="19"/>
      <c r="K82" s="19"/>
      <c r="L82" s="19"/>
      <c r="M82" s="19"/>
      <c r="N82" s="19"/>
      <c r="O82" s="19"/>
      <c r="P82" s="19"/>
      <c r="Q82" s="19"/>
      <c r="R82" s="19"/>
      <c r="S82" s="19"/>
      <c r="T82" s="19"/>
      <c r="U82" s="19"/>
      <c r="V82" s="19"/>
      <c r="W82" s="19"/>
      <c r="X82" s="19"/>
      <c r="Y82" s="19"/>
      <c r="Z82" s="19"/>
      <c r="AA82" s="19"/>
      <c r="AB82" s="242">
        <f t="shared" si="15"/>
        <v>0</v>
      </c>
      <c r="AC82" s="85"/>
      <c r="AD82" s="643"/>
      <c r="AE82" s="83"/>
      <c r="AF82" s="640"/>
      <c r="AG82" s="439">
        <v>81</v>
      </c>
    </row>
    <row r="83" spans="1:33" ht="31.3" thickBot="1" x14ac:dyDescent="0.9">
      <c r="A83" s="575"/>
      <c r="B83" s="281" t="s">
        <v>395</v>
      </c>
      <c r="C83" s="147" t="s">
        <v>599</v>
      </c>
      <c r="D83" s="278"/>
      <c r="E83" s="246"/>
      <c r="F83" s="246"/>
      <c r="G83" s="246"/>
      <c r="H83" s="246"/>
      <c r="I83" s="246"/>
      <c r="J83" s="247"/>
      <c r="K83" s="247"/>
      <c r="L83" s="247"/>
      <c r="M83" s="247"/>
      <c r="N83" s="247"/>
      <c r="O83" s="247"/>
      <c r="P83" s="247"/>
      <c r="Q83" s="247"/>
      <c r="R83" s="247"/>
      <c r="S83" s="247"/>
      <c r="T83" s="247"/>
      <c r="U83" s="247"/>
      <c r="V83" s="247"/>
      <c r="W83" s="247"/>
      <c r="X83" s="247"/>
      <c r="Y83" s="247"/>
      <c r="Z83" s="247"/>
      <c r="AA83" s="247"/>
      <c r="AB83" s="258">
        <f t="shared" si="15"/>
        <v>0</v>
      </c>
      <c r="AC83" s="85"/>
      <c r="AD83" s="643"/>
      <c r="AE83" s="83"/>
      <c r="AF83" s="640"/>
      <c r="AG83" s="439">
        <v>82</v>
      </c>
    </row>
    <row r="84" spans="1:33" x14ac:dyDescent="0.85">
      <c r="A84" s="565" t="s">
        <v>28</v>
      </c>
      <c r="B84" s="274" t="s">
        <v>666</v>
      </c>
      <c r="C84" s="148" t="s">
        <v>192</v>
      </c>
      <c r="D84" s="344"/>
      <c r="E84" s="239"/>
      <c r="F84" s="239"/>
      <c r="G84" s="239"/>
      <c r="H84" s="239"/>
      <c r="I84" s="239"/>
      <c r="J84" s="240"/>
      <c r="K84" s="240"/>
      <c r="L84" s="240"/>
      <c r="M84" s="240"/>
      <c r="N84" s="240"/>
      <c r="O84" s="240"/>
      <c r="P84" s="240"/>
      <c r="Q84" s="240"/>
      <c r="R84" s="240"/>
      <c r="S84" s="240"/>
      <c r="T84" s="240"/>
      <c r="U84" s="240"/>
      <c r="V84" s="240"/>
      <c r="W84" s="240"/>
      <c r="X84" s="240"/>
      <c r="Y84" s="240"/>
      <c r="Z84" s="240"/>
      <c r="AA84" s="240"/>
      <c r="AB84" s="241">
        <f t="shared" si="10"/>
        <v>0</v>
      </c>
      <c r="AC84" s="634" t="str">
        <f>CONCATENATE(IF(D85&gt;D84," * F02-07 for Age "&amp;D20&amp;" "&amp;D21&amp;" is more than F02-06"&amp;CHAR(10),""),IF(E85&gt;E84," * F02-07 for Age "&amp;D20&amp;" "&amp;E21&amp;" is more than F02-06"&amp;CHAR(10),""),IF(F85&gt;F84," * F02-07 for Age "&amp;F20&amp;" "&amp;F21&amp;" is more than F02-06"&amp;CHAR(10),""),IF(G85&gt;G84," * F02-07 for Age "&amp;F20&amp;" "&amp;G21&amp;" is more than F02-06"&amp;CHAR(10),""),IF(H85&gt;H84," * F02-07 for Age "&amp;H20&amp;" "&amp;H21&amp;" is more than F02-06"&amp;CHAR(10),""),IF(I85&gt;I84," * F02-07 for Age "&amp;H20&amp;" "&amp;I21&amp;" is more than F02-06"&amp;CHAR(10),""),IF(J85&gt;J84," * F02-07 for Age "&amp;J20&amp;" "&amp;J21&amp;" is more than F02-06"&amp;CHAR(10),""),IF(K85&gt;K84," * F02-07 for Age "&amp;J20&amp;" "&amp;K21&amp;" is more than F02-06"&amp;CHAR(10),""),IF(L85&gt;L84," * F02-07 for Age "&amp;L20&amp;" "&amp;L21&amp;" is more than F02-06"&amp;CHAR(10),""),IF(M85&gt;M84," * F02-07 for Age "&amp;L20&amp;" "&amp;M21&amp;" is more than F02-06"&amp;CHAR(10),""),IF(N85&gt;N84," * F02-07 for Age "&amp;N20&amp;" "&amp;N21&amp;" is more than F02-06"&amp;CHAR(10),""),IF(O85&gt;O84," * F02-07 for Age "&amp;N20&amp;" "&amp;O21&amp;" is more than F02-06"&amp;CHAR(10),""),IF(P85&gt;P84," * F02-07 for Age "&amp;P20&amp;" "&amp;P21&amp;" is more than F02-06"&amp;CHAR(10),""),IF(Q85&gt;Q84," * F02-07 for Age "&amp;P20&amp;" "&amp;Q21&amp;" is more than F02-06"&amp;CHAR(10),""),IF(R85&gt;R84," * F02-07 for Age "&amp;R20&amp;" "&amp;R21&amp;" is more than F02-06"&amp;CHAR(10),""),IF(S85&gt;S84," * F02-07 for Age "&amp;R20&amp;" "&amp;S21&amp;" is more than F02-06"&amp;CHAR(10),""),IF(T85&gt;T84," * F02-07 for Age "&amp;T20&amp;" "&amp;T21&amp;" is more than F02-06"&amp;CHAR(10),""),IF(U85&gt;U84," * F02-07 for Age "&amp;T20&amp;" "&amp;U21&amp;" is more than F02-06"&amp;CHAR(10),""),IF(V85&gt;V84," * F02-07 for Age "&amp;V20&amp;" "&amp;V21&amp;" is more than F02-06"&amp;CHAR(10),""),IF(W85&gt;W84," * F02-07 for Age "&amp;V20&amp;" "&amp;W21&amp;" is more than F02-06"&amp;CHAR(10),""),IF(X85&gt;X84," * F02-07 for Age "&amp;X20&amp;" "&amp;X21&amp;" is more than F02-06"&amp;CHAR(10),""),IF(Y85&gt;Y84," * F02-07 for Age "&amp;X20&amp;" "&amp;Y21&amp;" is more than F02-06"&amp;CHAR(10),""),IF(Z85&gt;Z84," * F02-07 for Age "&amp;Z20&amp;" "&amp;Z21&amp;" is more than F02-06"&amp;CHAR(10),""),IF(AA85&gt;AA84," * F02-07 for Age "&amp;Z20&amp;" "&amp;AA21&amp;" is more than F02-06"&amp;CHAR(10),""),IF(AB85&gt;AB84," * Total F02-07 is more than Total F02-06"&amp;CHAR(10),""))</f>
        <v/>
      </c>
      <c r="AD84" s="643"/>
      <c r="AE84" s="83"/>
      <c r="AF84" s="640"/>
      <c r="AG84" s="439">
        <v>83</v>
      </c>
    </row>
    <row r="85" spans="1:33" x14ac:dyDescent="0.85">
      <c r="A85" s="566"/>
      <c r="B85" s="275" t="s">
        <v>667</v>
      </c>
      <c r="C85" s="136" t="s">
        <v>193</v>
      </c>
      <c r="D85" s="345"/>
      <c r="E85" s="230"/>
      <c r="F85" s="230"/>
      <c r="G85" s="230"/>
      <c r="H85" s="230"/>
      <c r="I85" s="230"/>
      <c r="J85" s="231"/>
      <c r="K85" s="231"/>
      <c r="L85" s="231"/>
      <c r="M85" s="231"/>
      <c r="N85" s="231"/>
      <c r="O85" s="231"/>
      <c r="P85" s="231"/>
      <c r="Q85" s="231"/>
      <c r="R85" s="231"/>
      <c r="S85" s="231"/>
      <c r="T85" s="231"/>
      <c r="U85" s="231"/>
      <c r="V85" s="231"/>
      <c r="W85" s="231"/>
      <c r="X85" s="231"/>
      <c r="Y85" s="231"/>
      <c r="Z85" s="231"/>
      <c r="AA85" s="231"/>
      <c r="AB85" s="242">
        <f t="shared" si="10"/>
        <v>0</v>
      </c>
      <c r="AC85" s="634"/>
      <c r="AD85" s="643"/>
      <c r="AE85" s="83"/>
      <c r="AF85" s="640"/>
      <c r="AG85" s="439">
        <v>84</v>
      </c>
    </row>
    <row r="86" spans="1:33" ht="31.3" thickBot="1" x14ac:dyDescent="0.9">
      <c r="A86" s="567"/>
      <c r="B86" s="276" t="s">
        <v>668</v>
      </c>
      <c r="C86" s="149" t="s">
        <v>354</v>
      </c>
      <c r="D86" s="346"/>
      <c r="E86" s="243"/>
      <c r="F86" s="243"/>
      <c r="G86" s="243"/>
      <c r="H86" s="243"/>
      <c r="I86" s="243"/>
      <c r="J86" s="244"/>
      <c r="K86" s="244"/>
      <c r="L86" s="244"/>
      <c r="M86" s="244"/>
      <c r="N86" s="244"/>
      <c r="O86" s="244"/>
      <c r="P86" s="244"/>
      <c r="Q86" s="244"/>
      <c r="R86" s="244"/>
      <c r="S86" s="244"/>
      <c r="T86" s="244"/>
      <c r="U86" s="244"/>
      <c r="V86" s="244"/>
      <c r="W86" s="244"/>
      <c r="X86" s="244"/>
      <c r="Y86" s="244"/>
      <c r="Z86" s="244"/>
      <c r="AA86" s="244"/>
      <c r="AB86" s="245">
        <f t="shared" si="10"/>
        <v>0</v>
      </c>
      <c r="AC86" s="85" t="str">
        <f>CONCATENATE(IF(D77&lt;SUM(D86,D84)," * Sum of Three months tests for prep and less than three months since prep initiation for Age "&amp;D60&amp;" "&amp;D61&amp;" is more than Current on Prep"&amp;CHAR(10),""),IF(E77&lt;SUM(E86,E84)," * Sum of Three months tests for prep and less than three months since prep initiation  for Age "&amp;D60&amp;" "&amp;E61&amp;" is more than Current on Prep"&amp;CHAR(10),""),IF(F77&lt;SUM(F86,F84)," * Sum of Three months tests for prep and less than three months since prep initiation  for Age "&amp;F60&amp;" "&amp;F61&amp;" is more than Current on Prep"&amp;CHAR(10),""),IF(G77&lt;SUM(G86,G84)," * Sum of Three months tests for prep and less than three months since prep initiation  for Age "&amp;F60&amp;" "&amp;G61&amp;" is more than Current on Prep"&amp;CHAR(10),""),IF(H77&lt;SUM(H86,H84)," * Sum of Three months tests for prep and less than three months since prep initiation  for Age "&amp;H60&amp;" "&amp;H61&amp;" is more than Current on Prep"&amp;CHAR(10),""),IF(I77&lt;SUM(I86,I84)," * Sum of Three months tests for prep and less than three months since prep initiation  for Age "&amp;H60&amp;" "&amp;I61&amp;" is more than Current on Prep"&amp;CHAR(10),""),IF(J77&lt;SUM(J86,J84)," * Sum of Three months tests for prep and less than three months since prep initiation  for Age "&amp;J60&amp;" "&amp;J61&amp;" is more than Current on Prep"&amp;CHAR(10),""),IF(K77&lt;SUM(K86,K84)," * Sum of Three months tests for prep and less than three months since prep initiation  for Age "&amp;J60&amp;" "&amp;K61&amp;" is more than Current on Prep"&amp;CHAR(10),""),IF(L77&lt;SUM(L86,L84)," * Sum of Three months tests for prep and less than three months since prep initiation  for Age "&amp;L60&amp;" "&amp;L61&amp;" is more than Current on Prep"&amp;CHAR(10),""),IF(M77&lt;SUM(M86,M84)," * Sum of Three months tests for prep and less than three months since prep initiation  for Age "&amp;L60&amp;" "&amp;M61&amp;" is more than Current on Prep"&amp;CHAR(10),""),IF(N77&lt;SUM(N86,N84)," * Sum of Three months tests for prep and less than three months since prep initiation  for Age "&amp;N60&amp;" "&amp;N61&amp;" is more than Current on Prep"&amp;CHAR(10),""),IF(O77&lt;SUM(O86,O84)," * Sum of Three months tests for prep and less than three months since prep initiation  for Age "&amp;N60&amp;" "&amp;O61&amp;" is more than Current on Prep"&amp;CHAR(10),""),IF(P77&lt;SUM(P86,P84)," * Sum of Three months tests for prep and less than three months since prep initiation  for Age "&amp;P60&amp;" "&amp;P61&amp;" is more than Current on Prep"&amp;CHAR(10),""),IF(Q77&lt;SUM(Q86,Q84)," * Sum of Three months tests for prep and less than three months since prep initiation  for Age "&amp;P60&amp;" "&amp;Q61&amp;" is more than Current on Prep"&amp;CHAR(10),""),IF(R77&lt;SUM(R86,R84)," * Sum of Three months tests for prep and less than three months since prep initiation  for Age "&amp;R60&amp;" "&amp;R61&amp;" is more than Current on Prep"&amp;CHAR(10),""),IF(S77&lt;SUM(S86,S84)," * Sum of Three months tests for prep and less than three months since prep initiation  for Age "&amp;R60&amp;" "&amp;S61&amp;" is more than Current on Prep"&amp;CHAR(10),""),IF(T77&lt;SUM(T86,T84)," * Sum of Three months tests for prep and less than three months since prep initiation  for Age "&amp;T60&amp;" "&amp;T61&amp;" is more than Current on Prep"&amp;CHAR(10),""),IF(U77&lt;SUM(U8,U84)," * Sum of Three months tests for prep and less than three months since prep initiation  for Age "&amp;T60&amp;" "&amp;U61&amp;" is more than Current on Prep"&amp;CHAR(10),""),IF(V77&lt;SUM(V86,V84)," * Sum of Three months tests for prep and less than three months since prep initiation  for Age "&amp;V60&amp;" "&amp;V61&amp;" is more than Current on Prep"&amp;CHAR(10),""),IF(W77&lt;SUM(W86,W84)," * Sum of Three months tests for prep and less than three months since prep initiation  for Age "&amp;V60&amp;" "&amp;W61&amp;" is more than Current on Prep"&amp;CHAR(10),""),IF(X77&lt;SUM(X86,X84)," * Sum of Three months tests for prep and less than three months since prep initiation  for Age "&amp;X60&amp;" "&amp;X61&amp;" is more than Current on Prep"&amp;CHAR(10),""),IF(Y77&lt;SUM(Y86,Y84)," * Sum of Three months tests for prep and less than three months since prep initiation  for Age "&amp;X60&amp;" "&amp;Y61&amp;" is more than Current on Prep"&amp;CHAR(10),""),IF(Z77&lt;SUM(Z86,Z84)," * Sum of Three months tests for prep and less than three months since prep initiation  for Age "&amp;Z60&amp;" "&amp;Z61&amp;" is more than Current on Prep"&amp;CHAR(10),""),IF(AA77&lt;SUM(AA86,AA84)," * Sum of Three months tests for prep and less than three months since prep initiation  for Age "&amp;Z60&amp;" "&amp;AA61&amp;" is more than Current on Prep"&amp;CHAR(10),""))</f>
        <v/>
      </c>
      <c r="AD86" s="643"/>
      <c r="AE86" s="83"/>
      <c r="AF86" s="640"/>
      <c r="AG86" s="439">
        <v>85</v>
      </c>
    </row>
    <row r="87" spans="1:33" x14ac:dyDescent="0.85">
      <c r="A87" s="565" t="s">
        <v>21</v>
      </c>
      <c r="B87" s="283" t="s">
        <v>669</v>
      </c>
      <c r="C87" s="134" t="s">
        <v>355</v>
      </c>
      <c r="D87" s="141"/>
      <c r="E87" s="34"/>
      <c r="F87" s="34"/>
      <c r="G87" s="34"/>
      <c r="H87" s="34"/>
      <c r="I87" s="34"/>
      <c r="J87" s="35"/>
      <c r="K87" s="35"/>
      <c r="L87" s="35"/>
      <c r="M87" s="35"/>
      <c r="N87" s="35"/>
      <c r="O87" s="35"/>
      <c r="P87" s="35"/>
      <c r="Q87" s="35"/>
      <c r="R87" s="35"/>
      <c r="S87" s="35"/>
      <c r="T87" s="35"/>
      <c r="U87" s="35"/>
      <c r="V87" s="35"/>
      <c r="W87" s="35"/>
      <c r="X87" s="35"/>
      <c r="Y87" s="35"/>
      <c r="Z87" s="35"/>
      <c r="AA87" s="35"/>
      <c r="AB87" s="36">
        <f t="shared" si="10"/>
        <v>0</v>
      </c>
      <c r="AC87" s="85"/>
      <c r="AD87" s="643"/>
      <c r="AE87" s="83"/>
      <c r="AF87" s="640"/>
      <c r="AG87" s="439">
        <v>86</v>
      </c>
    </row>
    <row r="88" spans="1:33" x14ac:dyDescent="0.85">
      <c r="A88" s="566"/>
      <c r="B88" s="275" t="s">
        <v>670</v>
      </c>
      <c r="C88" s="136" t="s">
        <v>356</v>
      </c>
      <c r="D88" s="127"/>
      <c r="E88" s="18"/>
      <c r="F88" s="18"/>
      <c r="G88" s="18"/>
      <c r="H88" s="18"/>
      <c r="I88" s="18"/>
      <c r="J88" s="19"/>
      <c r="K88" s="19"/>
      <c r="L88" s="19"/>
      <c r="M88" s="19"/>
      <c r="N88" s="19"/>
      <c r="O88" s="19"/>
      <c r="P88" s="19"/>
      <c r="Q88" s="19"/>
      <c r="R88" s="19"/>
      <c r="S88" s="19"/>
      <c r="T88" s="19"/>
      <c r="U88" s="19"/>
      <c r="V88" s="19"/>
      <c r="W88" s="19"/>
      <c r="X88" s="19"/>
      <c r="Y88" s="19"/>
      <c r="Z88" s="19"/>
      <c r="AA88" s="19"/>
      <c r="AB88" s="37">
        <f t="shared" si="10"/>
        <v>0</v>
      </c>
      <c r="AC88" s="85"/>
      <c r="AD88" s="643"/>
      <c r="AE88" s="83"/>
      <c r="AF88" s="640"/>
      <c r="AG88" s="439">
        <v>87</v>
      </c>
    </row>
    <row r="89" spans="1:33" x14ac:dyDescent="0.85">
      <c r="A89" s="566"/>
      <c r="B89" s="275" t="s">
        <v>671</v>
      </c>
      <c r="C89" s="136" t="s">
        <v>195</v>
      </c>
      <c r="D89" s="127"/>
      <c r="E89" s="18"/>
      <c r="F89" s="18"/>
      <c r="G89" s="18"/>
      <c r="H89" s="18"/>
      <c r="I89" s="18"/>
      <c r="J89" s="19"/>
      <c r="K89" s="19"/>
      <c r="L89" s="19"/>
      <c r="M89" s="19"/>
      <c r="N89" s="19"/>
      <c r="O89" s="19"/>
      <c r="P89" s="19"/>
      <c r="Q89" s="19"/>
      <c r="R89" s="19"/>
      <c r="S89" s="19"/>
      <c r="T89" s="19"/>
      <c r="U89" s="19"/>
      <c r="V89" s="19"/>
      <c r="W89" s="19"/>
      <c r="X89" s="19"/>
      <c r="Y89" s="19"/>
      <c r="Z89" s="19"/>
      <c r="AA89" s="19"/>
      <c r="AB89" s="37">
        <f t="shared" si="10"/>
        <v>0</v>
      </c>
      <c r="AC89" s="85"/>
      <c r="AD89" s="643"/>
      <c r="AE89" s="83"/>
      <c r="AF89" s="640"/>
      <c r="AG89" s="439">
        <v>88</v>
      </c>
    </row>
    <row r="90" spans="1:33" x14ac:dyDescent="0.85">
      <c r="A90" s="566"/>
      <c r="B90" s="275" t="s">
        <v>672</v>
      </c>
      <c r="C90" s="136" t="s">
        <v>196</v>
      </c>
      <c r="D90" s="127"/>
      <c r="E90" s="18"/>
      <c r="F90" s="18"/>
      <c r="G90" s="18"/>
      <c r="H90" s="18"/>
      <c r="I90" s="18"/>
      <c r="J90" s="19"/>
      <c r="K90" s="19"/>
      <c r="L90" s="19"/>
      <c r="M90" s="19"/>
      <c r="N90" s="19"/>
      <c r="O90" s="19"/>
      <c r="P90" s="19"/>
      <c r="Q90" s="19"/>
      <c r="R90" s="19"/>
      <c r="S90" s="19"/>
      <c r="T90" s="19"/>
      <c r="U90" s="19"/>
      <c r="V90" s="19"/>
      <c r="W90" s="19"/>
      <c r="X90" s="19"/>
      <c r="Y90" s="19"/>
      <c r="Z90" s="19"/>
      <c r="AA90" s="19"/>
      <c r="AB90" s="37">
        <f t="shared" si="10"/>
        <v>0</v>
      </c>
      <c r="AC90" s="85"/>
      <c r="AD90" s="643"/>
      <c r="AE90" s="83"/>
      <c r="AF90" s="640"/>
      <c r="AG90" s="439">
        <v>89</v>
      </c>
    </row>
    <row r="91" spans="1:33" x14ac:dyDescent="0.85">
      <c r="A91" s="566"/>
      <c r="B91" s="275" t="s">
        <v>673</v>
      </c>
      <c r="C91" s="136" t="s">
        <v>197</v>
      </c>
      <c r="D91" s="127"/>
      <c r="E91" s="18"/>
      <c r="F91" s="18"/>
      <c r="G91" s="18"/>
      <c r="H91" s="18"/>
      <c r="I91" s="18"/>
      <c r="J91" s="19"/>
      <c r="K91" s="19"/>
      <c r="L91" s="19"/>
      <c r="M91" s="19"/>
      <c r="N91" s="19"/>
      <c r="O91" s="19"/>
      <c r="P91" s="19"/>
      <c r="Q91" s="19"/>
      <c r="R91" s="19"/>
      <c r="S91" s="19"/>
      <c r="T91" s="19"/>
      <c r="U91" s="19"/>
      <c r="V91" s="19"/>
      <c r="W91" s="19"/>
      <c r="X91" s="19"/>
      <c r="Y91" s="19"/>
      <c r="Z91" s="19"/>
      <c r="AA91" s="19"/>
      <c r="AB91" s="37">
        <f t="shared" si="10"/>
        <v>0</v>
      </c>
      <c r="AC91" s="85"/>
      <c r="AD91" s="643"/>
      <c r="AE91" s="83"/>
      <c r="AF91" s="640"/>
      <c r="AG91" s="439">
        <v>90</v>
      </c>
    </row>
    <row r="92" spans="1:33" x14ac:dyDescent="0.85">
      <c r="A92" s="566"/>
      <c r="B92" s="275" t="s">
        <v>674</v>
      </c>
      <c r="C92" s="136" t="s">
        <v>198</v>
      </c>
      <c r="D92" s="127"/>
      <c r="E92" s="18"/>
      <c r="F92" s="18"/>
      <c r="G92" s="18"/>
      <c r="H92" s="18"/>
      <c r="I92" s="18"/>
      <c r="J92" s="19"/>
      <c r="K92" s="19"/>
      <c r="L92" s="19"/>
      <c r="M92" s="19"/>
      <c r="N92" s="19"/>
      <c r="O92" s="19"/>
      <c r="P92" s="19"/>
      <c r="Q92" s="19"/>
      <c r="R92" s="19"/>
      <c r="S92" s="19"/>
      <c r="T92" s="19"/>
      <c r="U92" s="19"/>
      <c r="V92" s="19"/>
      <c r="W92" s="19"/>
      <c r="X92" s="19"/>
      <c r="Y92" s="19"/>
      <c r="Z92" s="19"/>
      <c r="AA92" s="19"/>
      <c r="AB92" s="37">
        <f t="shared" si="10"/>
        <v>0</v>
      </c>
      <c r="AC92" s="85"/>
      <c r="AD92" s="643"/>
      <c r="AE92" s="83"/>
      <c r="AF92" s="640"/>
      <c r="AG92" s="439">
        <v>91</v>
      </c>
    </row>
    <row r="93" spans="1:33" ht="31.3" thickBot="1" x14ac:dyDescent="0.9">
      <c r="A93" s="567"/>
      <c r="B93" s="281" t="s">
        <v>675</v>
      </c>
      <c r="C93" s="138" t="s">
        <v>199</v>
      </c>
      <c r="D93" s="143"/>
      <c r="E93" s="38"/>
      <c r="F93" s="38"/>
      <c r="G93" s="38"/>
      <c r="H93" s="38"/>
      <c r="I93" s="38"/>
      <c r="J93" s="39"/>
      <c r="K93" s="39"/>
      <c r="L93" s="39"/>
      <c r="M93" s="39"/>
      <c r="N93" s="39"/>
      <c r="O93" s="39"/>
      <c r="P93" s="39"/>
      <c r="Q93" s="39"/>
      <c r="R93" s="39"/>
      <c r="S93" s="39"/>
      <c r="T93" s="39"/>
      <c r="U93" s="39"/>
      <c r="V93" s="39"/>
      <c r="W93" s="39"/>
      <c r="X93" s="39"/>
      <c r="Y93" s="39"/>
      <c r="Z93" s="39"/>
      <c r="AA93" s="39"/>
      <c r="AB93" s="40">
        <f t="shared" si="10"/>
        <v>0</v>
      </c>
      <c r="AC93" s="85"/>
      <c r="AD93" s="643"/>
      <c r="AE93" s="83"/>
      <c r="AF93" s="640"/>
      <c r="AG93" s="439">
        <v>92</v>
      </c>
    </row>
    <row r="94" spans="1:33" x14ac:dyDescent="0.85">
      <c r="A94" s="565" t="s">
        <v>114</v>
      </c>
      <c r="B94" s="290" t="s">
        <v>676</v>
      </c>
      <c r="C94" s="134" t="s">
        <v>357</v>
      </c>
      <c r="D94" s="141"/>
      <c r="E94" s="34"/>
      <c r="F94" s="34"/>
      <c r="G94" s="34"/>
      <c r="H94" s="34"/>
      <c r="I94" s="34"/>
      <c r="J94" s="34"/>
      <c r="K94" s="34"/>
      <c r="L94" s="34"/>
      <c r="M94" s="34"/>
      <c r="N94" s="34"/>
      <c r="O94" s="34"/>
      <c r="P94" s="34"/>
      <c r="Q94" s="34"/>
      <c r="R94" s="34"/>
      <c r="S94" s="34"/>
      <c r="T94" s="34"/>
      <c r="U94" s="34"/>
      <c r="V94" s="34"/>
      <c r="W94" s="34"/>
      <c r="X94" s="34"/>
      <c r="Y94" s="34"/>
      <c r="Z94" s="34"/>
      <c r="AA94" s="34"/>
      <c r="AB94" s="52"/>
      <c r="AC94" s="85"/>
      <c r="AD94" s="643"/>
      <c r="AE94" s="83"/>
      <c r="AF94" s="640"/>
      <c r="AG94" s="439">
        <v>93</v>
      </c>
    </row>
    <row r="95" spans="1:33" ht="31.3" thickBot="1" x14ac:dyDescent="0.9">
      <c r="A95" s="671"/>
      <c r="B95" s="291" t="s">
        <v>677</v>
      </c>
      <c r="C95" s="138" t="s">
        <v>358</v>
      </c>
      <c r="D95" s="128"/>
      <c r="E95" s="50"/>
      <c r="F95" s="50"/>
      <c r="G95" s="50"/>
      <c r="H95" s="50"/>
      <c r="I95" s="50"/>
      <c r="J95" s="50"/>
      <c r="K95" s="50"/>
      <c r="L95" s="50"/>
      <c r="M95" s="50"/>
      <c r="N95" s="50"/>
      <c r="O95" s="50"/>
      <c r="P95" s="50"/>
      <c r="Q95" s="50"/>
      <c r="R95" s="50"/>
      <c r="S95" s="50"/>
      <c r="T95" s="50"/>
      <c r="U95" s="50"/>
      <c r="V95" s="50"/>
      <c r="W95" s="50"/>
      <c r="X95" s="50"/>
      <c r="Y95" s="50"/>
      <c r="Z95" s="50"/>
      <c r="AA95" s="50"/>
      <c r="AB95" s="101"/>
      <c r="AC95" s="194"/>
      <c r="AD95" s="644"/>
      <c r="AE95" s="97"/>
      <c r="AF95" s="641"/>
      <c r="AG95" s="439">
        <v>94</v>
      </c>
    </row>
    <row r="96" spans="1:33" ht="35.15" thickBot="1" x14ac:dyDescent="0.9">
      <c r="A96" s="578" t="s">
        <v>126</v>
      </c>
      <c r="B96" s="579"/>
      <c r="C96" s="579"/>
      <c r="D96" s="579"/>
      <c r="E96" s="579"/>
      <c r="F96" s="579"/>
      <c r="G96" s="579"/>
      <c r="H96" s="579"/>
      <c r="I96" s="579"/>
      <c r="J96" s="579"/>
      <c r="K96" s="579"/>
      <c r="L96" s="579"/>
      <c r="M96" s="579"/>
      <c r="N96" s="579"/>
      <c r="O96" s="579"/>
      <c r="P96" s="579"/>
      <c r="Q96" s="579"/>
      <c r="R96" s="579"/>
      <c r="S96" s="579"/>
      <c r="T96" s="579"/>
      <c r="U96" s="579"/>
      <c r="V96" s="579"/>
      <c r="W96" s="579"/>
      <c r="X96" s="579"/>
      <c r="Y96" s="579"/>
      <c r="Z96" s="579"/>
      <c r="AA96" s="579"/>
      <c r="AB96" s="579"/>
      <c r="AC96" s="579"/>
      <c r="AD96" s="579"/>
      <c r="AE96" s="579"/>
      <c r="AF96" s="580"/>
      <c r="AG96" s="439">
        <v>95</v>
      </c>
    </row>
    <row r="97" spans="1:34" ht="26.25" customHeight="1" x14ac:dyDescent="0.85">
      <c r="A97" s="588" t="s">
        <v>37</v>
      </c>
      <c r="B97" s="611" t="s">
        <v>347</v>
      </c>
      <c r="C97" s="666" t="s">
        <v>328</v>
      </c>
      <c r="D97" s="602" t="s">
        <v>0</v>
      </c>
      <c r="E97" s="602"/>
      <c r="F97" s="602" t="s">
        <v>1</v>
      </c>
      <c r="G97" s="602"/>
      <c r="H97" s="602" t="s">
        <v>2</v>
      </c>
      <c r="I97" s="602"/>
      <c r="J97" s="602" t="s">
        <v>3</v>
      </c>
      <c r="K97" s="602"/>
      <c r="L97" s="602" t="s">
        <v>4</v>
      </c>
      <c r="M97" s="602"/>
      <c r="N97" s="602" t="s">
        <v>5</v>
      </c>
      <c r="O97" s="602"/>
      <c r="P97" s="602" t="s">
        <v>6</v>
      </c>
      <c r="Q97" s="602"/>
      <c r="R97" s="602" t="s">
        <v>7</v>
      </c>
      <c r="S97" s="602"/>
      <c r="T97" s="602" t="s">
        <v>8</v>
      </c>
      <c r="U97" s="602"/>
      <c r="V97" s="602" t="s">
        <v>23</v>
      </c>
      <c r="W97" s="602"/>
      <c r="X97" s="602" t="s">
        <v>24</v>
      </c>
      <c r="Y97" s="602"/>
      <c r="Z97" s="602" t="s">
        <v>9</v>
      </c>
      <c r="AA97" s="602"/>
      <c r="AB97" s="649" t="s">
        <v>19</v>
      </c>
      <c r="AC97" s="637" t="s">
        <v>381</v>
      </c>
      <c r="AD97" s="583" t="s">
        <v>387</v>
      </c>
      <c r="AE97" s="582" t="s">
        <v>388</v>
      </c>
      <c r="AF97" s="630" t="s">
        <v>388</v>
      </c>
      <c r="AG97" s="439">
        <v>96</v>
      </c>
    </row>
    <row r="98" spans="1:34" ht="27" customHeight="1" thickBot="1" x14ac:dyDescent="0.9">
      <c r="A98" s="589"/>
      <c r="B98" s="612"/>
      <c r="C98" s="667"/>
      <c r="D98" s="81" t="s">
        <v>10</v>
      </c>
      <c r="E98" s="81" t="s">
        <v>11</v>
      </c>
      <c r="F98" s="81" t="s">
        <v>10</v>
      </c>
      <c r="G98" s="81" t="s">
        <v>11</v>
      </c>
      <c r="H98" s="81" t="s">
        <v>10</v>
      </c>
      <c r="I98" s="81" t="s">
        <v>11</v>
      </c>
      <c r="J98" s="81" t="s">
        <v>10</v>
      </c>
      <c r="K98" s="81" t="s">
        <v>11</v>
      </c>
      <c r="L98" s="81" t="s">
        <v>10</v>
      </c>
      <c r="M98" s="81" t="s">
        <v>11</v>
      </c>
      <c r="N98" s="81" t="s">
        <v>10</v>
      </c>
      <c r="O98" s="81" t="s">
        <v>11</v>
      </c>
      <c r="P98" s="81" t="s">
        <v>10</v>
      </c>
      <c r="Q98" s="81" t="s">
        <v>11</v>
      </c>
      <c r="R98" s="81" t="s">
        <v>10</v>
      </c>
      <c r="S98" s="81" t="s">
        <v>11</v>
      </c>
      <c r="T98" s="81" t="s">
        <v>10</v>
      </c>
      <c r="U98" s="81" t="s">
        <v>11</v>
      </c>
      <c r="V98" s="81" t="s">
        <v>10</v>
      </c>
      <c r="W98" s="81" t="s">
        <v>11</v>
      </c>
      <c r="X98" s="81" t="s">
        <v>10</v>
      </c>
      <c r="Y98" s="81" t="s">
        <v>11</v>
      </c>
      <c r="Z98" s="81" t="s">
        <v>10</v>
      </c>
      <c r="AA98" s="81" t="s">
        <v>11</v>
      </c>
      <c r="AB98" s="650"/>
      <c r="AC98" s="638"/>
      <c r="AD98" s="584"/>
      <c r="AE98" s="582"/>
      <c r="AF98" s="577"/>
      <c r="AG98" s="439">
        <v>97</v>
      </c>
    </row>
    <row r="99" spans="1:34" s="9" customFormat="1" x14ac:dyDescent="0.85">
      <c r="A99" s="665" t="s">
        <v>1042</v>
      </c>
      <c r="B99" s="274" t="s">
        <v>678</v>
      </c>
      <c r="C99" s="158" t="s">
        <v>213</v>
      </c>
      <c r="D99" s="150"/>
      <c r="E99" s="31"/>
      <c r="F99" s="31"/>
      <c r="G99" s="31"/>
      <c r="H99" s="31"/>
      <c r="I99" s="31"/>
      <c r="J99" s="31"/>
      <c r="K99" s="31"/>
      <c r="L99" s="31"/>
      <c r="M99" s="31"/>
      <c r="N99" s="31"/>
      <c r="O99" s="31"/>
      <c r="P99" s="31"/>
      <c r="Q99" s="31"/>
      <c r="R99" s="31"/>
      <c r="S99" s="31"/>
      <c r="T99" s="31"/>
      <c r="U99" s="31"/>
      <c r="V99" s="31"/>
      <c r="W99" s="31"/>
      <c r="X99" s="31"/>
      <c r="Y99" s="31"/>
      <c r="Z99" s="31"/>
      <c r="AA99" s="31"/>
      <c r="AB99" s="89">
        <f>SUM(D99:AA99)</f>
        <v>0</v>
      </c>
      <c r="AC99" s="102" t="str">
        <f>CONCATENATE(IF(D99&lt;&gt;SUM(D101,D103,D105,D107,D109)," *  Iniated On IPT New ON ART for Age "&amp;D20&amp;" "&amp;D21&amp;" is not equal to the sum of  Completed IPT New on ART+ Discontinued New on ART + LTFU New on ART + Died New on ART + Transferred Out New on ART)"&amp;CHAR(10),""),IF(E99&lt;&gt;SUM(E101,E103,E105,E107,E109)," *  Iniated On IPT New ON ART for Age "&amp;D20&amp;" "&amp;E21&amp;" is not equal to the sum of F03-03+F03-05+F03-07+F03-09+F03-11"&amp;CHAR(10),""),IF(F99&lt;&gt;SUM(F101,F103,F105,F107,F109)," *  Iniated On IPT New ON ART for Age "&amp;F20&amp;" "&amp;F21&amp;" is not equal to the sum of  Completed IPT New on ART+ Discontinued New on ART + LTFU New on ART + Died New on ART + Transferred Out New on ART)"&amp;CHAR(10),""),IF(G99&lt;&gt;SUM(G101,G103,G105,G107,G109)," *  Iniated On IPT New ON ART for Age "&amp;F20&amp;" "&amp;G21&amp;" is not equal to the sum of F03-03+F03-05+F03-07+F03-09+F03-11"&amp;CHAR(10),""),IF(H99&lt;&gt;SUM(H101,H103,H105,H107,H109)," *  Iniated On IPT New ON ART for Age "&amp;H20&amp;" "&amp;H21&amp;" is not equal to the sum of  Completed IPT New on ART+ Discontinued New on ART + LTFU New on ART + Died New on ART + Transferred Out New on ART)"&amp;CHAR(10),""),IF(I99&lt;&gt;SUM(I101,I103,I105,I107,I109)," *  Iniated On IPT New ON ART for Age "&amp;H20&amp;" "&amp;I21&amp;" is not equal to the sum of F03-03+F03-05+F03-07+F03-09+F03-11"&amp;CHAR(10),""),IF(J99&lt;&gt;SUM(J101,J103,J105,J107,J109)," *  Iniated On IPT New ON ART for Age "&amp;J20&amp;" "&amp;J21&amp;" is not equal to the sum of  Completed IPT New on ART+ Discontinued New on ART + LTFU New on ART + Died New on ART + Transferred Out New on ART)"&amp;CHAR(10),""),IF(K99&lt;&gt;SUM(K101,K103,K105,K107,K109)," *  Iniated On IPT New ON ART for Age "&amp;J20&amp;" "&amp;K21&amp;" is not equal to the sum of F03-03+F03-05+F03-07+F03-09+F03-11"&amp;CHAR(10),""),IF(L99&lt;&gt;SUM(L101,L103,L105,L107,L109)," *  Iniated On IPT New ON ART for Age "&amp;L20&amp;" "&amp;L21&amp;" is not equal to the sum of  Completed IPT New on ART+ Discontinued New on ART + LTFU New on ART + Died New on ART + Transferred Out New on ART)"&amp;CHAR(10),""),IF(M99&lt;&gt;SUM(M101,M103,M105,M107,M109)," *  Iniated On IPT New ON ART for Age "&amp;L20&amp;" "&amp;M21&amp;" is not equal to the sum of F03-03+F03-05+F03-07+F03-09+F03-11"&amp;CHAR(10),""),IF(N99&lt;&gt;SUM(N101,N103,N105,N107,N109)," *  Iniated On IPT New ON ART for Age "&amp;N20&amp;" "&amp;N21&amp;" is not equal to the sum of  Completed IPT New on ART+ Discontinued New on ART + LTFU New on ART + Died New on ART + Transferred Out New on ART)"&amp;CHAR(10),""),IF(O99&lt;&gt;SUM(O101,O103,O105,O107,O109)," *  Iniated On IPT New ON ART for Age "&amp;N20&amp;" "&amp;O21&amp;" is not equal to the sum of F03-03+F03-05+F03-07+F03-09+F03-11"&amp;CHAR(10),""),IF(P99&lt;&gt;SUM(P101,P103,P105,P107,P109)," *  Iniated On IPT New ON ART for Age "&amp;P20&amp;" "&amp;P21&amp;" is not equal to the sum of  Completed IPT New on ART+ Discontinued New on ART + LTFU New on ART + Died New on ART + Transferred Out New on ART)"&amp;CHAR(10),""),IF(Q99&lt;&gt;SUM(Q101,Q103,Q105,Q107,Q109)," *  Iniated On IPT New ON ART for Age "&amp;P20&amp;" "&amp;Q21&amp;" is not equal to the sum of F03-03+F03-05+F03-07+F03-09+F03-11"&amp;CHAR(10),""),IF(R99&lt;&gt;SUM(R101,R103,R105,R107,R109)," *  Iniated On IPT New ON ART for Age "&amp;R20&amp;" "&amp;R21&amp;" is not equal to the sum of  Completed IPT New on ART+ Discontinued New on ART + LTFU New on ART + Died New on ART + Transferred Out New on ART)"&amp;CHAR(10),""),IF(S99&lt;&gt;SUM(S101,S103,S105,S107,S109)," *  Iniated On IPT New ON ART for Age "&amp;R20&amp;" "&amp;S21&amp;" is not equal to the sum of F03-03+F03-05+F03-07+F03-09+F03-11"&amp;CHAR(10),""),IF(T99&lt;&gt;SUM(T101,T103,T105,T107,T109)," *  Iniated On IPT New ON ART for Age "&amp;T20&amp;" "&amp;T21&amp;" is not equal to the sum of  Completed IPT New on ART+ Discontinued New on ART + LTFU New on ART + Died New on ART + Transferred Out New on ART)"&amp;CHAR(10),""),IF(U99&lt;&gt;SUM(U101,U103,U105,U107,U109)," *  Iniated On IPT New ON ART for Age "&amp;T20&amp;" "&amp;U21&amp;" is not equal to the sum of F03-03+F03-05+F03-07+F03-09+F03-11"&amp;CHAR(10),""),IF(V99&lt;&gt;SUM(V101,V103,V105,V107,V109)," *  Iniated On IPT New ON ART for Age "&amp;V20&amp;" "&amp;V21&amp;" is not equal to the sum of  Completed IPT New on ART+ Discontinued New on ART + LTFU New on ART + Died New on ART + Transferred Out New on ART)"&amp;CHAR(10),""),IF(W99&lt;&gt;SUM(W101,W103,W105,W107,W109)," *  Iniated On IPT New ON ART for Age "&amp;V20&amp;" "&amp;W21&amp;" is not equal to the sum of F03-03+F03-05+F03-07+F03-09+F03-11"&amp;CHAR(10),""),IF(X99&lt;&gt;SUM(X101,X103,X105,X107,X109)," *  Iniated On IPT New ON ART for Age "&amp;X20&amp;" "&amp;X21&amp;" is not equal to the sum of  Completed IPT New on ART+ Discontinued New on ART + LTFU New on ART + Died New on ART + Transferred Out New on ART)"&amp;CHAR(10),""),IF(Y99&lt;&gt;SUM(Y101,Y103,Y105,Y107,Y109)," *  Iniated On IPT New ON ART for Age "&amp;X20&amp;" "&amp;Y21&amp;" is not equal to the sum of F03-03+F03-05+F03-07+F03-09+F03-11"&amp;CHAR(10),""),IF(Z99&lt;&gt;SUM(Z101,Z103,Z105,Z107,Z109)," *  Iniated On IPT New ON ART for Age "&amp;Z20&amp;" "&amp;Z21&amp;" is not equal to the sum of  Completed IPT New on ART+ Discontinued New on ART + LTFU New on ART + Died New on ART + Transferred Out New on ART)"&amp;CHAR(10),""),IF(AA99&lt;&gt;SUM(AA101,AA103,AA105,AA107,AA109)," *  Iniated On IPT New ON ART for Age "&amp;Z20&amp;" "&amp;AA21&amp;" is not equal to the sum of  Completed IPT New on ART+ Discontinued New on ART + LTFU New on ART + Died New on ART + Transferred Out New on ART)"&amp;CHAR(10),""))</f>
        <v/>
      </c>
      <c r="AD99" s="599" t="str">
        <f>CONCATENATE(AC99,AC100,AC101,AC102,AC103,AC104,AC105,AC106,AC107,AC108,AC109,AC110)</f>
        <v/>
      </c>
      <c r="AE99" s="103"/>
      <c r="AF99" s="639" t="str">
        <f>CONCATENATE(AE99,AE100,AE101,AE102,AE103,AE104,AE105,AE106,AE107,AE108,AE109,AE110)</f>
        <v/>
      </c>
      <c r="AG99" s="439">
        <v>98</v>
      </c>
      <c r="AH99" s="334"/>
    </row>
    <row r="100" spans="1:34" s="9" customFormat="1" ht="31.3" thickBot="1" x14ac:dyDescent="0.9">
      <c r="A100" s="567"/>
      <c r="B100" s="281" t="s">
        <v>679</v>
      </c>
      <c r="C100" s="145" t="s">
        <v>214</v>
      </c>
      <c r="D100" s="151"/>
      <c r="E100" s="39"/>
      <c r="F100" s="39"/>
      <c r="G100" s="39"/>
      <c r="H100" s="39"/>
      <c r="I100" s="39"/>
      <c r="J100" s="39"/>
      <c r="K100" s="39"/>
      <c r="L100" s="39"/>
      <c r="M100" s="39"/>
      <c r="N100" s="39"/>
      <c r="O100" s="39"/>
      <c r="P100" s="39"/>
      <c r="Q100" s="39"/>
      <c r="R100" s="39"/>
      <c r="S100" s="39"/>
      <c r="T100" s="39"/>
      <c r="U100" s="39"/>
      <c r="V100" s="39"/>
      <c r="W100" s="39"/>
      <c r="X100" s="39"/>
      <c r="Y100" s="39"/>
      <c r="Z100" s="39"/>
      <c r="AA100" s="39"/>
      <c r="AB100" s="40">
        <f t="shared" ref="AB100:AB110" si="16">SUM(D100:AA100)</f>
        <v>0</v>
      </c>
      <c r="AC100" s="85" t="str">
        <f>CONCATENATE(IF(D100&lt;&gt;SUM(D102,D104,D106,D108,D110)," * F03-02 for Age "&amp;D20&amp;" "&amp;D21&amp;" is not equal to the sum of (F03-04+F03-06+F03-08+F03-10+F03-12)"&amp;CHAR(10),""),IF(E100&lt;&gt;SUM(E102,E104,E106,E108,E110)," * F03-02 for Age "&amp;D20&amp;" "&amp;E21&amp;" is not equal to the sum of F03-04+F03-06+F03-08+F03-10+F03-12"&amp;CHAR(10),""),IF(F100&lt;&gt;SUM(F102,F104,F106,F108,F110)," * F03-02 for Age "&amp;F20&amp;" "&amp;F21&amp;" is not equal to the sum of (F03-04+F03-06+F03-08+F03-10+F03-12)"&amp;CHAR(10),""),IF(G100&lt;&gt;SUM(G102,G104,G106,G108,G110)," * F03-02 for Age "&amp;F20&amp;" "&amp;G21&amp;" is not equal to the sum of F03-04+F03-06+F03-08+F03-10+F03-12"&amp;CHAR(10),""),IF(H100&lt;&gt;SUM(H102,H104,H106,H108,H110)," * F03-02 for Age "&amp;H20&amp;" "&amp;H21&amp;" is not equal to the sum of (F03-04+F03-06+F03-08+F03-10+F03-12)"&amp;CHAR(10),""),IF(I100&lt;&gt;SUM(I102,I104,I106,I108,I110)," * F03-02 for Age "&amp;H20&amp;" "&amp;I21&amp;" is not equal to the sum of F03-04+F03-06+F03-08+F03-10+F03-12"&amp;CHAR(10),""),IF(J100&lt;&gt;SUM(J102,J104,J106,J108,J110)," * F03-02 for Age "&amp;J20&amp;" "&amp;J21&amp;" is not equal to the sum of (F03-04+F03-06+F03-08+F03-10+F03-12)"&amp;CHAR(10),""),IF(K100&lt;&gt;SUM(K102,K104,K106,K108,K110)," * F03-02 for Age "&amp;J20&amp;" "&amp;K21&amp;" is not equal to the sum of F03-04+F03-06+F03-08+F03-10+F03-12"&amp;CHAR(10),""),IF(L100&lt;&gt;SUM(L102,L104,L106,L108,L110)," * F03-02 for Age "&amp;L20&amp;" "&amp;L21&amp;" is not equal to the sum of (F03-04+F03-06+F03-08+F03-10+F03-12)"&amp;CHAR(10),""),IF(M100&lt;&gt;SUM(M102,M104,M106,M108,M110)," * F03-02 for Age "&amp;L20&amp;" "&amp;M21&amp;" is not equal to the sum of F03-04+F03-06+F03-08+F03-10+F03-12"&amp;CHAR(10),""),IF(N100&lt;&gt;SUM(N102,N104,N106,N108,N110)," * F03-02 for Age "&amp;N20&amp;" "&amp;N21&amp;" is not equal to the sum of (F03-04+F03-06+F03-08+F03-10+F03-12)"&amp;CHAR(10),""),IF(O100&lt;&gt;SUM(O102,O104,O106,O108,O110)," * F03-02 for Age "&amp;N20&amp;" "&amp;O21&amp;" is not equal to the sum of F03-04+F03-06+F03-08+F03-10+F03-12"&amp;CHAR(10),""),IF(P100&lt;&gt;SUM(P102,P104,P106,P108,P110)," * F03-02 for Age "&amp;P20&amp;" "&amp;P21&amp;" is not equal to the sum of (F03-04+F03-06+F03-08+F03-10+F03-12)"&amp;CHAR(10),""),IF(Q100&lt;&gt;SUM(Q102,Q104,Q106,Q108,Q110)," * F03-02 for Age "&amp;P20&amp;" "&amp;Q21&amp;" is not equal to the sum of F03-04+F03-06+F03-08+F03-10+F03-12"&amp;CHAR(10),""),IF(R100&lt;&gt;SUM(R102,R104,R106,R108,R110)," * F03-02 for Age "&amp;R20&amp;" "&amp;R21&amp;" is not equal to the sum of (F03-04+F03-06+F03-08+F03-10+F03-12)"&amp;CHAR(10),""),IF(S100&lt;&gt;SUM(S102,S104,S106,S108,S110)," * F03-02 for Age "&amp;R20&amp;" "&amp;S21&amp;" is not equal to the sum of F03-04+F03-06+F03-08+F03-10+F03-12"&amp;CHAR(10),""),IF(T100&lt;&gt;SUM(T102,T104,T106,T108,T110)," * F03-02 for Age "&amp;T20&amp;" "&amp;T21&amp;" is not equal to the sum of (F03-04+F03-06+F03-08+F03-10+F03-12)"&amp;CHAR(10),""),IF(U100&lt;&gt;SUM(U102,U104,U106,U108,U110)," * F03-02 for Age "&amp;T20&amp;" "&amp;U21&amp;" is not equal to the sum of F03-04+F03-06+F03-08+F03-10+F03-12"&amp;CHAR(10),""),IF(V100&lt;&gt;SUM(V102,V104,V106,V108,V110)," * F03-02 for Age "&amp;V20&amp;" "&amp;V21&amp;" is not equal to the sum of (F03-04+F03-06+F03-08+F03-10+F03-12)"&amp;CHAR(10),""),IF(W100&lt;&gt;SUM(W102,W104,W106,W108,W110)," * F03-02 for Age "&amp;V20&amp;" "&amp;W21&amp;" is not equal to the sum of F03-04+F03-06+F03-08+F03-10+F03-12"&amp;CHAR(10),""),IF(X100&lt;&gt;SUM(X102,X104,X106,X108,X110)," * F03-02 for Age "&amp;X20&amp;" "&amp;X21&amp;" is not equal to the sum of (F03-04+F03-06+F03-08+F03-10+F03-12)"&amp;CHAR(10),""),IF(Y100&lt;&gt;SUM(Y102,Y104,Y106,Y108,Y110)," * F03-02 for Age "&amp;X20&amp;" "&amp;Y21&amp;" is not equal to the sum of F03-04+F03-06+F03-08+F03-10+F03-12"&amp;CHAR(10),""),IF(Z100&lt;&gt;SUM(Z102,Z104,Z106,Z108,Z110)," * F03-02 for Age "&amp;Z20&amp;" "&amp;Z21&amp;" is not equal to the sum of (F03-04+F03-06+F03-08+F03-10+F03-12)"&amp;CHAR(10),""),IF(AA100&lt;&gt;SUM(AA102,AA104,AA106,AA108,AA110)," * F03-02 for Age "&amp;Z20&amp;" "&amp;AA21&amp;" is not equal to the sum of (F03-04+F03-06+F03-08+F03-10+F03-12)"&amp;CHAR(10),""))</f>
        <v/>
      </c>
      <c r="AD100" s="600"/>
      <c r="AE100" s="84"/>
      <c r="AF100" s="640"/>
      <c r="AG100" s="439">
        <v>99</v>
      </c>
      <c r="AH100" s="334"/>
    </row>
    <row r="101" spans="1:34" x14ac:dyDescent="0.85">
      <c r="A101" s="565" t="s">
        <v>1043</v>
      </c>
      <c r="B101" s="283" t="s">
        <v>680</v>
      </c>
      <c r="C101" s="134" t="s">
        <v>215</v>
      </c>
      <c r="D101" s="152"/>
      <c r="E101" s="53"/>
      <c r="F101" s="53"/>
      <c r="G101" s="53"/>
      <c r="H101" s="53"/>
      <c r="I101" s="53"/>
      <c r="J101" s="53"/>
      <c r="K101" s="53"/>
      <c r="L101" s="53"/>
      <c r="M101" s="53"/>
      <c r="N101" s="53"/>
      <c r="O101" s="53"/>
      <c r="P101" s="53"/>
      <c r="Q101" s="53"/>
      <c r="R101" s="53"/>
      <c r="S101" s="53"/>
      <c r="T101" s="53"/>
      <c r="U101" s="53"/>
      <c r="V101" s="53"/>
      <c r="W101" s="53"/>
      <c r="X101" s="53"/>
      <c r="Y101" s="53"/>
      <c r="Z101" s="53"/>
      <c r="AA101" s="53"/>
      <c r="AB101" s="36">
        <f t="shared" si="16"/>
        <v>0</v>
      </c>
      <c r="AC101" s="85" t="str">
        <f>CONCATENATE(IF(D101&gt;D99," * F03-03 for Age "&amp;D20&amp;" "&amp;D21&amp;" is more than F03-01"&amp;CHAR(10),""),IF(E101&gt;E99," * F03-03 for Age "&amp;D20&amp;" "&amp;E21&amp;" is more than F03-01"&amp;CHAR(10),""),IF(F101&gt;F99," * F03-03 for Age "&amp;F20&amp;" "&amp;F21&amp;" is more than F03-01"&amp;CHAR(10),""),IF(G101&gt;G99," * F03-03 for Age "&amp;F20&amp;" "&amp;G21&amp;" is more than F03-01"&amp;CHAR(10),""),IF(H101&gt;H99," * F03-03 for Age "&amp;H20&amp;" "&amp;H21&amp;" is more than F03-01"&amp;CHAR(10),""),IF(I101&gt;I99," * F03-03 for Age "&amp;H20&amp;" "&amp;I21&amp;" is more than F03-01"&amp;CHAR(10),""),IF(J101&gt;J99," * F03-03 for Age "&amp;J20&amp;" "&amp;J21&amp;" is more than F03-01"&amp;CHAR(10),""),IF(K101&gt;K99," * F03-03 for Age "&amp;J20&amp;" "&amp;K21&amp;" is more than F03-01"&amp;CHAR(10),""),IF(L101&gt;L99," * F03-03 for Age "&amp;L20&amp;" "&amp;L21&amp;" is more than F03-01"&amp;CHAR(10),""),IF(M101&gt;M99," * F03-03 for Age "&amp;L20&amp;" "&amp;M21&amp;" is more than F03-01"&amp;CHAR(10),""),IF(N101&gt;N99," * F03-03 for Age "&amp;N20&amp;" "&amp;N21&amp;" is more than F03-01"&amp;CHAR(10),""),IF(O101&gt;O99," * F03-03 for Age "&amp;N20&amp;" "&amp;O21&amp;" is more than F03-01"&amp;CHAR(10),""),IF(P101&gt;P99," * F03-03 for Age "&amp;P20&amp;" "&amp;P21&amp;" is more than F03-01"&amp;CHAR(10),""),IF(Q101&gt;Q99," * F03-03 for Age "&amp;P20&amp;" "&amp;Q21&amp;" is more than F03-01"&amp;CHAR(10),""),IF(R101&gt;R99," * F03-03 for Age "&amp;R20&amp;" "&amp;R21&amp;" is more than F03-01"&amp;CHAR(10),""),IF(S101&gt;S99," * F03-03 for Age "&amp;R20&amp;" "&amp;S21&amp;" is more than F03-01"&amp;CHAR(10),""),IF(T101&gt;T99," * F03-03 for Age "&amp;T20&amp;" "&amp;T21&amp;" is more than F03-01"&amp;CHAR(10),""),IF(U101&gt;U99," * F03-03 for Age "&amp;T20&amp;" "&amp;U21&amp;" is more than F03-01"&amp;CHAR(10),""),IF(V101&gt;V99," * F03-03 for Age "&amp;V20&amp;" "&amp;V21&amp;" is more than F03-01"&amp;CHAR(10),""),IF(W101&gt;W99," * F03-03 for Age "&amp;V20&amp;" "&amp;W21&amp;" is more than F03-01"&amp;CHAR(10),""),IF(X101&gt;X99," * F03-03 for Age "&amp;X20&amp;" "&amp;X21&amp;" is more than F03-01"&amp;CHAR(10),""),IF(Y101&gt;Y99," * F03-03 for Age "&amp;X20&amp;" "&amp;Y21&amp;" is more than F03-01"&amp;CHAR(10),""),IF(Z101&gt;Z99," * F03-03 for Age "&amp;Z20&amp;" "&amp;Z21&amp;" is more than F03-01"&amp;CHAR(10),""),IF(AA101&gt;AA99," * F03-03 for Age "&amp;Z20&amp;" "&amp;AA21&amp;" is more than F03-01"&amp;CHAR(10),""))</f>
        <v/>
      </c>
      <c r="AD101" s="600"/>
      <c r="AE101" s="83"/>
      <c r="AF101" s="640"/>
      <c r="AG101" s="439">
        <v>100</v>
      </c>
    </row>
    <row r="102" spans="1:34" ht="31.3" thickBot="1" x14ac:dyDescent="0.9">
      <c r="A102" s="567"/>
      <c r="B102" s="281" t="s">
        <v>679</v>
      </c>
      <c r="C102" s="138" t="s">
        <v>216</v>
      </c>
      <c r="D102" s="153"/>
      <c r="E102" s="54"/>
      <c r="F102" s="54"/>
      <c r="G102" s="54"/>
      <c r="H102" s="54"/>
      <c r="I102" s="54"/>
      <c r="J102" s="54"/>
      <c r="K102" s="54"/>
      <c r="L102" s="54"/>
      <c r="M102" s="54"/>
      <c r="N102" s="54"/>
      <c r="O102" s="54"/>
      <c r="P102" s="54"/>
      <c r="Q102" s="54"/>
      <c r="R102" s="54"/>
      <c r="S102" s="54"/>
      <c r="T102" s="54"/>
      <c r="U102" s="54"/>
      <c r="V102" s="54"/>
      <c r="W102" s="54"/>
      <c r="X102" s="54"/>
      <c r="Y102" s="54"/>
      <c r="Z102" s="54"/>
      <c r="AA102" s="54"/>
      <c r="AB102" s="40">
        <f t="shared" si="16"/>
        <v>0</v>
      </c>
      <c r="AC102" s="85" t="str">
        <f>CONCATENATE(IF(D102&gt;D100," * F03-04 for Age "&amp;D20&amp;" "&amp;D21&amp;" is more than F03-02"&amp;CHAR(10),""),IF(E102&gt;E100," * F03-04 for Age "&amp;D20&amp;" "&amp;E21&amp;" is more than F03-02"&amp;CHAR(10),""),IF(F102&gt;F100," * F03-04 for Age "&amp;F20&amp;" "&amp;F21&amp;" is more than F03-02"&amp;CHAR(10),""),IF(G102&gt;G100," * F03-04 for Age "&amp;F20&amp;" "&amp;G21&amp;" is more than F03-02"&amp;CHAR(10),""),IF(H102&gt;H100," * F03-04 for Age "&amp;H20&amp;" "&amp;H21&amp;" is more than F03-02"&amp;CHAR(10),""),IF(I102&gt;I100," * F03-04 for Age "&amp;H20&amp;" "&amp;I21&amp;" is more than F03-02"&amp;CHAR(10),""),IF(J102&gt;J100," * F03-04 for Age "&amp;J20&amp;" "&amp;J21&amp;" is more than F03-02"&amp;CHAR(10),""),IF(K102&gt;K100," * F03-04 for Age "&amp;J20&amp;" "&amp;K21&amp;" is more than F03-02"&amp;CHAR(10),""),IF(L102&gt;L100," * F03-04 for Age "&amp;L20&amp;" "&amp;L21&amp;" is more than F03-02"&amp;CHAR(10),""),IF(M102&gt;M100," * F03-04 for Age "&amp;L20&amp;" "&amp;M21&amp;" is more than F03-02"&amp;CHAR(10),""),IF(N102&gt;N100," * F03-04 for Age "&amp;N20&amp;" "&amp;N21&amp;" is more than F03-02"&amp;CHAR(10),""),IF(O102&gt;O100," * F03-04 for Age "&amp;N20&amp;" "&amp;O21&amp;" is more than F03-02"&amp;CHAR(10),""),IF(P102&gt;P100," * F03-04 for Age "&amp;P20&amp;" "&amp;P21&amp;" is more than F03-02"&amp;CHAR(10),""),IF(Q102&gt;Q100," * F03-04 for Age "&amp;P20&amp;" "&amp;Q21&amp;" is more than F03-02"&amp;CHAR(10),""),IF(R102&gt;R100," * F03-04 for Age "&amp;R20&amp;" "&amp;R21&amp;" is more than F03-02"&amp;CHAR(10),""),IF(S102&gt;S100," * F03-04 for Age "&amp;R20&amp;" "&amp;S21&amp;" is more than F03-02"&amp;CHAR(10),""),IF(T102&gt;T100," * F03-04 for Age "&amp;T20&amp;" "&amp;T21&amp;" is more than F03-02"&amp;CHAR(10),""),IF(U102&gt;U100," * F03-04 for Age "&amp;T20&amp;" "&amp;U21&amp;" is more than F03-02"&amp;CHAR(10),""),IF(V102&gt;V100," * F03-04 for Age "&amp;V20&amp;" "&amp;V21&amp;" is more than F03-02"&amp;CHAR(10),""),IF(W102&gt;W100," * F03-04 for Age "&amp;V20&amp;" "&amp;W21&amp;" is more than F03-02"&amp;CHAR(10),""),IF(X102&gt;X100," * F03-04 for Age "&amp;X20&amp;" "&amp;X21&amp;" is more than F03-02"&amp;CHAR(10),""),IF(Y102&gt;Y100," * F03-04 for Age "&amp;X20&amp;" "&amp;Y21&amp;" is more than F03-02"&amp;CHAR(10),""),IF(Z102&gt;Z100," * F03-04 for Age "&amp;Z20&amp;" "&amp;Z21&amp;" is more than F03-02"&amp;CHAR(10),""),IF(AA102&gt;AA100," * F03-04 for Age "&amp;Z20&amp;" "&amp;AA21&amp;" is more than F03-02"&amp;CHAR(10),""),IF(AB102&gt;AB100," * Total F03-04 is more than Total F03-02"&amp;CHAR(10),""))</f>
        <v/>
      </c>
      <c r="AD102" s="600"/>
      <c r="AE102" s="83"/>
      <c r="AF102" s="640"/>
      <c r="AG102" s="439">
        <v>101</v>
      </c>
    </row>
    <row r="103" spans="1:34" s="7" customFormat="1" x14ac:dyDescent="0.85">
      <c r="A103" s="586" t="s">
        <v>29</v>
      </c>
      <c r="B103" s="293" t="s">
        <v>681</v>
      </c>
      <c r="C103" s="159" t="s">
        <v>217</v>
      </c>
      <c r="D103" s="154"/>
      <c r="E103" s="48"/>
      <c r="F103" s="48"/>
      <c r="G103" s="48"/>
      <c r="H103" s="48"/>
      <c r="I103" s="48"/>
      <c r="J103" s="48"/>
      <c r="K103" s="48"/>
      <c r="L103" s="48"/>
      <c r="M103" s="48"/>
      <c r="N103" s="48"/>
      <c r="O103" s="48"/>
      <c r="P103" s="48"/>
      <c r="Q103" s="48"/>
      <c r="R103" s="48"/>
      <c r="S103" s="48"/>
      <c r="T103" s="48"/>
      <c r="U103" s="48"/>
      <c r="V103" s="48"/>
      <c r="W103" s="48"/>
      <c r="X103" s="48"/>
      <c r="Y103" s="48"/>
      <c r="Z103" s="48"/>
      <c r="AA103" s="48"/>
      <c r="AB103" s="36">
        <f t="shared" si="16"/>
        <v>0</v>
      </c>
      <c r="AC103" s="85" t="str">
        <f>CONCATENATE(IF(D252&lt;SUM(D99,D100)," * Total Initiated on IPT for Age "&amp;D20&amp;" "&amp;D21&amp;" is More than Current ON ART "&amp;CHAR(10),""),IF(E252&lt;SUM(E99,E100)," * Total Initiated on IPT for Age "&amp;D20&amp;" "&amp;E21&amp;" is More than the sum of F03-03+F03-05+F03-07+F03-09+F03-11"&amp;CHAR(10),""),IF(F252&lt;SUM(F99,F100)," * Total Initiated on IPT for Age "&amp;F20&amp;" "&amp;F21&amp;" is More than Current ON ART "&amp;CHAR(10),""),IF(G252&lt;SUM(G99,G100)," * Total Initiated on IPT for Age "&amp;F20&amp;" "&amp;G21&amp;" is More than the sum of F03-03+F03-05+F03-07+F03-09+F03-11"&amp;CHAR(10),""),IF(H252&lt;SUM(H99,H100)," * Total Initiated on IPT for Age "&amp;H20&amp;" "&amp;H21&amp;" is More than Current ON ART "&amp;CHAR(10),""),IF(I252&lt;SUM(I99,I100)," * Total Initiated on IPT for Age "&amp;H20&amp;" "&amp;I21&amp;" is More than the sum of F03-03+F03-05+F03-07+F03-09+F03-11"&amp;CHAR(10),""),IF(J252&lt;SUM(J99,J100)," * Total Initiated on IPT for Age "&amp;J20&amp;" "&amp;J21&amp;" is More than Current ON ART "&amp;CHAR(10),""),IF(K252&lt;SUM(K99,K100)," * Total Initiated on IPT for Age "&amp;J20&amp;" "&amp;K21&amp;" is More than the sum of F03-03+F03-05+F03-07+F03-09+F03-11"&amp;CHAR(10),""),IF(L252&lt;SUM(L99,L100)," * Total Initiated on IPT for Age "&amp;L20&amp;" "&amp;L21&amp;" is More than Current ON ART "&amp;CHAR(10),""),IF(M252&lt;SUM(M99,M100)," * Total Initiated on IPT for Age "&amp;L20&amp;" "&amp;M21&amp;" is More than the sum of F03-03+F03-05+F03-07+F03-09+F03-11"&amp;CHAR(10),""),IF(N252&lt;SUM(N99,N100)," * Total Initiated on IPT for Age "&amp;N20&amp;" "&amp;N21&amp;" is More than Current ON ART "&amp;CHAR(10),""),IF(O252&lt;SUM(O99,O100)," * Total Initiated on IPT for Age "&amp;N20&amp;" "&amp;O21&amp;" is More than the sum of F03-03+F03-05+F03-07+F03-09+F03-11"&amp;CHAR(10),""),IF(P252&lt;SUM(P99,P100)," * Total Initiated on IPT for Age "&amp;P20&amp;" "&amp;P21&amp;" is More than Current ON ART "&amp;CHAR(10),""),IF(Q252&lt;SUM(Q99,Q100)," * Total Initiated on IPT for Age "&amp;P20&amp;" "&amp;Q21&amp;" is More than the sum of F03-03+F03-05+F03-07+F03-09+F03-11"&amp;CHAR(10),""),IF(R252&lt;SUM(R99,R100)," * Total Initiated on IPT for Age "&amp;R20&amp;" "&amp;R21&amp;" is More than Current ON ART "&amp;CHAR(10),""),IF(S252&lt;SUM(S99,S100)," * Total Initiated on IPT for Age "&amp;R20&amp;" "&amp;S21&amp;" is More than the sum of F03-03+F03-05+F03-07+F03-09+F03-11"&amp;CHAR(10),""),IF(T252&lt;SUM(T99,T100)," * Total Initiated on IPT for Age "&amp;T20&amp;" "&amp;T21&amp;" is More than Current ON ART "&amp;CHAR(10),""),IF(U252&lt;SUM(U99,U100)," * Total Initiated on IPT for Age "&amp;T20&amp;" "&amp;U21&amp;" is More than the sum of F03-03+F03-05+F03-07+F03-09+F03-11"&amp;CHAR(10),""),IF(V252&lt;SUM(V99,V100)," * Total Initiated on IPT for Age "&amp;V20&amp;" "&amp;V21&amp;" is More than Current ON ART "&amp;CHAR(10),""),IF(W252&lt;SUM(W99,W100)," * Total Initiated on IPT for Age "&amp;V20&amp;" "&amp;W21&amp;" is More than the sum of F03-03+F03-05+F03-07+F03-09+F03-11"&amp;CHAR(10),""),IF(X252&lt;SUM(X99,X100)," * Total Initiated on IPT for Age "&amp;X20&amp;" "&amp;X21&amp;" is More than Current ON ART "&amp;CHAR(10),""),IF(Y252&lt;SUM(Y99,Y100)," * Total Initiated on IPT for Age "&amp;X20&amp;" "&amp;Y21&amp;" is More than the sum of F03-03+F03-05+F03-07+F03-09+F03-11"&amp;CHAR(10),""),IF(Z252&lt;SUM(Z99,Z100)," * Total Initiated on IPT for Age "&amp;Z20&amp;" "&amp;Z21&amp;" is More than Current ON ART "&amp;CHAR(10),""),IF(AA252&lt;SUM(AA99,AA100)," * Total Initiated on IPT for Age "&amp;Z20&amp;" "&amp;AA21&amp;" is More than Current ON ART "&amp;CHAR(10),""))</f>
        <v/>
      </c>
      <c r="AD103" s="600"/>
      <c r="AE103" s="83"/>
      <c r="AF103" s="640"/>
      <c r="AG103" s="439">
        <v>102</v>
      </c>
      <c r="AH103" s="333"/>
    </row>
    <row r="104" spans="1:34" s="7" customFormat="1" ht="31.3" thickBot="1" x14ac:dyDescent="0.9">
      <c r="A104" s="587"/>
      <c r="B104" s="294" t="s">
        <v>682</v>
      </c>
      <c r="C104" s="160" t="s">
        <v>218</v>
      </c>
      <c r="D104" s="1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c r="AB104" s="40">
        <f t="shared" si="16"/>
        <v>0</v>
      </c>
      <c r="AC104" s="85"/>
      <c r="AD104" s="600"/>
      <c r="AE104" s="83"/>
      <c r="AF104" s="640"/>
      <c r="AG104" s="439">
        <v>103</v>
      </c>
      <c r="AH104" s="333"/>
    </row>
    <row r="105" spans="1:34" s="7" customFormat="1" x14ac:dyDescent="0.85">
      <c r="A105" s="586" t="s">
        <v>30</v>
      </c>
      <c r="B105" s="293" t="s">
        <v>681</v>
      </c>
      <c r="C105" s="159" t="s">
        <v>219</v>
      </c>
      <c r="D105" s="154"/>
      <c r="E105" s="48"/>
      <c r="F105" s="48"/>
      <c r="G105" s="48"/>
      <c r="H105" s="48"/>
      <c r="I105" s="48"/>
      <c r="J105" s="48"/>
      <c r="K105" s="48"/>
      <c r="L105" s="48"/>
      <c r="M105" s="48"/>
      <c r="N105" s="48"/>
      <c r="O105" s="48"/>
      <c r="P105" s="48"/>
      <c r="Q105" s="48"/>
      <c r="R105" s="48"/>
      <c r="S105" s="48"/>
      <c r="T105" s="48"/>
      <c r="U105" s="48"/>
      <c r="V105" s="48"/>
      <c r="W105" s="48"/>
      <c r="X105" s="48"/>
      <c r="Y105" s="48"/>
      <c r="Z105" s="48"/>
      <c r="AA105" s="48"/>
      <c r="AB105" s="36">
        <f t="shared" si="16"/>
        <v>0</v>
      </c>
      <c r="AC105" s="85"/>
      <c r="AD105" s="600"/>
      <c r="AE105" s="83"/>
      <c r="AF105" s="640"/>
      <c r="AG105" s="439">
        <v>104</v>
      </c>
      <c r="AH105" s="333"/>
    </row>
    <row r="106" spans="1:34" s="7" customFormat="1" ht="31.3" thickBot="1" x14ac:dyDescent="0.9">
      <c r="A106" s="587"/>
      <c r="B106" s="294" t="s">
        <v>682</v>
      </c>
      <c r="C106" s="160" t="s">
        <v>220</v>
      </c>
      <c r="D106" s="1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c r="AB106" s="40">
        <f t="shared" si="16"/>
        <v>0</v>
      </c>
      <c r="AC106" s="85"/>
      <c r="AD106" s="600"/>
      <c r="AE106" s="83"/>
      <c r="AF106" s="640"/>
      <c r="AG106" s="439">
        <v>105</v>
      </c>
      <c r="AH106" s="333"/>
    </row>
    <row r="107" spans="1:34" s="7" customFormat="1" x14ac:dyDescent="0.85">
      <c r="A107" s="586" t="s">
        <v>31</v>
      </c>
      <c r="B107" s="293" t="s">
        <v>681</v>
      </c>
      <c r="C107" s="159" t="s">
        <v>221</v>
      </c>
      <c r="D107" s="154"/>
      <c r="E107" s="48"/>
      <c r="F107" s="48"/>
      <c r="G107" s="48"/>
      <c r="H107" s="48"/>
      <c r="I107" s="48"/>
      <c r="J107" s="48"/>
      <c r="K107" s="48"/>
      <c r="L107" s="48"/>
      <c r="M107" s="48"/>
      <c r="N107" s="48"/>
      <c r="O107" s="48"/>
      <c r="P107" s="48"/>
      <c r="Q107" s="48"/>
      <c r="R107" s="48"/>
      <c r="S107" s="48"/>
      <c r="T107" s="48"/>
      <c r="U107" s="48"/>
      <c r="V107" s="48"/>
      <c r="W107" s="48"/>
      <c r="X107" s="48"/>
      <c r="Y107" s="48"/>
      <c r="Z107" s="48"/>
      <c r="AA107" s="48"/>
      <c r="AB107" s="36">
        <f t="shared" si="16"/>
        <v>0</v>
      </c>
      <c r="AC107" s="85"/>
      <c r="AD107" s="600"/>
      <c r="AE107" s="83"/>
      <c r="AF107" s="640"/>
      <c r="AG107" s="439">
        <v>106</v>
      </c>
      <c r="AH107" s="333"/>
    </row>
    <row r="108" spans="1:34" s="7" customFormat="1" ht="31.3" thickBot="1" x14ac:dyDescent="0.9">
      <c r="A108" s="587"/>
      <c r="B108" s="294" t="s">
        <v>682</v>
      </c>
      <c r="C108" s="160" t="s">
        <v>222</v>
      </c>
      <c r="D108" s="1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40">
        <f t="shared" si="16"/>
        <v>0</v>
      </c>
      <c r="AC108" s="85"/>
      <c r="AD108" s="600"/>
      <c r="AE108" s="83"/>
      <c r="AF108" s="640"/>
      <c r="AG108" s="439">
        <v>107</v>
      </c>
      <c r="AH108" s="333"/>
    </row>
    <row r="109" spans="1:34" s="7" customFormat="1" x14ac:dyDescent="0.85">
      <c r="A109" s="586" t="s">
        <v>32</v>
      </c>
      <c r="B109" s="295" t="s">
        <v>681</v>
      </c>
      <c r="C109" s="161" t="s">
        <v>223</v>
      </c>
      <c r="D109" s="156"/>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89">
        <f t="shared" si="16"/>
        <v>0</v>
      </c>
      <c r="AC109" s="85"/>
      <c r="AD109" s="600"/>
      <c r="AE109" s="83"/>
      <c r="AF109" s="640"/>
      <c r="AG109" s="439">
        <v>108</v>
      </c>
      <c r="AH109" s="333"/>
    </row>
    <row r="110" spans="1:34" s="7" customFormat="1" ht="31.3" thickBot="1" x14ac:dyDescent="0.9">
      <c r="A110" s="593"/>
      <c r="B110" s="296" t="s">
        <v>682</v>
      </c>
      <c r="C110" s="160" t="s">
        <v>224</v>
      </c>
      <c r="D110" s="157"/>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91">
        <f t="shared" si="16"/>
        <v>0</v>
      </c>
      <c r="AC110" s="194"/>
      <c r="AD110" s="601"/>
      <c r="AE110" s="97"/>
      <c r="AF110" s="641"/>
      <c r="AG110" s="439">
        <v>109</v>
      </c>
      <c r="AH110" s="333"/>
    </row>
    <row r="111" spans="1:34" ht="35.15" thickBot="1" x14ac:dyDescent="0.9">
      <c r="A111" s="578" t="s">
        <v>127</v>
      </c>
      <c r="B111" s="579"/>
      <c r="C111" s="579"/>
      <c r="D111" s="579"/>
      <c r="E111" s="579"/>
      <c r="F111" s="579"/>
      <c r="G111" s="579"/>
      <c r="H111" s="579"/>
      <c r="I111" s="579"/>
      <c r="J111" s="579"/>
      <c r="K111" s="579"/>
      <c r="L111" s="579"/>
      <c r="M111" s="579"/>
      <c r="N111" s="579"/>
      <c r="O111" s="579"/>
      <c r="P111" s="579"/>
      <c r="Q111" s="579"/>
      <c r="R111" s="579"/>
      <c r="S111" s="579"/>
      <c r="T111" s="579"/>
      <c r="U111" s="579"/>
      <c r="V111" s="579"/>
      <c r="W111" s="579"/>
      <c r="X111" s="579"/>
      <c r="Y111" s="579"/>
      <c r="Z111" s="579"/>
      <c r="AA111" s="579"/>
      <c r="AB111" s="579"/>
      <c r="AC111" s="579"/>
      <c r="AD111" s="579"/>
      <c r="AE111" s="579"/>
      <c r="AF111" s="580"/>
      <c r="AG111" s="439">
        <v>110</v>
      </c>
    </row>
    <row r="112" spans="1:34" ht="26.25" customHeight="1" x14ac:dyDescent="0.85">
      <c r="A112" s="588" t="s">
        <v>37</v>
      </c>
      <c r="B112" s="590" t="s">
        <v>347</v>
      </c>
      <c r="C112" s="666" t="s">
        <v>328</v>
      </c>
      <c r="D112" s="707"/>
      <c r="E112" s="708"/>
      <c r="F112" s="708"/>
      <c r="G112" s="708"/>
      <c r="H112" s="708"/>
      <c r="I112" s="708"/>
      <c r="J112" s="708"/>
      <c r="K112" s="709"/>
      <c r="L112" s="602" t="s">
        <v>4</v>
      </c>
      <c r="M112" s="602"/>
      <c r="N112" s="602" t="s">
        <v>5</v>
      </c>
      <c r="O112" s="602"/>
      <c r="P112" s="602" t="s">
        <v>6</v>
      </c>
      <c r="Q112" s="602"/>
      <c r="R112" s="602" t="s">
        <v>7</v>
      </c>
      <c r="S112" s="602"/>
      <c r="T112" s="602" t="s">
        <v>8</v>
      </c>
      <c r="U112" s="602"/>
      <c r="V112" s="602" t="s">
        <v>23</v>
      </c>
      <c r="W112" s="602"/>
      <c r="X112" s="602" t="s">
        <v>24</v>
      </c>
      <c r="Y112" s="602"/>
      <c r="Z112" s="602" t="s">
        <v>9</v>
      </c>
      <c r="AA112" s="602"/>
      <c r="AB112" s="649" t="s">
        <v>19</v>
      </c>
      <c r="AC112" s="637" t="s">
        <v>381</v>
      </c>
      <c r="AD112" s="583" t="s">
        <v>387</v>
      </c>
      <c r="AE112" s="582" t="s">
        <v>388</v>
      </c>
      <c r="AF112" s="630" t="s">
        <v>388</v>
      </c>
      <c r="AG112" s="439">
        <v>111</v>
      </c>
    </row>
    <row r="113" spans="1:33" ht="27" customHeight="1" thickBot="1" x14ac:dyDescent="0.9">
      <c r="A113" s="589"/>
      <c r="B113" s="591"/>
      <c r="C113" s="667"/>
      <c r="D113" s="710"/>
      <c r="E113" s="711"/>
      <c r="F113" s="711"/>
      <c r="G113" s="711"/>
      <c r="H113" s="711"/>
      <c r="I113" s="711"/>
      <c r="J113" s="711"/>
      <c r="K113" s="712"/>
      <c r="L113" s="81" t="s">
        <v>10</v>
      </c>
      <c r="M113" s="81" t="s">
        <v>11</v>
      </c>
      <c r="N113" s="81" t="s">
        <v>10</v>
      </c>
      <c r="O113" s="81" t="s">
        <v>11</v>
      </c>
      <c r="P113" s="81" t="s">
        <v>10</v>
      </c>
      <c r="Q113" s="81" t="s">
        <v>11</v>
      </c>
      <c r="R113" s="81" t="s">
        <v>10</v>
      </c>
      <c r="S113" s="81" t="s">
        <v>11</v>
      </c>
      <c r="T113" s="81" t="s">
        <v>10</v>
      </c>
      <c r="U113" s="81" t="s">
        <v>11</v>
      </c>
      <c r="V113" s="81" t="s">
        <v>10</v>
      </c>
      <c r="W113" s="81" t="s">
        <v>11</v>
      </c>
      <c r="X113" s="81" t="s">
        <v>10</v>
      </c>
      <c r="Y113" s="81" t="s">
        <v>11</v>
      </c>
      <c r="Z113" s="81" t="s">
        <v>10</v>
      </c>
      <c r="AA113" s="81" t="s">
        <v>11</v>
      </c>
      <c r="AB113" s="650"/>
      <c r="AC113" s="638"/>
      <c r="AD113" s="584"/>
      <c r="AE113" s="582"/>
      <c r="AF113" s="577"/>
      <c r="AG113" s="439">
        <v>112</v>
      </c>
    </row>
    <row r="114" spans="1:33" x14ac:dyDescent="0.85">
      <c r="A114" s="665" t="s">
        <v>33</v>
      </c>
      <c r="B114" s="274" t="s">
        <v>683</v>
      </c>
      <c r="C114" s="148" t="s">
        <v>359</v>
      </c>
      <c r="D114" s="126"/>
      <c r="E114" s="32"/>
      <c r="F114" s="32"/>
      <c r="G114" s="32"/>
      <c r="H114" s="32"/>
      <c r="I114" s="32"/>
      <c r="J114" s="32"/>
      <c r="K114" s="32"/>
      <c r="L114" s="32"/>
      <c r="M114" s="31"/>
      <c r="N114" s="32"/>
      <c r="O114" s="31"/>
      <c r="P114" s="32"/>
      <c r="Q114" s="31"/>
      <c r="R114" s="32"/>
      <c r="S114" s="31"/>
      <c r="T114" s="32"/>
      <c r="U114" s="31"/>
      <c r="V114" s="32"/>
      <c r="W114" s="31"/>
      <c r="X114" s="56"/>
      <c r="Y114" s="31"/>
      <c r="Z114" s="56"/>
      <c r="AA114" s="31"/>
      <c r="AB114" s="89">
        <f>SUM(D114:AA114)</f>
        <v>0</v>
      </c>
      <c r="AC114" s="102"/>
      <c r="AD114" s="659" t="str">
        <f>CONCATENATE(AC114,AC115,AC116,AC118,AC119,AC120,AC121,AC122,AC123,AC125,AC126,AC127,AC128,AC129,AC130,AC132,AC133,AC134)</f>
        <v/>
      </c>
      <c r="AE114" s="99"/>
      <c r="AF114" s="639" t="str">
        <f>CONCATENATE(AE114,AE115,AE116,AE118,AE119,AE120,AE121,AE122,AE123,AE125,AE126,AE127,AE128,AE129,AE130,AE132,AE133,AE134)</f>
        <v/>
      </c>
      <c r="AG114" s="439">
        <v>113</v>
      </c>
    </row>
    <row r="115" spans="1:33" x14ac:dyDescent="0.85">
      <c r="A115" s="566"/>
      <c r="B115" s="275" t="s">
        <v>153</v>
      </c>
      <c r="C115" s="136" t="s">
        <v>225</v>
      </c>
      <c r="D115" s="127"/>
      <c r="E115" s="18"/>
      <c r="F115" s="18"/>
      <c r="G115" s="18"/>
      <c r="H115" s="18"/>
      <c r="I115" s="18"/>
      <c r="J115" s="18"/>
      <c r="K115" s="18"/>
      <c r="L115" s="18"/>
      <c r="M115" s="19"/>
      <c r="N115" s="18"/>
      <c r="O115" s="19"/>
      <c r="P115" s="18"/>
      <c r="Q115" s="19"/>
      <c r="R115" s="18"/>
      <c r="S115" s="19"/>
      <c r="T115" s="18"/>
      <c r="U115" s="19"/>
      <c r="V115" s="18"/>
      <c r="W115" s="19"/>
      <c r="X115" s="26"/>
      <c r="Y115" s="19"/>
      <c r="Z115" s="26"/>
      <c r="AA115" s="19"/>
      <c r="AB115" s="37">
        <f t="shared" ref="AB115:AB134" si="17">SUM(D115:AA115)</f>
        <v>0</v>
      </c>
      <c r="AC115" s="85" t="str">
        <f>CONCATENATE(IF(D117&lt;&gt;SUM(D118,D119,D120)," * Total CXCA Screening positive for Age "&amp;D20&amp;" "&amp;D21&amp;" is Not equal to  the sum of (Cryotherapy and Leep and Thermocoagulation)"&amp;CHAR(10),""),IF(E117&lt;&gt;SUM(E118,E119,E120)," * Total CXCA Screening positive for Age "&amp;D20&amp;" "&amp;E21&amp;" is Not equal to  the sum of (Cryotherapy and Leep and Thermocoagulation)"&amp;CHAR(10),""),IF(F117&lt;&gt;SUM(F118,F119,F120)," * Total CXCA Screening positive for Age "&amp;F20&amp;" "&amp;F21&amp;" is Not equal to  the sum of (Cryotherapy and Leep and Thermocoagulation)"&amp;CHAR(10),""),IF(G117&lt;&gt;SUM(G118,G119,G120)," * Total CXCA Screening positive for Age "&amp;F20&amp;" "&amp;G21&amp;" is Not equal to  the sum of (Cryotherapy and Leep and Thermocoagulation)"&amp;CHAR(10),""),IF(H117&lt;&gt;SUM(H118,H119,H120)," * Total CXCA Screening positive for Age "&amp;H20&amp;" "&amp;H21&amp;" is Not equal to  the sum of (Cryotherapy and Leep and Thermocoagulation)"&amp;CHAR(10),""),IF(I117&lt;&gt;SUM(I118,I119,I120)," * Total CXCA Screening positive for Age "&amp;H20&amp;" "&amp;I21&amp;" is Not equal to  the sum of (Cryotherapy and Leep and Thermocoagulation)"&amp;CHAR(10),""),IF(J117&lt;&gt;SUM(J118,J119,J120)," * Total CXCA Screening positive for Age "&amp;J20&amp;" "&amp;J21&amp;" is Not equal to  the sum of (Cryotherapy and Leep and Thermocoagulation)"&amp;CHAR(10),""),IF(K117&lt;&gt;SUM(K118,K119,K120)," * Total CXCA Screening positive for Age "&amp;J20&amp;" "&amp;K21&amp;" is Not equal to  the sum of (Cryotherapy and Leep and Thermocoagulation)"&amp;CHAR(10),""),IF(L117&lt;&gt;SUM(L118,L119,L120)," * Total CXCA Screening positive for Age "&amp;L20&amp;" "&amp;L21&amp;" is Not equal to  the sum of (Cryotherapy and Leep and Thermocoagulation)"&amp;CHAR(10),""),IF(M117&lt;&gt;SUM(M118,M119,M120)," * Total CXCA Screening positive for Age "&amp;L20&amp;" "&amp;M21&amp;" is Not equal to  the sum of (Cryotherapy and Leep and Thermocoagulation)"&amp;CHAR(10),""),IF(N117&lt;&gt;SUM(N118,N119,N120)," * Total CXCA Screening positive for Age "&amp;N20&amp;" "&amp;N21&amp;" is Not equal to  the sum of (Cryotherapy and Leep and Thermocoagulation)"&amp;CHAR(10),""),IF(O117&lt;&gt;SUM(O118,O119,O120)," * Total CXCA Screening positive for Age "&amp;N20&amp;" "&amp;O21&amp;" is Not equal to  the sum of (Cryotherapy and Leep and Thermocoagulation)"&amp;CHAR(10),""),IF(P117&lt;&gt;SUM(P118,P119,P120)," * Total CXCA Screening positive for Age "&amp;P20&amp;" "&amp;P21&amp;" is Not equal to  the sum of (Cryotherapy and Leep and Thermocoagulation)"&amp;CHAR(10),""),IF(Q117&lt;&gt;SUM(Q118,Q119,Q120)," * Total CXCA Screening positive for Age "&amp;P20&amp;" "&amp;Q21&amp;" is Not equal to  the sum of (Cryotherapy and Leep and Thermocoagulation)"&amp;CHAR(10),""),IF(R117&lt;&gt;SUM(R118,R119,R120)," * Total CXCA Screening positive for Age "&amp;R20&amp;" "&amp;R21&amp;" is Not equal to  the sum of (Cryotherapy and Leep and Thermocoagulation)"&amp;CHAR(10),""),IF(S117&lt;&gt;SUM(S118,S119,S120)," * Total CXCA Screening positive for Age "&amp;R20&amp;" "&amp;S21&amp;" is Not equal to  the sum of (Cryotherapy and Leep and Thermocoagulation)"&amp;CHAR(10),""),IF(T117&lt;&gt;SUM(T118,T119,T120)," * Total CXCA Screening positive for Age "&amp;T20&amp;" "&amp;T21&amp;" is Not equal to  the sum of (Cryotherapy and Leep and Thermocoagulation)"&amp;CHAR(10),""),IF(U117&lt;&gt;SUM(U118,U119,U120)," * Total CXCA Screening positive for Age "&amp;T20&amp;" "&amp;U21&amp;" is Not equal to  the sum of (Cryotherapy and Leep and Thermocoagulation)"&amp;CHAR(10),""),IF(V117&lt;&gt;SUM(V118,V119,V120)," * Total CXCA Screening positive for Age "&amp;V20&amp;" "&amp;V21&amp;" is Not equal to  the sum of (Cryotherapy and Leep and Thermocoagulation)"&amp;CHAR(10),""),IF(W117&lt;&gt;SUM(W118,W119,W120)," * Total CXCA Screening positive for Age "&amp;V20&amp;" "&amp;W21&amp;" is Not equal to  the sum of (Cryotherapy and Leep and Thermocoagulation)"&amp;CHAR(10),""),IF(X117&lt;&gt;SUM(X118,X119,X120)," * Total CXCA Screening positive for Age "&amp;X20&amp;" "&amp;X21&amp;" is Not equal to  the sum of (Cryotherapy and Leep and Thermocoagulation)"&amp;CHAR(10),""),IF(Y117&lt;&gt;SUM(Y118,Y119,Y120)," * Total CXCA Screening positive for Age "&amp;X20&amp;" "&amp;Y21&amp;" is Not equal to  the sum of (Cryotherapy and Leep and Thermocoagulation)"&amp;CHAR(10),""),IF(Z117&lt;&gt;SUM(Z118,Z119,Z120)," * Total CXCA Screening positive for Age "&amp;Z20&amp;" "&amp;Z21&amp;" is Not equal to  the sum of (Cryotherapy and Leep and Thermocoagulation)"&amp;CHAR(10),""),IF(AA117&lt;&gt;SUM(AA118,AA119,AA120)," * Total CXCA Screening positive for Age "&amp;Z20&amp;" "&amp;AA21&amp;" is Not equal to  the sum of (Cryotherapy and Leep and Thermocoagulation)"&amp;CHAR(10),""))</f>
        <v/>
      </c>
      <c r="AD115" s="643"/>
      <c r="AE115" s="83"/>
      <c r="AF115" s="640"/>
      <c r="AG115" s="439">
        <v>114</v>
      </c>
    </row>
    <row r="116" spans="1:33" x14ac:dyDescent="0.85">
      <c r="A116" s="566"/>
      <c r="B116" s="275" t="s">
        <v>684</v>
      </c>
      <c r="C116" s="136" t="s">
        <v>360</v>
      </c>
      <c r="D116" s="127"/>
      <c r="E116" s="18"/>
      <c r="F116" s="18"/>
      <c r="G116" s="18"/>
      <c r="H116" s="18"/>
      <c r="I116" s="18"/>
      <c r="J116" s="18"/>
      <c r="K116" s="18"/>
      <c r="L116" s="18"/>
      <c r="M116" s="19"/>
      <c r="N116" s="18"/>
      <c r="O116" s="19"/>
      <c r="P116" s="18"/>
      <c r="Q116" s="19"/>
      <c r="R116" s="18"/>
      <c r="S116" s="19"/>
      <c r="T116" s="18"/>
      <c r="U116" s="19"/>
      <c r="V116" s="18"/>
      <c r="W116" s="19"/>
      <c r="X116" s="26"/>
      <c r="Y116" s="19"/>
      <c r="Z116" s="26"/>
      <c r="AA116" s="19"/>
      <c r="AB116" s="37">
        <f t="shared" si="17"/>
        <v>0</v>
      </c>
      <c r="AC116" s="85"/>
      <c r="AD116" s="643"/>
      <c r="AE116" s="83"/>
      <c r="AF116" s="640"/>
      <c r="AG116" s="439">
        <v>115</v>
      </c>
    </row>
    <row r="117" spans="1:33" ht="31.75" x14ac:dyDescent="0.85">
      <c r="A117" s="566"/>
      <c r="B117" s="365" t="s">
        <v>893</v>
      </c>
      <c r="C117" s="146" t="s">
        <v>894</v>
      </c>
      <c r="D117" s="127"/>
      <c r="E117" s="18"/>
      <c r="F117" s="18"/>
      <c r="G117" s="18"/>
      <c r="H117" s="18"/>
      <c r="I117" s="18"/>
      <c r="J117" s="18"/>
      <c r="K117" s="18"/>
      <c r="L117" s="18"/>
      <c r="M117" s="235">
        <f>M116+M115</f>
        <v>0</v>
      </c>
      <c r="N117" s="343"/>
      <c r="O117" s="235">
        <f>O116+O115</f>
        <v>0</v>
      </c>
      <c r="P117" s="230"/>
      <c r="Q117" s="235">
        <f>Q116+Q115</f>
        <v>0</v>
      </c>
      <c r="R117" s="230"/>
      <c r="S117" s="235">
        <f>S116+S115</f>
        <v>0</v>
      </c>
      <c r="T117" s="230"/>
      <c r="U117" s="235">
        <f>U116+U115</f>
        <v>0</v>
      </c>
      <c r="V117" s="230"/>
      <c r="W117" s="235">
        <f>W116+W115</f>
        <v>0</v>
      </c>
      <c r="X117" s="234"/>
      <c r="Y117" s="235">
        <f>Y116+Y115</f>
        <v>0</v>
      </c>
      <c r="Z117" s="234"/>
      <c r="AA117" s="235">
        <f>AA116+AA115</f>
        <v>0</v>
      </c>
      <c r="AB117" s="37">
        <f t="shared" si="17"/>
        <v>0</v>
      </c>
      <c r="AC117" s="216"/>
      <c r="AD117" s="643"/>
      <c r="AE117" s="83"/>
      <c r="AF117" s="640"/>
      <c r="AG117" s="439">
        <v>116</v>
      </c>
    </row>
    <row r="118" spans="1:33" x14ac:dyDescent="0.85">
      <c r="A118" s="566"/>
      <c r="B118" s="275" t="s">
        <v>685</v>
      </c>
      <c r="C118" s="136" t="s">
        <v>230</v>
      </c>
      <c r="D118" s="127"/>
      <c r="E118" s="18"/>
      <c r="F118" s="18"/>
      <c r="G118" s="18"/>
      <c r="H118" s="18"/>
      <c r="I118" s="18"/>
      <c r="J118" s="18"/>
      <c r="K118" s="18"/>
      <c r="L118" s="18"/>
      <c r="M118" s="231"/>
      <c r="N118" s="230"/>
      <c r="O118" s="231"/>
      <c r="P118" s="230"/>
      <c r="Q118" s="231"/>
      <c r="R118" s="230"/>
      <c r="S118" s="231"/>
      <c r="T118" s="230"/>
      <c r="U118" s="231"/>
      <c r="V118" s="230"/>
      <c r="W118" s="231"/>
      <c r="X118" s="234"/>
      <c r="Y118" s="231"/>
      <c r="Z118" s="234"/>
      <c r="AA118" s="231"/>
      <c r="AB118" s="37">
        <f t="shared" si="17"/>
        <v>0</v>
      </c>
      <c r="AC118" s="85"/>
      <c r="AD118" s="643"/>
      <c r="AE118" s="83"/>
      <c r="AF118" s="640"/>
      <c r="AG118" s="439">
        <v>117</v>
      </c>
    </row>
    <row r="119" spans="1:33" x14ac:dyDescent="0.85">
      <c r="A119" s="566"/>
      <c r="B119" s="275" t="s">
        <v>686</v>
      </c>
      <c r="C119" s="136" t="s">
        <v>231</v>
      </c>
      <c r="D119" s="127"/>
      <c r="E119" s="18"/>
      <c r="F119" s="18"/>
      <c r="G119" s="18"/>
      <c r="H119" s="18"/>
      <c r="I119" s="18"/>
      <c r="J119" s="18"/>
      <c r="K119" s="18"/>
      <c r="L119" s="18"/>
      <c r="M119" s="231"/>
      <c r="N119" s="230"/>
      <c r="O119" s="231"/>
      <c r="P119" s="230"/>
      <c r="Q119" s="231"/>
      <c r="R119" s="230"/>
      <c r="S119" s="231"/>
      <c r="T119" s="230"/>
      <c r="U119" s="231"/>
      <c r="V119" s="230"/>
      <c r="W119" s="231"/>
      <c r="X119" s="234"/>
      <c r="Y119" s="231"/>
      <c r="Z119" s="234"/>
      <c r="AA119" s="231"/>
      <c r="AB119" s="37">
        <f t="shared" si="17"/>
        <v>0</v>
      </c>
      <c r="AC119" s="85"/>
      <c r="AD119" s="643"/>
      <c r="AE119" s="83"/>
      <c r="AF119" s="640"/>
      <c r="AG119" s="439">
        <v>118</v>
      </c>
    </row>
    <row r="120" spans="1:33" ht="31.3" thickBot="1" x14ac:dyDescent="0.9">
      <c r="A120" s="567"/>
      <c r="B120" s="281" t="s">
        <v>687</v>
      </c>
      <c r="C120" s="138" t="s">
        <v>232</v>
      </c>
      <c r="D120" s="143"/>
      <c r="E120" s="38"/>
      <c r="F120" s="38"/>
      <c r="G120" s="38"/>
      <c r="H120" s="38"/>
      <c r="I120" s="38"/>
      <c r="J120" s="38"/>
      <c r="K120" s="38"/>
      <c r="L120" s="38"/>
      <c r="M120" s="244"/>
      <c r="N120" s="243"/>
      <c r="O120" s="244"/>
      <c r="P120" s="243"/>
      <c r="Q120" s="244"/>
      <c r="R120" s="243"/>
      <c r="S120" s="244"/>
      <c r="T120" s="243"/>
      <c r="U120" s="244"/>
      <c r="V120" s="243"/>
      <c r="W120" s="244"/>
      <c r="X120" s="248"/>
      <c r="Y120" s="244"/>
      <c r="Z120" s="248"/>
      <c r="AA120" s="244"/>
      <c r="AB120" s="40">
        <f t="shared" si="17"/>
        <v>0</v>
      </c>
      <c r="AC120" s="85"/>
      <c r="AD120" s="643"/>
      <c r="AE120" s="83"/>
      <c r="AF120" s="640"/>
      <c r="AG120" s="439">
        <v>119</v>
      </c>
    </row>
    <row r="121" spans="1:33" x14ac:dyDescent="0.85">
      <c r="A121" s="565" t="s">
        <v>469</v>
      </c>
      <c r="B121" s="283" t="s">
        <v>683</v>
      </c>
      <c r="C121" s="134" t="s">
        <v>361</v>
      </c>
      <c r="D121" s="141"/>
      <c r="E121" s="34"/>
      <c r="F121" s="34"/>
      <c r="G121" s="34"/>
      <c r="H121" s="34"/>
      <c r="I121" s="34"/>
      <c r="J121" s="34"/>
      <c r="K121" s="34"/>
      <c r="L121" s="34"/>
      <c r="M121" s="35"/>
      <c r="N121" s="34"/>
      <c r="O121" s="35"/>
      <c r="P121" s="34"/>
      <c r="Q121" s="35"/>
      <c r="R121" s="34"/>
      <c r="S121" s="35"/>
      <c r="T121" s="34"/>
      <c r="U121" s="35"/>
      <c r="V121" s="34"/>
      <c r="W121" s="35"/>
      <c r="X121" s="57"/>
      <c r="Y121" s="35"/>
      <c r="Z121" s="57"/>
      <c r="AA121" s="35"/>
      <c r="AB121" s="36">
        <f t="shared" si="17"/>
        <v>0</v>
      </c>
      <c r="AC121" s="85"/>
      <c r="AD121" s="643"/>
      <c r="AE121" s="83"/>
      <c r="AF121" s="640"/>
      <c r="AG121" s="439">
        <v>120</v>
      </c>
    </row>
    <row r="122" spans="1:33" x14ac:dyDescent="0.85">
      <c r="A122" s="566"/>
      <c r="B122" s="275" t="s">
        <v>153</v>
      </c>
      <c r="C122" s="136" t="s">
        <v>362</v>
      </c>
      <c r="D122" s="127"/>
      <c r="E122" s="18"/>
      <c r="F122" s="18"/>
      <c r="G122" s="18"/>
      <c r="H122" s="18"/>
      <c r="I122" s="18"/>
      <c r="J122" s="18"/>
      <c r="K122" s="18"/>
      <c r="L122" s="18"/>
      <c r="M122" s="19"/>
      <c r="N122" s="18"/>
      <c r="O122" s="19"/>
      <c r="P122" s="18"/>
      <c r="Q122" s="19"/>
      <c r="R122" s="18"/>
      <c r="S122" s="19"/>
      <c r="T122" s="18"/>
      <c r="U122" s="19"/>
      <c r="V122" s="18"/>
      <c r="W122" s="19"/>
      <c r="X122" s="26"/>
      <c r="Y122" s="19"/>
      <c r="Z122" s="26"/>
      <c r="AA122" s="19"/>
      <c r="AB122" s="37">
        <f t="shared" si="17"/>
        <v>0</v>
      </c>
      <c r="AC122" s="254" t="str">
        <f>CONCATENATE(IF(D124&lt;&gt;SUM(D125,D126,D127)," * Total CXCA Screening positive for Age "&amp;D20&amp;" "&amp;D21&amp;" is Not equal to  the sum of (Cryotherapy and Leep and Thermocoagulation)"&amp;CHAR(10),""),IF(E124&lt;&gt;SUM(E125,E126,E127)," * Total CXCA Screening positive for Age "&amp;D20&amp;" "&amp;E21&amp;" is Not equal to  the sum of (Cryotherapy and Leep and Thermocoagulation)"&amp;CHAR(10),""),IF(F124&lt;&gt;SUM(F125,F126,F127)," * Total CXCA Screening positive for Age "&amp;F20&amp;" "&amp;F21&amp;" is Not equal to  the sum of (Cryotherapy and Leep and Thermocoagulation)"&amp;CHAR(10),""),IF(G124&lt;&gt;SUM(G125,G126,G127)," * Total CXCA Screening positive for Age "&amp;F20&amp;" "&amp;G21&amp;" is Not equal to  the sum of (Cryotherapy and Leep and Thermocoagulation)"&amp;CHAR(10),""),IF(H124&lt;&gt;SUM(H125,H126,H127)," * Total CXCA Screening positive for Age "&amp;H20&amp;" "&amp;H21&amp;" is Not equal to  the sum of (Cryotherapy and Leep and Thermocoagulation)"&amp;CHAR(10),""),IF(I124&lt;&gt;SUM(I125,I126,I127)," * Total CXCA Screening positive for Age "&amp;H20&amp;" "&amp;I21&amp;" is Not equal to  the sum of (Cryotherapy and Leep and Thermocoagulation)"&amp;CHAR(10),""),IF(J124&lt;&gt;SUM(J125,J126,J127)," * Total CXCA Screening positive for Age "&amp;J20&amp;" "&amp;J21&amp;" is Not equal to  the sum of (Cryotherapy and Leep and Thermocoagulation)"&amp;CHAR(10),""),IF(K124&lt;&gt;SUM(K125,K126,K127)," * Total CXCA Screening positive for Age "&amp;J20&amp;" "&amp;K21&amp;" is Not equal to  the sum of (Cryotherapy and Leep and Thermocoagulation)"&amp;CHAR(10),""),IF(L124&lt;&gt;SUM(L125,L126,L127)," * Total CXCA Screening positive for Age "&amp;L20&amp;" "&amp;L21&amp;" is Not equal to  the sum of (Cryotherapy and Leep and Thermocoagulation)"&amp;CHAR(10),""),IF(M124&lt;&gt;SUM(M125,M126,M127)," * Total CXCA Screening positive for Age "&amp;L20&amp;" "&amp;M21&amp;" is Not equal to  the sum of (Cryotherapy and Leep and Thermocoagulation)"&amp;CHAR(10),""),IF(N124&lt;&gt;SUM(N125,N126,N127)," * Total CXCA Screening positive for Age "&amp;N20&amp;" "&amp;N21&amp;" is Not equal to  the sum of (Cryotherapy and Leep and Thermocoagulation)"&amp;CHAR(10),""),IF(O124&lt;&gt;SUM(O125,O126,O127)," * Total CXCA Screening positive for Age "&amp;N20&amp;" "&amp;O21&amp;" is Not equal to  the sum of (Cryotherapy and Leep and Thermocoagulation)"&amp;CHAR(10),""),IF(P124&lt;&gt;SUM(P125,P126,P127)," * Total CXCA Screening positive for Age "&amp;P20&amp;" "&amp;P21&amp;" is Not equal to  the sum of (Cryotherapy and Leep and Thermocoagulation)"&amp;CHAR(10),""),IF(Q124&lt;&gt;SUM(Q125,Q126,Q127)," * Total CXCA Screening positive for Age "&amp;P20&amp;" "&amp;Q21&amp;" is Not equal to  the sum of (Cryotherapy and Leep and Thermocoagulation)"&amp;CHAR(10),""),IF(R124&lt;&gt;SUM(R125,R126,R127)," * Total CXCA Screening positive for Age "&amp;R20&amp;" "&amp;R21&amp;" is Not equal to  the sum of (Cryotherapy and Leep and Thermocoagulation)"&amp;CHAR(10),""),IF(S124&lt;&gt;SUM(S125,S126,S127)," * Total CXCA Screening positive for Age "&amp;R20&amp;" "&amp;S21&amp;" is Not equal to  the sum of (Cryotherapy and Leep and Thermocoagulation)"&amp;CHAR(10),""),IF(T124&lt;&gt;SUM(T125,T126,T127)," * Total CXCA Screening positive for Age "&amp;T20&amp;" "&amp;T21&amp;" is Not equal to  the sum of (Cryotherapy and Leep and Thermocoagulation)"&amp;CHAR(10),""),IF(U124&lt;&gt;SUM(U125,U126,U127)," * Total CXCA Screening positive for Age "&amp;T20&amp;" "&amp;U21&amp;" is Not equal to  the sum of (Cryotherapy and Leep and Thermocoagulation)"&amp;CHAR(10),""),IF(V124&lt;&gt;SUM(V125,V126,V127)," * Total CXCA Screening positive for Age "&amp;V20&amp;" "&amp;V21&amp;" is Not equal to  the sum of (Cryotherapy and Leep and Thermocoagulation)"&amp;CHAR(10),""),IF(W124&lt;&gt;SUM(W125,W126,W127)," * Total CXCA Screening positive for Age "&amp;V20&amp;" "&amp;W21&amp;" is Not equal to  the sum of (Cryotherapy and Leep and Thermocoagulation)"&amp;CHAR(10),""),IF(X124&lt;&gt;SUM(X125,X126,X127)," * Total CXCA Screening positive for Age "&amp;X20&amp;" "&amp;X21&amp;" is Not equal to  the sum of (Cryotherapy and Leep and Thermocoagulation)"&amp;CHAR(10),""),IF(Y124&lt;&gt;SUM(Y125,Y126,Y127)," * Total CXCA Screening positive for Age "&amp;X20&amp;" "&amp;Y21&amp;" is Not equal to  the sum of (Cryotherapy and Leep and Thermocoagulation)"&amp;CHAR(10),""),IF(Z124&lt;&gt;SUM(Z125,Z126,Z127)," * Total CXCA Screening positive for Age "&amp;Z20&amp;" "&amp;Z21&amp;" is Not equal to  the sum of (Cryotherapy and Leep and Thermocoagulation)"&amp;CHAR(10),""),IF(AA124&lt;&gt;SUM(AA125,AA126,AA127)," * Total CXCA Screening positive for Age "&amp;Z20&amp;" "&amp;AA21&amp;" is Not equal to  the sum of (Cryotherapy and Leep and Thermocoagulation)"&amp;CHAR(10),""))</f>
        <v/>
      </c>
      <c r="AD122" s="643"/>
      <c r="AE122" s="83"/>
      <c r="AF122" s="640"/>
      <c r="AG122" s="439">
        <v>121</v>
      </c>
    </row>
    <row r="123" spans="1:33" x14ac:dyDescent="0.85">
      <c r="A123" s="566"/>
      <c r="B123" s="275" t="s">
        <v>684</v>
      </c>
      <c r="C123" s="136" t="s">
        <v>240</v>
      </c>
      <c r="D123" s="127"/>
      <c r="E123" s="18"/>
      <c r="F123" s="18"/>
      <c r="G123" s="18"/>
      <c r="H123" s="18"/>
      <c r="I123" s="18"/>
      <c r="J123" s="18"/>
      <c r="K123" s="18"/>
      <c r="L123" s="18"/>
      <c r="M123" s="19"/>
      <c r="N123" s="18"/>
      <c r="O123" s="19"/>
      <c r="P123" s="18"/>
      <c r="Q123" s="19"/>
      <c r="R123" s="18"/>
      <c r="S123" s="19"/>
      <c r="T123" s="18"/>
      <c r="U123" s="19"/>
      <c r="V123" s="18"/>
      <c r="W123" s="19"/>
      <c r="X123" s="26"/>
      <c r="Y123" s="19"/>
      <c r="Z123" s="26"/>
      <c r="AA123" s="19"/>
      <c r="AB123" s="37">
        <f t="shared" si="17"/>
        <v>0</v>
      </c>
      <c r="AC123" s="85"/>
      <c r="AD123" s="643"/>
      <c r="AE123" s="83"/>
      <c r="AF123" s="640"/>
      <c r="AG123" s="439">
        <v>122</v>
      </c>
    </row>
    <row r="124" spans="1:33" ht="31.75" x14ac:dyDescent="0.85">
      <c r="A124" s="566"/>
      <c r="B124" s="365" t="s">
        <v>893</v>
      </c>
      <c r="C124" s="146" t="s">
        <v>895</v>
      </c>
      <c r="D124" s="127"/>
      <c r="E124" s="18"/>
      <c r="F124" s="18"/>
      <c r="G124" s="18"/>
      <c r="H124" s="18"/>
      <c r="I124" s="18"/>
      <c r="J124" s="18"/>
      <c r="K124" s="18"/>
      <c r="L124" s="18"/>
      <c r="M124" s="29">
        <f>M123+M122</f>
        <v>0</v>
      </c>
      <c r="N124" s="224"/>
      <c r="O124" s="29">
        <f>O123+O122</f>
        <v>0</v>
      </c>
      <c r="P124" s="18"/>
      <c r="Q124" s="29">
        <f>Q123+Q122</f>
        <v>0</v>
      </c>
      <c r="R124" s="18"/>
      <c r="S124" s="29">
        <f>S123+S122</f>
        <v>0</v>
      </c>
      <c r="T124" s="18"/>
      <c r="U124" s="29">
        <f>U123+U122</f>
        <v>0</v>
      </c>
      <c r="V124" s="18"/>
      <c r="W124" s="29">
        <f>W123+W122</f>
        <v>0</v>
      </c>
      <c r="X124" s="26"/>
      <c r="Y124" s="29">
        <f>Y123+Y122</f>
        <v>0</v>
      </c>
      <c r="Z124" s="26"/>
      <c r="AA124" s="29">
        <f>AA123+AA122</f>
        <v>0</v>
      </c>
      <c r="AB124" s="37">
        <f t="shared" si="17"/>
        <v>0</v>
      </c>
      <c r="AC124" s="216"/>
      <c r="AD124" s="643"/>
      <c r="AE124" s="83"/>
      <c r="AF124" s="640"/>
      <c r="AG124" s="439">
        <v>123</v>
      </c>
    </row>
    <row r="125" spans="1:33" x14ac:dyDescent="0.85">
      <c r="A125" s="566"/>
      <c r="B125" s="275" t="s">
        <v>685</v>
      </c>
      <c r="C125" s="136" t="s">
        <v>241</v>
      </c>
      <c r="D125" s="127"/>
      <c r="E125" s="18"/>
      <c r="F125" s="18"/>
      <c r="G125" s="18"/>
      <c r="H125" s="18"/>
      <c r="I125" s="18"/>
      <c r="J125" s="18"/>
      <c r="K125" s="18"/>
      <c r="L125" s="18"/>
      <c r="M125" s="19"/>
      <c r="N125" s="18"/>
      <c r="O125" s="19"/>
      <c r="P125" s="18"/>
      <c r="Q125" s="19"/>
      <c r="R125" s="18"/>
      <c r="S125" s="19"/>
      <c r="T125" s="18"/>
      <c r="U125" s="19"/>
      <c r="V125" s="18"/>
      <c r="W125" s="19"/>
      <c r="X125" s="26"/>
      <c r="Y125" s="19"/>
      <c r="Z125" s="26"/>
      <c r="AA125" s="19"/>
      <c r="AB125" s="37">
        <f t="shared" si="17"/>
        <v>0</v>
      </c>
      <c r="AC125" s="85"/>
      <c r="AD125" s="643"/>
      <c r="AE125" s="83"/>
      <c r="AF125" s="640"/>
      <c r="AG125" s="439">
        <v>124</v>
      </c>
    </row>
    <row r="126" spans="1:33" x14ac:dyDescent="0.85">
      <c r="A126" s="566"/>
      <c r="B126" s="275" t="s">
        <v>686</v>
      </c>
      <c r="C126" s="136" t="s">
        <v>363</v>
      </c>
      <c r="D126" s="127"/>
      <c r="E126" s="18"/>
      <c r="F126" s="18"/>
      <c r="G126" s="18"/>
      <c r="H126" s="18"/>
      <c r="I126" s="18"/>
      <c r="J126" s="18"/>
      <c r="K126" s="18"/>
      <c r="L126" s="18"/>
      <c r="M126" s="19"/>
      <c r="N126" s="18"/>
      <c r="O126" s="19"/>
      <c r="P126" s="18"/>
      <c r="Q126" s="19"/>
      <c r="R126" s="18"/>
      <c r="S126" s="19"/>
      <c r="T126" s="18"/>
      <c r="U126" s="19"/>
      <c r="V126" s="18"/>
      <c r="W126" s="19"/>
      <c r="X126" s="26"/>
      <c r="Y126" s="19"/>
      <c r="Z126" s="26"/>
      <c r="AA126" s="19"/>
      <c r="AB126" s="37">
        <f t="shared" si="17"/>
        <v>0</v>
      </c>
      <c r="AC126" s="85"/>
      <c r="AD126" s="643"/>
      <c r="AE126" s="83"/>
      <c r="AF126" s="640"/>
      <c r="AG126" s="439">
        <v>125</v>
      </c>
    </row>
    <row r="127" spans="1:33" ht="31.3" thickBot="1" x14ac:dyDescent="0.9">
      <c r="A127" s="567"/>
      <c r="B127" s="281" t="s">
        <v>687</v>
      </c>
      <c r="C127" s="138" t="s">
        <v>243</v>
      </c>
      <c r="D127" s="143"/>
      <c r="E127" s="38"/>
      <c r="F127" s="38"/>
      <c r="G127" s="38"/>
      <c r="H127" s="38"/>
      <c r="I127" s="38"/>
      <c r="J127" s="38"/>
      <c r="K127" s="38"/>
      <c r="L127" s="38"/>
      <c r="M127" s="39"/>
      <c r="N127" s="38"/>
      <c r="O127" s="39"/>
      <c r="P127" s="38"/>
      <c r="Q127" s="39"/>
      <c r="R127" s="38"/>
      <c r="S127" s="39"/>
      <c r="T127" s="38"/>
      <c r="U127" s="39"/>
      <c r="V127" s="38"/>
      <c r="W127" s="39"/>
      <c r="X127" s="58"/>
      <c r="Y127" s="39"/>
      <c r="Z127" s="58"/>
      <c r="AA127" s="39"/>
      <c r="AB127" s="40">
        <f t="shared" si="17"/>
        <v>0</v>
      </c>
      <c r="AC127" s="254"/>
      <c r="AD127" s="643"/>
      <c r="AE127" s="83"/>
      <c r="AF127" s="640"/>
      <c r="AG127" s="439">
        <v>126</v>
      </c>
    </row>
    <row r="128" spans="1:33" x14ac:dyDescent="0.85">
      <c r="A128" s="565" t="s">
        <v>25</v>
      </c>
      <c r="B128" s="283" t="s">
        <v>683</v>
      </c>
      <c r="C128" s="134" t="s">
        <v>364</v>
      </c>
      <c r="D128" s="141"/>
      <c r="E128" s="34"/>
      <c r="F128" s="34"/>
      <c r="G128" s="34"/>
      <c r="H128" s="34"/>
      <c r="I128" s="34"/>
      <c r="J128" s="34"/>
      <c r="K128" s="34"/>
      <c r="L128" s="34"/>
      <c r="M128" s="35"/>
      <c r="N128" s="34"/>
      <c r="O128" s="35"/>
      <c r="P128" s="34"/>
      <c r="Q128" s="35"/>
      <c r="R128" s="34"/>
      <c r="S128" s="35"/>
      <c r="T128" s="34"/>
      <c r="U128" s="35"/>
      <c r="V128" s="34"/>
      <c r="W128" s="35"/>
      <c r="X128" s="57"/>
      <c r="Y128" s="35"/>
      <c r="Z128" s="57"/>
      <c r="AA128" s="35"/>
      <c r="AB128" s="36">
        <f t="shared" si="17"/>
        <v>0</v>
      </c>
      <c r="AC128" s="85"/>
      <c r="AD128" s="643"/>
      <c r="AE128" s="83"/>
      <c r="AF128" s="640"/>
      <c r="AG128" s="439">
        <v>127</v>
      </c>
    </row>
    <row r="129" spans="1:34" x14ac:dyDescent="0.85">
      <c r="A129" s="566"/>
      <c r="B129" s="275" t="s">
        <v>153</v>
      </c>
      <c r="C129" s="136" t="s">
        <v>365</v>
      </c>
      <c r="D129" s="127"/>
      <c r="E129" s="18"/>
      <c r="F129" s="18"/>
      <c r="G129" s="18"/>
      <c r="H129" s="18"/>
      <c r="I129" s="18"/>
      <c r="J129" s="18"/>
      <c r="K129" s="18"/>
      <c r="L129" s="18"/>
      <c r="M129" s="19"/>
      <c r="N129" s="18"/>
      <c r="O129" s="19"/>
      <c r="P129" s="18"/>
      <c r="Q129" s="19"/>
      <c r="R129" s="18"/>
      <c r="S129" s="19"/>
      <c r="T129" s="18"/>
      <c r="U129" s="19"/>
      <c r="V129" s="18"/>
      <c r="W129" s="19"/>
      <c r="X129" s="26"/>
      <c r="Y129" s="19"/>
      <c r="Z129" s="26"/>
      <c r="AA129" s="19"/>
      <c r="AB129" s="37">
        <f t="shared" si="17"/>
        <v>0</v>
      </c>
      <c r="AC129" s="254" t="str">
        <f>CONCATENATE(IF(D131&lt;&gt;SUM(D132,D133,D134)," Total CXCA Screening positive for Age "&amp;D20&amp;" "&amp;D21&amp;" is not equal to the sum of (Cryotherapy and Leep and Thermocoagulation)"&amp;CHAR(10),""),IF(E131&lt;&gt;SUM(E132,E133,E134)," Total CXCA Screening positive for Age "&amp;D20&amp;" "&amp;E21&amp;" is not equal to the sum of (Cryotherapy and Leep and Thermocoagulation)"&amp;CHAR(10),""),IF(F131&lt;&gt;SUM(F132,F133,F134)," Total CXCA Screening positive for Age "&amp;F20&amp;" "&amp;F21&amp;" is not equal to the sum of (Cryotherapy and Leep and Thermocoagulation)"&amp;CHAR(10),""),IF(G131&lt;&gt;SUM(G132,G133,G134)," Total CXCA Screening positive for Age "&amp;F20&amp;" "&amp;G21&amp;" is not equal to the sum of (Cryotherapy and Leep and Thermocoagulation)"&amp;CHAR(10),""),IF(H131&lt;&gt;SUM(H132,H133,H134)," Total CXCA Screening positive for Age "&amp;H20&amp;" "&amp;H21&amp;" is not equal to the sum of (Cryotherapy and Leep and Thermocoagulation)"&amp;CHAR(10),""),IF(I131&lt;&gt;SUM(I132,I133,I134)," Total CXCA Screening positive for Age "&amp;H20&amp;" "&amp;I21&amp;" is not equal to the sum of (Cryotherapy and Leep and Thermocoagulation)"&amp;CHAR(10),""),IF(J131&lt;&gt;SUM(J132,J133,J134)," Total CXCA Screening positive for Age "&amp;J20&amp;" "&amp;J21&amp;" is not equal to the sum of (Cryotherapy and Leep and Thermocoagulation)"&amp;CHAR(10),""),IF(K131&lt;&gt;SUM(K132,K133,K134)," Total CXCA Screening positive for Age "&amp;J20&amp;" "&amp;K21&amp;" is not equal to the sum of (Cryotherapy and Leep and Thermocoagulation)"&amp;CHAR(10),""),IF(L131&lt;&gt;SUM(L132,L133,L134)," Total CXCA Screening positive for Age "&amp;L20&amp;" "&amp;L21&amp;" is not equal to the sum of (Cryotherapy and Leep and Thermocoagulation)"&amp;CHAR(10),""),IF(M131&lt;&gt;SUM(M132,M133,M134)," Total CXCA Screening positive for Age "&amp;L20&amp;" "&amp;M21&amp;" is not equal to the sum of (Cryotherapy and Leep and Thermocoagulation)"&amp;CHAR(10),""),IF(N131&lt;&gt;SUM(N132,N133,N134)," Total CXCA Screening positive for Age "&amp;N20&amp;" "&amp;N21&amp;" is not equal to the sum of (Cryotherapy and Leep and Thermocoagulation)"&amp;CHAR(10),""),IF(O131&lt;&gt;SUM(O132,O133,O134)," Total CXCA Screening positive for Age "&amp;N20&amp;" "&amp;O21&amp;" is not equal to the sum of (Cryotherapy and Leep and Thermocoagulation)"&amp;CHAR(10),""),IF(P131&lt;&gt;SUM(P132,P133,P134)," Total CXCA Screening positive for Age "&amp;P20&amp;" "&amp;P21&amp;" is not equal to the sum of (Cryotherapy and Leep and Thermocoagulation)"&amp;CHAR(10),""),IF(Q131&lt;&gt;SUM(Q132,Q133,Q134)," Total CXCA Screening positive for Age "&amp;P20&amp;" "&amp;Q21&amp;" is not equal to the sum of (Cryotherapy and Leep and Thermocoagulation)"&amp;CHAR(10),""),IF(R131&lt;&gt;SUM(R132,R133,R134)," Total CXCA Screening positive for Age "&amp;R20&amp;" "&amp;R21&amp;" is not equal to the sum of (Cryotherapy and Leep and Thermocoagulation)"&amp;CHAR(10),""),IF(S131&lt;&gt;SUM(S132,S133,S134)," Total CXCA Screening positive for Age "&amp;R20&amp;" "&amp;S21&amp;" is not equal to the sum of (Cryotherapy and Leep and Thermocoagulation)"&amp;CHAR(10),""),IF(T131&lt;&gt;SUM(T132,T133,T134)," Total CXCA Screening positive for Age "&amp;T20&amp;" "&amp;T21&amp;" is not equal to the sum of (Cryotherapy and Leep and Thermocoagulation)"&amp;CHAR(10),""),IF(U131&lt;&gt;SUM(U132,U133,U134)," Total CXCA Screening positive for Age "&amp;T20&amp;" "&amp;U21&amp;" is not equal to the sum of (Cryotherapy and Leep and Thermocoagulation)"&amp;CHAR(10),""),IF(V131&lt;&gt;SUM(V132,V133,V134)," Total CXCA Screening positive for Age "&amp;V20&amp;" "&amp;V21&amp;" is not equal to the sum of (Cryotherapy and Leep and Thermocoagulation)"&amp;CHAR(10),""),IF(W131&lt;&gt;SUM(W132,W133,W134)," Total CXCA Screening positive for Age "&amp;V20&amp;" "&amp;W21&amp;" is not equal to the sum of (Cryotherapy and Leep and Thermocoagulation)"&amp;CHAR(10),""),IF(X131&lt;&gt;SUM(X132,X133,X134)," Total CXCA Screening positive for Age "&amp;X20&amp;" "&amp;X21&amp;" is not equal to the sum of (Cryotherapy and Leep and Thermocoagulation)"&amp;CHAR(10),""),IF(Y131&lt;&gt;SUM(Y132,Y133,Y134)," Total CXCA Screening positive for Age "&amp;X20&amp;" "&amp;Y21&amp;" is not equal to the sum of (Cryotherapy and Leep and Thermocoagulation)"&amp;CHAR(10),""),IF(Z131&lt;&gt;SUM(Z132,Z133,Z134)," Total CXCA Screening positive for Age "&amp;Z20&amp;" "&amp;Z21&amp;" is not equal to the sum of (Cryotherapy and Leep and Thermocoagulation)"&amp;CHAR(10),""),IF(AA131&lt;&gt;SUM(AA132,AA133,AA134)," Total CXCA Screening positive for Age "&amp;Z20&amp;" "&amp;AA21&amp;" is not equal to the sum of (Cryotherapy and Leep and Thermocoagulation)"&amp;CHAR(10),""))</f>
        <v/>
      </c>
      <c r="AD129" s="643"/>
      <c r="AE129" s="83"/>
      <c r="AF129" s="640"/>
      <c r="AG129" s="439">
        <v>128</v>
      </c>
    </row>
    <row r="130" spans="1:34" x14ac:dyDescent="0.85">
      <c r="A130" s="566"/>
      <c r="B130" s="275" t="s">
        <v>684</v>
      </c>
      <c r="C130" s="136" t="s">
        <v>366</v>
      </c>
      <c r="D130" s="127"/>
      <c r="E130" s="18"/>
      <c r="F130" s="18"/>
      <c r="G130" s="18"/>
      <c r="H130" s="18"/>
      <c r="I130" s="18"/>
      <c r="J130" s="18"/>
      <c r="K130" s="18"/>
      <c r="L130" s="18"/>
      <c r="M130" s="19"/>
      <c r="N130" s="18"/>
      <c r="O130" s="19"/>
      <c r="P130" s="18"/>
      <c r="Q130" s="19"/>
      <c r="R130" s="18"/>
      <c r="S130" s="19"/>
      <c r="T130" s="18"/>
      <c r="U130" s="19"/>
      <c r="V130" s="18"/>
      <c r="W130" s="19"/>
      <c r="X130" s="26"/>
      <c r="Y130" s="19"/>
      <c r="Z130" s="26"/>
      <c r="AA130" s="19"/>
      <c r="AB130" s="37">
        <f t="shared" si="17"/>
        <v>0</v>
      </c>
      <c r="AC130" s="85"/>
      <c r="AD130" s="643"/>
      <c r="AE130" s="83"/>
      <c r="AF130" s="640"/>
      <c r="AG130" s="439">
        <v>129</v>
      </c>
    </row>
    <row r="131" spans="1:34" ht="31.75" x14ac:dyDescent="0.85">
      <c r="A131" s="566"/>
      <c r="B131" s="365" t="s">
        <v>893</v>
      </c>
      <c r="C131" s="288" t="s">
        <v>896</v>
      </c>
      <c r="D131" s="127"/>
      <c r="E131" s="18"/>
      <c r="F131" s="18"/>
      <c r="G131" s="18"/>
      <c r="H131" s="18"/>
      <c r="I131" s="18"/>
      <c r="J131" s="18"/>
      <c r="K131" s="18"/>
      <c r="L131" s="18"/>
      <c r="M131" s="235">
        <f>M130+M129</f>
        <v>0</v>
      </c>
      <c r="N131" s="343"/>
      <c r="O131" s="235">
        <f>O130+O129</f>
        <v>0</v>
      </c>
      <c r="P131" s="230"/>
      <c r="Q131" s="235">
        <f>Q130+Q129</f>
        <v>0</v>
      </c>
      <c r="R131" s="230"/>
      <c r="S131" s="235">
        <f>S130+S129</f>
        <v>0</v>
      </c>
      <c r="T131" s="230"/>
      <c r="U131" s="235">
        <f>U130+U129</f>
        <v>0</v>
      </c>
      <c r="V131" s="230"/>
      <c r="W131" s="235">
        <f>W130+W129</f>
        <v>0</v>
      </c>
      <c r="X131" s="234"/>
      <c r="Y131" s="235">
        <f>Y130+Y129</f>
        <v>0</v>
      </c>
      <c r="Z131" s="234"/>
      <c r="AA131" s="235">
        <f>AA130+AA129</f>
        <v>0</v>
      </c>
      <c r="AB131" s="37">
        <f t="shared" si="17"/>
        <v>0</v>
      </c>
      <c r="AC131" s="216"/>
      <c r="AD131" s="643"/>
      <c r="AE131" s="83"/>
      <c r="AF131" s="640"/>
      <c r="AG131" s="439">
        <v>130</v>
      </c>
    </row>
    <row r="132" spans="1:34" x14ac:dyDescent="0.85">
      <c r="A132" s="566"/>
      <c r="B132" s="275" t="s">
        <v>685</v>
      </c>
      <c r="C132" s="136" t="s">
        <v>251</v>
      </c>
      <c r="D132" s="127"/>
      <c r="E132" s="18"/>
      <c r="F132" s="18"/>
      <c r="G132" s="18"/>
      <c r="H132" s="18"/>
      <c r="I132" s="18"/>
      <c r="J132" s="18"/>
      <c r="K132" s="18"/>
      <c r="L132" s="18"/>
      <c r="M132" s="231"/>
      <c r="N132" s="230"/>
      <c r="O132" s="231"/>
      <c r="P132" s="230"/>
      <c r="Q132" s="231"/>
      <c r="R132" s="230"/>
      <c r="S132" s="231"/>
      <c r="T132" s="230"/>
      <c r="U132" s="231"/>
      <c r="V132" s="230"/>
      <c r="W132" s="231"/>
      <c r="X132" s="234"/>
      <c r="Y132" s="231"/>
      <c r="Z132" s="234"/>
      <c r="AA132" s="231"/>
      <c r="AB132" s="37">
        <f t="shared" si="17"/>
        <v>0</v>
      </c>
      <c r="AC132" s="85"/>
      <c r="AD132" s="643"/>
      <c r="AE132" s="83"/>
      <c r="AF132" s="640"/>
      <c r="AG132" s="439">
        <v>131</v>
      </c>
    </row>
    <row r="133" spans="1:34" x14ac:dyDescent="0.85">
      <c r="A133" s="566"/>
      <c r="B133" s="275" t="s">
        <v>686</v>
      </c>
      <c r="C133" s="136" t="s">
        <v>367</v>
      </c>
      <c r="D133" s="127"/>
      <c r="E133" s="18"/>
      <c r="F133" s="18"/>
      <c r="G133" s="18"/>
      <c r="H133" s="18"/>
      <c r="I133" s="18"/>
      <c r="J133" s="18"/>
      <c r="K133" s="18"/>
      <c r="L133" s="18"/>
      <c r="M133" s="231"/>
      <c r="N133" s="230"/>
      <c r="O133" s="231"/>
      <c r="P133" s="230"/>
      <c r="Q133" s="231"/>
      <c r="R133" s="230"/>
      <c r="S133" s="231"/>
      <c r="T133" s="230"/>
      <c r="U133" s="231"/>
      <c r="V133" s="230"/>
      <c r="W133" s="231"/>
      <c r="X133" s="234"/>
      <c r="Y133" s="231"/>
      <c r="Z133" s="234"/>
      <c r="AA133" s="231"/>
      <c r="AB133" s="37">
        <f t="shared" si="17"/>
        <v>0</v>
      </c>
      <c r="AC133" s="85"/>
      <c r="AD133" s="643"/>
      <c r="AE133" s="83"/>
      <c r="AF133" s="640"/>
      <c r="AG133" s="439">
        <v>132</v>
      </c>
    </row>
    <row r="134" spans="1:34" ht="31.3" thickBot="1" x14ac:dyDescent="0.9">
      <c r="A134" s="671"/>
      <c r="B134" s="276" t="s">
        <v>687</v>
      </c>
      <c r="C134" s="138" t="s">
        <v>368</v>
      </c>
      <c r="D134" s="128"/>
      <c r="E134" s="50"/>
      <c r="F134" s="50"/>
      <c r="G134" s="50"/>
      <c r="H134" s="50"/>
      <c r="I134" s="50"/>
      <c r="J134" s="50"/>
      <c r="K134" s="50"/>
      <c r="L134" s="50"/>
      <c r="M134" s="244"/>
      <c r="N134" s="243"/>
      <c r="O134" s="244"/>
      <c r="P134" s="243"/>
      <c r="Q134" s="244"/>
      <c r="R134" s="243"/>
      <c r="S134" s="244"/>
      <c r="T134" s="243"/>
      <c r="U134" s="244"/>
      <c r="V134" s="243"/>
      <c r="W134" s="244"/>
      <c r="X134" s="248"/>
      <c r="Y134" s="244"/>
      <c r="Z134" s="248"/>
      <c r="AA134" s="244"/>
      <c r="AB134" s="91">
        <f t="shared" si="17"/>
        <v>0</v>
      </c>
      <c r="AC134" s="194"/>
      <c r="AD134" s="644"/>
      <c r="AE134" s="97"/>
      <c r="AF134" s="641"/>
      <c r="AG134" s="439">
        <v>133</v>
      </c>
    </row>
    <row r="135" spans="1:34" ht="35.15" thickBot="1" x14ac:dyDescent="0.9">
      <c r="A135" s="578" t="s">
        <v>128</v>
      </c>
      <c r="B135" s="579"/>
      <c r="C135" s="579"/>
      <c r="D135" s="579"/>
      <c r="E135" s="579"/>
      <c r="F135" s="579"/>
      <c r="G135" s="579"/>
      <c r="H135" s="579"/>
      <c r="I135" s="579"/>
      <c r="J135" s="579"/>
      <c r="K135" s="579"/>
      <c r="L135" s="579"/>
      <c r="M135" s="579"/>
      <c r="N135" s="579"/>
      <c r="O135" s="579"/>
      <c r="P135" s="579"/>
      <c r="Q135" s="579"/>
      <c r="R135" s="579"/>
      <c r="S135" s="579"/>
      <c r="T135" s="579"/>
      <c r="U135" s="579"/>
      <c r="V135" s="579"/>
      <c r="W135" s="579"/>
      <c r="X135" s="579"/>
      <c r="Y135" s="579"/>
      <c r="Z135" s="579"/>
      <c r="AA135" s="579"/>
      <c r="AB135" s="579"/>
      <c r="AC135" s="579"/>
      <c r="AD135" s="579"/>
      <c r="AE135" s="579"/>
      <c r="AF135" s="580"/>
      <c r="AG135" s="439">
        <v>134</v>
      </c>
    </row>
    <row r="136" spans="1:34" ht="26.25" customHeight="1" x14ac:dyDescent="0.85">
      <c r="A136" s="588" t="s">
        <v>37</v>
      </c>
      <c r="B136" s="611" t="s">
        <v>347</v>
      </c>
      <c r="C136" s="666" t="s">
        <v>328</v>
      </c>
      <c r="D136" s="602" t="s">
        <v>0</v>
      </c>
      <c r="E136" s="602"/>
      <c r="F136" s="602" t="s">
        <v>1</v>
      </c>
      <c r="G136" s="602"/>
      <c r="H136" s="602" t="s">
        <v>2</v>
      </c>
      <c r="I136" s="602"/>
      <c r="J136" s="602" t="s">
        <v>3</v>
      </c>
      <c r="K136" s="602"/>
      <c r="L136" s="602" t="s">
        <v>4</v>
      </c>
      <c r="M136" s="602"/>
      <c r="N136" s="602" t="s">
        <v>5</v>
      </c>
      <c r="O136" s="602"/>
      <c r="P136" s="602" t="s">
        <v>6</v>
      </c>
      <c r="Q136" s="602"/>
      <c r="R136" s="602" t="s">
        <v>7</v>
      </c>
      <c r="S136" s="602"/>
      <c r="T136" s="602" t="s">
        <v>8</v>
      </c>
      <c r="U136" s="602"/>
      <c r="V136" s="602" t="s">
        <v>23</v>
      </c>
      <c r="W136" s="602"/>
      <c r="X136" s="602" t="s">
        <v>24</v>
      </c>
      <c r="Y136" s="602"/>
      <c r="Z136" s="602" t="s">
        <v>9</v>
      </c>
      <c r="AA136" s="602"/>
      <c r="AB136" s="649" t="s">
        <v>19</v>
      </c>
      <c r="AC136" s="637" t="s">
        <v>381</v>
      </c>
      <c r="AD136" s="583" t="s">
        <v>387</v>
      </c>
      <c r="AE136" s="582" t="s">
        <v>388</v>
      </c>
      <c r="AF136" s="630" t="s">
        <v>388</v>
      </c>
      <c r="AG136" s="439">
        <v>135</v>
      </c>
    </row>
    <row r="137" spans="1:34" ht="27" customHeight="1" thickBot="1" x14ac:dyDescent="0.9">
      <c r="A137" s="592"/>
      <c r="B137" s="701"/>
      <c r="C137" s="672"/>
      <c r="D137" s="236" t="s">
        <v>10</v>
      </c>
      <c r="E137" s="236" t="s">
        <v>11</v>
      </c>
      <c r="F137" s="236" t="s">
        <v>10</v>
      </c>
      <c r="G137" s="236" t="s">
        <v>11</v>
      </c>
      <c r="H137" s="236" t="s">
        <v>10</v>
      </c>
      <c r="I137" s="236" t="s">
        <v>11</v>
      </c>
      <c r="J137" s="236" t="s">
        <v>10</v>
      </c>
      <c r="K137" s="236" t="s">
        <v>11</v>
      </c>
      <c r="L137" s="236" t="s">
        <v>10</v>
      </c>
      <c r="M137" s="236" t="s">
        <v>11</v>
      </c>
      <c r="N137" s="236" t="s">
        <v>10</v>
      </c>
      <c r="O137" s="236" t="s">
        <v>11</v>
      </c>
      <c r="P137" s="236" t="s">
        <v>10</v>
      </c>
      <c r="Q137" s="236" t="s">
        <v>11</v>
      </c>
      <c r="R137" s="236" t="s">
        <v>10</v>
      </c>
      <c r="S137" s="236" t="s">
        <v>11</v>
      </c>
      <c r="T137" s="236" t="s">
        <v>10</v>
      </c>
      <c r="U137" s="236" t="s">
        <v>11</v>
      </c>
      <c r="V137" s="236" t="s">
        <v>10</v>
      </c>
      <c r="W137" s="236" t="s">
        <v>11</v>
      </c>
      <c r="X137" s="236" t="s">
        <v>10</v>
      </c>
      <c r="Y137" s="236" t="s">
        <v>11</v>
      </c>
      <c r="Z137" s="236" t="s">
        <v>10</v>
      </c>
      <c r="AA137" s="236" t="s">
        <v>11</v>
      </c>
      <c r="AB137" s="595"/>
      <c r="AC137" s="638"/>
      <c r="AD137" s="584"/>
      <c r="AE137" s="582"/>
      <c r="AF137" s="577"/>
      <c r="AG137" s="439">
        <v>136</v>
      </c>
    </row>
    <row r="138" spans="1:34" ht="30.75" hidden="1" customHeight="1" x14ac:dyDescent="0.85">
      <c r="A138" s="675" t="s">
        <v>1038</v>
      </c>
      <c r="B138" s="358" t="s">
        <v>688</v>
      </c>
      <c r="C138" s="339" t="s">
        <v>523</v>
      </c>
      <c r="D138" s="371">
        <f>D8</f>
        <v>0</v>
      </c>
      <c r="E138" s="371">
        <f t="shared" ref="E138:AA138" si="18">E8</f>
        <v>0</v>
      </c>
      <c r="F138" s="371">
        <f t="shared" si="18"/>
        <v>0</v>
      </c>
      <c r="G138" s="371">
        <f t="shared" si="18"/>
        <v>0</v>
      </c>
      <c r="H138" s="371">
        <f t="shared" si="18"/>
        <v>0</v>
      </c>
      <c r="I138" s="371">
        <f t="shared" si="18"/>
        <v>0</v>
      </c>
      <c r="J138" s="371">
        <f t="shared" si="18"/>
        <v>0</v>
      </c>
      <c r="K138" s="371">
        <f t="shared" si="18"/>
        <v>0</v>
      </c>
      <c r="L138" s="371">
        <f t="shared" si="18"/>
        <v>0</v>
      </c>
      <c r="M138" s="371">
        <f t="shared" si="18"/>
        <v>0</v>
      </c>
      <c r="N138" s="371">
        <f t="shared" si="18"/>
        <v>0</v>
      </c>
      <c r="O138" s="371">
        <f t="shared" si="18"/>
        <v>0</v>
      </c>
      <c r="P138" s="371">
        <f t="shared" si="18"/>
        <v>0</v>
      </c>
      <c r="Q138" s="371">
        <f t="shared" si="18"/>
        <v>0</v>
      </c>
      <c r="R138" s="371">
        <f t="shared" si="18"/>
        <v>0</v>
      </c>
      <c r="S138" s="371">
        <f t="shared" si="18"/>
        <v>0</v>
      </c>
      <c r="T138" s="371">
        <f t="shared" si="18"/>
        <v>0</v>
      </c>
      <c r="U138" s="371">
        <f t="shared" si="18"/>
        <v>0</v>
      </c>
      <c r="V138" s="371">
        <f t="shared" si="18"/>
        <v>0</v>
      </c>
      <c r="W138" s="371">
        <f t="shared" si="18"/>
        <v>0</v>
      </c>
      <c r="X138" s="371">
        <f t="shared" si="18"/>
        <v>0</v>
      </c>
      <c r="Y138" s="371">
        <f t="shared" si="18"/>
        <v>0</v>
      </c>
      <c r="Z138" s="371">
        <f t="shared" si="18"/>
        <v>0</v>
      </c>
      <c r="AA138" s="371">
        <f t="shared" si="18"/>
        <v>0</v>
      </c>
      <c r="AB138" s="371">
        <f t="shared" ref="AB138" si="19">AB8</f>
        <v>0</v>
      </c>
      <c r="AC138" s="251" t="str">
        <f>CONCATENATE(IF(D139&gt;D138," * No Screened for GBV "&amp;$D$20&amp;" "&amp;$D$21&amp;" is more than Clients Seen at OPD"&amp;CHAR(10),""),IF(E139&gt;E138," * No Screened For GBV "&amp;$D$20&amp;" "&amp;$E$21&amp;" is more than Clients Seen at OPD"&amp;CHAR(10),""),IF(F139&gt;F138," * No Screened For GBV "&amp;$F$20&amp;" "&amp;$F$21&amp;" is more than Clients Seen at OPD"&amp;CHAR(10),""),IF(G139&gt;G138," * No Screened For GBV "&amp;$F$20&amp;" "&amp;$G$21&amp;" is more than Clients Seen at OPD"&amp;CHAR(10),""),IF(H139&gt;H138," * No Screened For GBV "&amp;$H$20&amp;" "&amp;$H$21&amp;" is more than Clients Seen at OPD"&amp;CHAR(10),""),IF(I139&gt;I138," * No Screened For GBV "&amp;$H$20&amp;" "&amp;$I$21&amp;" is more than Clients Seen at OPD"&amp;CHAR(10),""),IF(J139&gt;J138," * No Screened For GBV "&amp;$J$20&amp;" "&amp;$J$21&amp;" is more than Clients Seen at OPD"&amp;CHAR(10),""),IF(K139&gt;K138," * No Screened For GBV "&amp;$J$20&amp;" "&amp;$K$21&amp;" is more than Clients Seen at OPD"&amp;CHAR(10),""),IF(L139&gt;L138," * No Screened For GBV "&amp;$L$20&amp;" "&amp;$L$21&amp;" is more than Clients Seen at OPD"&amp;CHAR(10),""),IF(M139&gt;M138," * No Screened For GBV "&amp;$L$20&amp;" "&amp;$M$21&amp;" is more than Clients Seen at OPD"&amp;CHAR(10),""),IF(N139&gt;N138," * No Screened For GBV "&amp;$N$20&amp;" "&amp;$N$21&amp;" is more than Clients Seen at OPD"&amp;CHAR(10),""),IF(O139&gt;O138," * No Screened For GBV "&amp;$N$20&amp;" "&amp;$O$21&amp;" is more than Clients Seen at OPD"&amp;CHAR(10),""),IF(P139&gt;P138," * No Screened For GBV "&amp;$P$20&amp;" "&amp;$P$21&amp;" is more than Clients Seen at OPD"&amp;CHAR(10),""),IF(Q139&gt;Q138," * No Screened For GBV "&amp;$P$20&amp;" "&amp;$Q$21&amp;" is more than Clients Seen at OPD"&amp;CHAR(10),""),IF(R139&gt;R138," * No Screened For GBV "&amp;$R$20&amp;" "&amp;$R$21&amp;" is more than Clients Seen at OPD"&amp;CHAR(10),""),IF(S139&gt;S138," * No Screened For GBV "&amp;$R$20&amp;" "&amp;$S$21&amp;" is more than Clients Seen at OPD"&amp;CHAR(10),""),IF(T139&gt;T138," * No Screened For GBV "&amp;$T$20&amp;" "&amp;$T$21&amp;" is more than Clients Seen at OPD"&amp;CHAR(10),""),IF(U139&gt;U138," * No Screened For GBV "&amp;$T$20&amp;" "&amp;$U$21&amp;" is more than Clients Seen at OPD"&amp;CHAR(10),""),IF(V139&gt;V138," * No Screened For GBV "&amp;$V$20&amp;" "&amp;$V$21&amp;" is more than Clients Seen at OPD"&amp;CHAR(10),""),IF(W139&gt;W138," * No Screened For GBV "&amp;$V$20&amp;" "&amp;$W$21&amp;" is more than Clients Seen at OPD"&amp;CHAR(10),""),IF(X139&gt;X138," * No Screened For GBV "&amp;$X$20&amp;" "&amp;$X$21&amp;" is more than Clients Seen at OPD"&amp;CHAR(10),""),IF(Y139&gt;Y138," * No Screened For GBV "&amp;$X$20&amp;" "&amp;$Y$21&amp;" is more than Clients Seen at OPD"&amp;CHAR(10),""),IF(Z139&gt;Z138," * No Screened For GBV "&amp;$Z$20&amp;" "&amp;$Z$21&amp;" is more than Clients Seen at OPD"&amp;CHAR(10),""),IF(AA139&gt;AA138," * No Screened For GBV "&amp;$Z$20&amp;" "&amp;$AA$21&amp;" is more than Clients Seen at OPD"&amp;CHAR(10),""))</f>
        <v/>
      </c>
      <c r="AD138" s="758" t="str">
        <f>CONCATENATE(AC138,AC139,AC140,AC141,AC142,AC143,AC144,AC145,AC146)</f>
        <v/>
      </c>
      <c r="AE138" s="99"/>
      <c r="AF138" s="631" t="str">
        <f>CONCATENATE(AE138,AE175,AE176,AE177,AE178,AE179,AE180,AE181,AE182,AE183,AE184,AE185,AE186,AE187,AE188)</f>
        <v/>
      </c>
      <c r="AG138" s="439">
        <v>137</v>
      </c>
    </row>
    <row r="139" spans="1:34" hidden="1" x14ac:dyDescent="0.85">
      <c r="A139" s="676"/>
      <c r="B139" s="359" t="s">
        <v>941</v>
      </c>
      <c r="C139" s="348" t="s">
        <v>524</v>
      </c>
      <c r="D139" s="350"/>
      <c r="E139" s="350"/>
      <c r="F139" s="350"/>
      <c r="G139" s="350"/>
      <c r="H139" s="350"/>
      <c r="I139" s="350"/>
      <c r="J139" s="350"/>
      <c r="K139" s="350"/>
      <c r="L139" s="350"/>
      <c r="M139" s="350"/>
      <c r="N139" s="350"/>
      <c r="O139" s="350"/>
      <c r="P139" s="350"/>
      <c r="Q139" s="350"/>
      <c r="R139" s="350"/>
      <c r="S139" s="350"/>
      <c r="T139" s="350"/>
      <c r="U139" s="350"/>
      <c r="V139" s="350"/>
      <c r="W139" s="350"/>
      <c r="X139" s="350"/>
      <c r="Y139" s="350"/>
      <c r="Z139" s="350"/>
      <c r="AA139" s="350"/>
      <c r="AB139" s="242">
        <f>SUM(D139:AA139)</f>
        <v>0</v>
      </c>
      <c r="AC139" s="259"/>
      <c r="AD139" s="759"/>
      <c r="AE139" s="83"/>
      <c r="AF139" s="632"/>
      <c r="AG139" s="439">
        <v>138</v>
      </c>
    </row>
    <row r="140" spans="1:34" s="225" customFormat="1" ht="31.75" hidden="1" x14ac:dyDescent="0.85">
      <c r="A140" s="676"/>
      <c r="B140" s="364" t="s">
        <v>945</v>
      </c>
      <c r="C140" s="348" t="s">
        <v>906</v>
      </c>
      <c r="D140" s="370">
        <f>D141+D143+D145+D146</f>
        <v>0</v>
      </c>
      <c r="E140" s="370">
        <f t="shared" ref="E140:AA140" si="20">E141+E143+E145+E146</f>
        <v>0</v>
      </c>
      <c r="F140" s="370">
        <f t="shared" si="20"/>
        <v>0</v>
      </c>
      <c r="G140" s="370">
        <f t="shared" si="20"/>
        <v>0</v>
      </c>
      <c r="H140" s="370">
        <f t="shared" si="20"/>
        <v>0</v>
      </c>
      <c r="I140" s="370">
        <f t="shared" si="20"/>
        <v>0</v>
      </c>
      <c r="J140" s="370">
        <f t="shared" si="20"/>
        <v>0</v>
      </c>
      <c r="K140" s="370">
        <f t="shared" si="20"/>
        <v>0</v>
      </c>
      <c r="L140" s="370">
        <f t="shared" si="20"/>
        <v>0</v>
      </c>
      <c r="M140" s="370">
        <f t="shared" si="20"/>
        <v>0</v>
      </c>
      <c r="N140" s="370">
        <f t="shared" si="20"/>
        <v>0</v>
      </c>
      <c r="O140" s="370">
        <f t="shared" si="20"/>
        <v>0</v>
      </c>
      <c r="P140" s="370">
        <f t="shared" si="20"/>
        <v>0</v>
      </c>
      <c r="Q140" s="370">
        <f t="shared" si="20"/>
        <v>0</v>
      </c>
      <c r="R140" s="370">
        <f t="shared" si="20"/>
        <v>0</v>
      </c>
      <c r="S140" s="370">
        <f t="shared" si="20"/>
        <v>0</v>
      </c>
      <c r="T140" s="370">
        <f t="shared" si="20"/>
        <v>0</v>
      </c>
      <c r="U140" s="370">
        <f t="shared" si="20"/>
        <v>0</v>
      </c>
      <c r="V140" s="370">
        <f t="shared" si="20"/>
        <v>0</v>
      </c>
      <c r="W140" s="370">
        <f t="shared" si="20"/>
        <v>0</v>
      </c>
      <c r="X140" s="370">
        <f t="shared" si="20"/>
        <v>0</v>
      </c>
      <c r="Y140" s="370">
        <f t="shared" si="20"/>
        <v>0</v>
      </c>
      <c r="Z140" s="370">
        <f t="shared" si="20"/>
        <v>0</v>
      </c>
      <c r="AA140" s="370">
        <f t="shared" si="20"/>
        <v>0</v>
      </c>
      <c r="AB140" s="368">
        <f t="shared" ref="AB140:AB146" si="21">SUM(D140:AA140)</f>
        <v>0</v>
      </c>
      <c r="AC140" s="259"/>
      <c r="AD140" s="759"/>
      <c r="AE140" s="252"/>
      <c r="AF140" s="632"/>
      <c r="AG140" s="439">
        <v>139</v>
      </c>
      <c r="AH140" s="333"/>
    </row>
    <row r="141" spans="1:34" s="225" customFormat="1" hidden="1" x14ac:dyDescent="0.85">
      <c r="A141" s="676"/>
      <c r="B141" s="359" t="s">
        <v>897</v>
      </c>
      <c r="C141" s="348" t="s">
        <v>907</v>
      </c>
      <c r="D141" s="369"/>
      <c r="E141" s="369"/>
      <c r="F141" s="369"/>
      <c r="G141" s="369"/>
      <c r="H141" s="369"/>
      <c r="I141" s="369"/>
      <c r="J141" s="369"/>
      <c r="K141" s="369"/>
      <c r="L141" s="369"/>
      <c r="M141" s="369"/>
      <c r="N141" s="369"/>
      <c r="O141" s="369"/>
      <c r="P141" s="369"/>
      <c r="Q141" s="369"/>
      <c r="R141" s="369"/>
      <c r="S141" s="369"/>
      <c r="T141" s="369"/>
      <c r="U141" s="369"/>
      <c r="V141" s="369"/>
      <c r="W141" s="369"/>
      <c r="X141" s="369"/>
      <c r="Y141" s="369"/>
      <c r="Z141" s="369"/>
      <c r="AA141" s="369"/>
      <c r="AB141" s="242">
        <f t="shared" si="21"/>
        <v>0</v>
      </c>
      <c r="AC141" s="251" t="str">
        <f>CONCATENATE(IF(D142&gt;D141," * OPD Sexual Violence Initiated Pep "&amp;$D$20&amp;" "&amp;$D$21&amp;" is more than OPD Sexual Violence Rape Survivors"&amp;CHAR(10),""),IF(E142&gt;E141," * OPD Sexual Violence Initiated Pep "&amp;$D$20&amp;" "&amp;$E$21&amp;" is more than OPD Sexual Violence Rape Survivors"&amp;CHAR(10),""),IF(F142&gt;F141," * OPD Sexual Violence Initiated Pep "&amp;$F$20&amp;" "&amp;$F$21&amp;" is more than OPD Sexual Violence Rape Survivors"&amp;CHAR(10),""),IF(G142&gt;G141," * OPD Sexual Violence Initiated Pep "&amp;$F$20&amp;" "&amp;$G$21&amp;" is more than OPD Sexual Violence Rape Survivors"&amp;CHAR(10),""),IF(H142&gt;H141," * OPD Sexual Violence Initiated Pep "&amp;$H$20&amp;" "&amp;$H$21&amp;" is more than OPD Sexual Violence Rape Survivors"&amp;CHAR(10),""),IF(I142&gt;I141," * OPD Sexual Violence Initiated Pep "&amp;$H$20&amp;" "&amp;$I$21&amp;" is more than OPD Sexual Violence Rape Survivors"&amp;CHAR(10),""),IF(J142&gt;J141," * OPD Sexual Violence Initiated Pep "&amp;$J$20&amp;" "&amp;$J$21&amp;" is more than OPD Sexual Violence Rape Survivors"&amp;CHAR(10),""),IF(K142&gt;K141," * OPD Sexual Violence Initiated Pep "&amp;$J$20&amp;" "&amp;$K$21&amp;" is more than OPD Sexual Violence Rape Survivors"&amp;CHAR(10),""),IF(L142&gt;L141," * OPD Sexual Violence Initiated Pep "&amp;$L$20&amp;" "&amp;$L$21&amp;" is more than OPD Sexual Violence Rape Survivors"&amp;CHAR(10),""),IF(M142&gt;M141," * OPD Sexual Violence Initiated Pep "&amp;$L$20&amp;" "&amp;$M$21&amp;" is more than OPD Sexual Violence Rape Survivors"&amp;CHAR(10),""),IF(N142&gt;N141," * OPD Sexual Violence Initiated Pep "&amp;$N$20&amp;" "&amp;$N$21&amp;" is more than OPD Sexual Violence Rape Survivors"&amp;CHAR(10),""),IF(O142&gt;O141," * OPD Sexual Violence Initiated Pep "&amp;$N$20&amp;" "&amp;$O$21&amp;" is more than OPD Sexual Violence Rape Survivors"&amp;CHAR(10),""),IF(P142&gt;P141," * OPD Sexual Violence Initiated Pep "&amp;$P$20&amp;" "&amp;$P$21&amp;" is more than OPD Sexual Violence Rape Survivors"&amp;CHAR(10),""),IF(Q142&gt;Q141," * OPD Sexual Violence Initiated Pep "&amp;$P$20&amp;" "&amp;$Q$21&amp;" is more than OPD Sexual Violence Rape Survivors"&amp;CHAR(10),""),IF(R142&gt;R141," * OPD Sexual Violence Initiated Pep "&amp;$R$20&amp;" "&amp;$R$21&amp;" is more than OPD Sexual Violence Rape Survivors"&amp;CHAR(10),""),IF(S142&gt;S141," * OPD Sexual Violence Initiated Pep "&amp;$R$20&amp;" "&amp;$S$21&amp;" is more than OPD Sexual Violence Rape Survivors"&amp;CHAR(10),""),IF(T142&gt;T141," * OPD Sexual Violence Initiated Pep "&amp;$T$20&amp;" "&amp;$T$21&amp;" is more than OPD Sexual Violence Rape Survivors"&amp;CHAR(10),""),IF(U142&gt;U141," * OPD Sexual Violence Initiated Pep "&amp;$T$20&amp;" "&amp;$U$21&amp;" is more than OPD Sexual Violence Rape Survivors"&amp;CHAR(10),""),IF(V142&gt;V141," * OPD Sexual Violence Initiated Pep "&amp;$V$20&amp;" "&amp;$V$21&amp;" is more than OPD Sexual Violence Rape Survivors"&amp;CHAR(10),""),IF(W142&gt;W141," * OPD Sexual Violence Initiated Pep "&amp;$V$20&amp;" "&amp;$W$21&amp;" is more than OPD Sexual Violence Rape Survivors"&amp;CHAR(10),""),IF(X142&gt;X141," * OPD Sexual Violence Initiated Pep "&amp;$X$20&amp;" "&amp;$X$21&amp;" is more than OPD Sexual Violence Rape Survivors"&amp;CHAR(10),""),IF(Y142&gt;Y141," * OPD Sexual Violence Initiated Pep "&amp;$X$20&amp;" "&amp;$Y$21&amp;" is more than OPD Sexual Violence Rape Survivors"&amp;CHAR(10),""),IF(Z142&gt;Z141," * OPD Sexual Violence Initiated Pep "&amp;$Z$20&amp;" "&amp;$Z$21&amp;" is more than OPD Sexual Violence Rape Survivors"&amp;CHAR(10),""),IF(AA142&gt;AA141," * OPD Sexual Violence Initiated Pep "&amp;$Z$20&amp;" "&amp;$AA$21&amp;" is more than OPD Sexual Violence Rape Survivors"&amp;CHAR(10),""))</f>
        <v/>
      </c>
      <c r="AD141" s="759"/>
      <c r="AE141" s="252"/>
      <c r="AF141" s="632"/>
      <c r="AG141" s="439">
        <v>140</v>
      </c>
      <c r="AH141" s="333"/>
    </row>
    <row r="142" spans="1:34" s="225" customFormat="1" hidden="1" x14ac:dyDescent="0.85">
      <c r="A142" s="676"/>
      <c r="B142" s="359" t="s">
        <v>898</v>
      </c>
      <c r="C142" s="348" t="s">
        <v>908</v>
      </c>
      <c r="D142" s="352"/>
      <c r="E142" s="352"/>
      <c r="F142" s="352"/>
      <c r="G142" s="352"/>
      <c r="H142" s="352"/>
      <c r="I142" s="352"/>
      <c r="J142" s="352"/>
      <c r="K142" s="352"/>
      <c r="L142" s="352"/>
      <c r="M142" s="352"/>
      <c r="N142" s="352"/>
      <c r="O142" s="352"/>
      <c r="P142" s="352"/>
      <c r="Q142" s="352"/>
      <c r="R142" s="352"/>
      <c r="S142" s="352"/>
      <c r="T142" s="352"/>
      <c r="U142" s="352"/>
      <c r="V142" s="352"/>
      <c r="W142" s="352"/>
      <c r="X142" s="352"/>
      <c r="Y142" s="352"/>
      <c r="Z142" s="352"/>
      <c r="AA142" s="352"/>
      <c r="AB142" s="242">
        <f t="shared" si="21"/>
        <v>0</v>
      </c>
      <c r="AC142" s="259"/>
      <c r="AD142" s="759"/>
      <c r="AE142" s="252"/>
      <c r="AF142" s="632"/>
      <c r="AG142" s="439">
        <v>141</v>
      </c>
      <c r="AH142" s="333"/>
    </row>
    <row r="143" spans="1:34" s="225" customFormat="1" hidden="1" x14ac:dyDescent="0.85">
      <c r="A143" s="676"/>
      <c r="B143" s="359" t="s">
        <v>899</v>
      </c>
      <c r="C143" s="348" t="s">
        <v>909</v>
      </c>
      <c r="D143" s="369"/>
      <c r="E143" s="369"/>
      <c r="F143" s="369"/>
      <c r="G143" s="369"/>
      <c r="H143" s="369"/>
      <c r="I143" s="369"/>
      <c r="J143" s="369"/>
      <c r="K143" s="369"/>
      <c r="L143" s="369"/>
      <c r="M143" s="369"/>
      <c r="N143" s="369"/>
      <c r="O143" s="369"/>
      <c r="P143" s="369"/>
      <c r="Q143" s="369"/>
      <c r="R143" s="369"/>
      <c r="S143" s="369"/>
      <c r="T143" s="369"/>
      <c r="U143" s="369"/>
      <c r="V143" s="369"/>
      <c r="W143" s="369"/>
      <c r="X143" s="369"/>
      <c r="Y143" s="369"/>
      <c r="Z143" s="369"/>
      <c r="AA143" s="369"/>
      <c r="AB143" s="242">
        <f t="shared" si="21"/>
        <v>0</v>
      </c>
      <c r="AC143" s="251" t="str">
        <f>CONCATENATE(IF(D144&gt;D143," * OPD  Physical Violence Initiated Pep "&amp;$D$20&amp;" "&amp;$D$21&amp;" is more than OPD Physical Violence Rape Survivors"&amp;CHAR(10),""),IF(E144&gt;E143," * OPD  Physical Violence Initiated Pep "&amp;$D$20&amp;" "&amp;$E$21&amp;" is more than OPD Physical Violence Rape Survivors"&amp;CHAR(10),""),IF(F144&gt;F143," * OPD  Physical Violence Initiated Pep "&amp;$F$20&amp;" "&amp;$F$21&amp;" is more than OPD Physical Violence Rape Survivors"&amp;CHAR(10),""),IF(G144&gt;G143," * OPD  Physical Violence Initiated Pep "&amp;$F$20&amp;" "&amp;$G$21&amp;" is more than OPD Physical Violence Rape Survivors"&amp;CHAR(10),""),IF(H144&gt;H143," * OPD  Physical Violence Initiated Pep "&amp;$H$20&amp;" "&amp;$H$21&amp;" is more than OPD Physical Violence Rape Survivors"&amp;CHAR(10),""),IF(I144&gt;I143," * OPD  Physical Violence Initiated Pep "&amp;$H$20&amp;" "&amp;$I$21&amp;" is more than OPD Physical Violence Rape Survivors"&amp;CHAR(10),""),IF(J144&gt;J143," * OPD  Physical Violence Initiated Pep "&amp;$J$20&amp;" "&amp;$J$21&amp;" is more than OPD Physical Violence Rape Survivors"&amp;CHAR(10),""),IF(K144&gt;K143," * OPD  Physical Violence Initiated Pep "&amp;$J$20&amp;" "&amp;$K$21&amp;" is more than OPD Physical Violence Rape Survivors"&amp;CHAR(10),""),IF(L144&gt;L143," * OPD  Physical Violence Initiated Pep "&amp;$L$20&amp;" "&amp;$L$21&amp;" is more than OPD Physical Violence Rape Survivors"&amp;CHAR(10),""),IF(M144&gt;M143," * OPD  Physical Violence Initiated Pep "&amp;$L$20&amp;" "&amp;$M$21&amp;" is more than OPD Physical Violence Rape Survivors"&amp;CHAR(10),""),IF(N144&gt;N143," * OPD  Physical Violence Initiated Pep "&amp;$N$20&amp;" "&amp;$N$21&amp;" is more than OPD Physical Violence Rape Survivors"&amp;CHAR(10),""),IF(O144&gt;O143," * OPD  Physical Violence Initiated Pep "&amp;$N$20&amp;" "&amp;$O$21&amp;" is more than OPD Physical Violence Rape Survivors"&amp;CHAR(10),""),IF(P144&gt;P143," * OPD  Physical Violence Initiated Pep "&amp;$P$20&amp;" "&amp;$P$21&amp;" is more than OPD Physical Violence Rape Survivors"&amp;CHAR(10),""),IF(Q144&gt;Q143," * OPD  Physical Violence Initiated Pep "&amp;$P$20&amp;" "&amp;$Q$21&amp;" is more than OPD Physical Violence Rape Survivors"&amp;CHAR(10),""),IF(R144&gt;R143," * OPD  Physical Violence Initiated Pep "&amp;$R$20&amp;" "&amp;$R$21&amp;" is more than OPD Physical Violence Rape Survivors"&amp;CHAR(10),""),IF(S144&gt;S143," * OPD  Physical Violence Initiated Pep "&amp;$R$20&amp;" "&amp;$S$21&amp;" is more than OPD Physical Violence Rape Survivors"&amp;CHAR(10),""),IF(T144&gt;T143," * OPD  Physical Violence Initiated Pep "&amp;$T$20&amp;" "&amp;$T$21&amp;" is more than OPD Physical Violence Rape Survivors"&amp;CHAR(10),""),IF(U144&gt;U143," * OPD  Physical Violence Initiated Pep "&amp;$T$20&amp;" "&amp;$U$21&amp;" is more than OPD Physical Violence Rape Survivors"&amp;CHAR(10),""),IF(V144&gt;V143," * OPD  Physical Violence Initiated Pep "&amp;$V$20&amp;" "&amp;$V$21&amp;" is more than OPD Physical Violence Rape Survivors"&amp;CHAR(10),""),IF(W144&gt;W143," * OPD  Physical Violence Initiated Pep "&amp;$V$20&amp;" "&amp;$W$21&amp;" is more than OPD Physical Violence Rape Survivors"&amp;CHAR(10),""),IF(X144&gt;X143," * OPD  Physical Violence Initiated Pep "&amp;$X$20&amp;" "&amp;$X$21&amp;" is more than OPD Physical Violence Rape Survivors"&amp;CHAR(10),""),IF(Y144&gt;Y143," * OPD  Physical Violence Initiated Pep "&amp;$X$20&amp;" "&amp;$Y$21&amp;" is more than OPD Physical Violence Rape Survivors"&amp;CHAR(10),""),IF(Z144&gt;Z143," * OPD  Physical Violence Initiated Pep "&amp;$Z$20&amp;" "&amp;$Z$21&amp;" is more than OPD Physical Violence Rape Survivors"&amp;CHAR(10),""),IF(AA144&gt;AA143," * OPD  Physical Violence Initiated Pep "&amp;$Z$20&amp;" "&amp;$AA$21&amp;" is more than OPD Physical Violence Rape Survivors"&amp;CHAR(10),""))</f>
        <v/>
      </c>
      <c r="AD143" s="759"/>
      <c r="AE143" s="252"/>
      <c r="AF143" s="632"/>
      <c r="AG143" s="439">
        <v>142</v>
      </c>
      <c r="AH143" s="333"/>
    </row>
    <row r="144" spans="1:34" s="225" customFormat="1" hidden="1" x14ac:dyDescent="0.85">
      <c r="A144" s="676"/>
      <c r="B144" s="359" t="s">
        <v>900</v>
      </c>
      <c r="C144" s="348" t="s">
        <v>910</v>
      </c>
      <c r="D144" s="352"/>
      <c r="E144" s="352"/>
      <c r="F144" s="352"/>
      <c r="G144" s="352"/>
      <c r="H144" s="352"/>
      <c r="I144" s="352"/>
      <c r="J144" s="352"/>
      <c r="K144" s="352"/>
      <c r="L144" s="352"/>
      <c r="M144" s="352"/>
      <c r="N144" s="352"/>
      <c r="O144" s="352"/>
      <c r="P144" s="352"/>
      <c r="Q144" s="352"/>
      <c r="R144" s="352"/>
      <c r="S144" s="352"/>
      <c r="T144" s="352"/>
      <c r="U144" s="352"/>
      <c r="V144" s="352"/>
      <c r="W144" s="352"/>
      <c r="X144" s="352"/>
      <c r="Y144" s="352"/>
      <c r="Z144" s="352"/>
      <c r="AA144" s="352"/>
      <c r="AB144" s="242">
        <f t="shared" si="21"/>
        <v>0</v>
      </c>
      <c r="AC144" s="259"/>
      <c r="AD144" s="759"/>
      <c r="AE144" s="252"/>
      <c r="AF144" s="632"/>
      <c r="AG144" s="439">
        <v>143</v>
      </c>
      <c r="AH144" s="333"/>
    </row>
    <row r="145" spans="1:34" s="225" customFormat="1" hidden="1" x14ac:dyDescent="0.85">
      <c r="A145" s="676"/>
      <c r="B145" s="359" t="s">
        <v>901</v>
      </c>
      <c r="C145" s="348" t="s">
        <v>911</v>
      </c>
      <c r="D145" s="353"/>
      <c r="E145" s="352"/>
      <c r="F145" s="352"/>
      <c r="G145" s="352"/>
      <c r="H145" s="352"/>
      <c r="I145" s="352"/>
      <c r="J145" s="352"/>
      <c r="K145" s="352"/>
      <c r="L145" s="352"/>
      <c r="M145" s="352"/>
      <c r="N145" s="352"/>
      <c r="O145" s="352"/>
      <c r="P145" s="352"/>
      <c r="Q145" s="352"/>
      <c r="R145" s="352"/>
      <c r="S145" s="352"/>
      <c r="T145" s="352"/>
      <c r="U145" s="352"/>
      <c r="V145" s="352"/>
      <c r="W145" s="352"/>
      <c r="X145" s="352"/>
      <c r="Y145" s="352"/>
      <c r="Z145" s="352"/>
      <c r="AA145" s="361"/>
      <c r="AB145" s="242">
        <f t="shared" si="21"/>
        <v>0</v>
      </c>
      <c r="AC145" s="259"/>
      <c r="AD145" s="759"/>
      <c r="AE145" s="252"/>
      <c r="AF145" s="632"/>
      <c r="AG145" s="439">
        <v>144</v>
      </c>
      <c r="AH145" s="333"/>
    </row>
    <row r="146" spans="1:34" s="225" customFormat="1" ht="31.3" hidden="1" thickBot="1" x14ac:dyDescent="0.9">
      <c r="A146" s="677"/>
      <c r="B146" s="360" t="s">
        <v>936</v>
      </c>
      <c r="C146" s="356" t="s">
        <v>912</v>
      </c>
      <c r="D146" s="354"/>
      <c r="E146" s="355"/>
      <c r="F146" s="355"/>
      <c r="G146" s="355"/>
      <c r="H146" s="355"/>
      <c r="I146" s="355"/>
      <c r="J146" s="355"/>
      <c r="K146" s="355"/>
      <c r="L146" s="355"/>
      <c r="M146" s="355"/>
      <c r="N146" s="355"/>
      <c r="O146" s="355"/>
      <c r="P146" s="355"/>
      <c r="Q146" s="355"/>
      <c r="R146" s="355"/>
      <c r="S146" s="355"/>
      <c r="T146" s="355"/>
      <c r="U146" s="355"/>
      <c r="V146" s="355"/>
      <c r="W146" s="355"/>
      <c r="X146" s="355"/>
      <c r="Y146" s="355"/>
      <c r="Z146" s="355"/>
      <c r="AA146" s="362"/>
      <c r="AB146" s="242">
        <f t="shared" si="21"/>
        <v>0</v>
      </c>
      <c r="AC146" s="259"/>
      <c r="AD146" s="760"/>
      <c r="AE146" s="260"/>
      <c r="AF146" s="632"/>
      <c r="AG146" s="439">
        <v>145</v>
      </c>
      <c r="AH146" s="333"/>
    </row>
    <row r="147" spans="1:34" s="225" customFormat="1" hidden="1" x14ac:dyDescent="0.85">
      <c r="A147" s="675" t="s">
        <v>903</v>
      </c>
      <c r="B147" s="358" t="s">
        <v>948</v>
      </c>
      <c r="C147" s="339" t="s">
        <v>913</v>
      </c>
      <c r="D147" s="371">
        <f>D11</f>
        <v>0</v>
      </c>
      <c r="E147" s="371">
        <f t="shared" ref="E147:AA147" si="22">E11</f>
        <v>0</v>
      </c>
      <c r="F147" s="371">
        <f t="shared" si="22"/>
        <v>0</v>
      </c>
      <c r="G147" s="371">
        <f t="shared" si="22"/>
        <v>0</v>
      </c>
      <c r="H147" s="371">
        <f t="shared" si="22"/>
        <v>0</v>
      </c>
      <c r="I147" s="371">
        <f t="shared" si="22"/>
        <v>0</v>
      </c>
      <c r="J147" s="371">
        <f t="shared" si="22"/>
        <v>0</v>
      </c>
      <c r="K147" s="371">
        <f t="shared" si="22"/>
        <v>0</v>
      </c>
      <c r="L147" s="371">
        <f t="shared" si="22"/>
        <v>0</v>
      </c>
      <c r="M147" s="371">
        <f t="shared" si="22"/>
        <v>0</v>
      </c>
      <c r="N147" s="371">
        <f t="shared" si="22"/>
        <v>0</v>
      </c>
      <c r="O147" s="371">
        <f t="shared" si="22"/>
        <v>0</v>
      </c>
      <c r="P147" s="371">
        <f t="shared" si="22"/>
        <v>0</v>
      </c>
      <c r="Q147" s="371">
        <f t="shared" si="22"/>
        <v>0</v>
      </c>
      <c r="R147" s="371">
        <f t="shared" si="22"/>
        <v>0</v>
      </c>
      <c r="S147" s="371">
        <f t="shared" si="22"/>
        <v>0</v>
      </c>
      <c r="T147" s="371">
        <f t="shared" si="22"/>
        <v>0</v>
      </c>
      <c r="U147" s="371">
        <f t="shared" si="22"/>
        <v>0</v>
      </c>
      <c r="V147" s="371">
        <f t="shared" si="22"/>
        <v>0</v>
      </c>
      <c r="W147" s="371">
        <f t="shared" si="22"/>
        <v>0</v>
      </c>
      <c r="X147" s="371">
        <f t="shared" si="22"/>
        <v>0</v>
      </c>
      <c r="Y147" s="371">
        <f t="shared" si="22"/>
        <v>0</v>
      </c>
      <c r="Z147" s="371">
        <f t="shared" si="22"/>
        <v>0</v>
      </c>
      <c r="AA147" s="371">
        <f t="shared" si="22"/>
        <v>0</v>
      </c>
      <c r="AB147" s="371">
        <f t="shared" ref="AB147" si="23">AB11</f>
        <v>0</v>
      </c>
      <c r="AC147" s="251" t="str">
        <f>CONCATENATE(IF(D148&gt;D147," * No Screened for GBV "&amp;$D$20&amp;" "&amp;$D$21&amp;" is more than Clients Seen at IPD"&amp;CHAR(10),""),IF(E148&gt;E147," * No Screened For GBV "&amp;$D$20&amp;" "&amp;$E$21&amp;" is more than Clients Seen at IPD"&amp;CHAR(10),""),IF(F148&gt;F147," * No Screened For GBV "&amp;$F$20&amp;" "&amp;$F$21&amp;" is more than Clients Seen at IPD"&amp;CHAR(10),""),IF(G148&gt;G147," * No Screened For GBV "&amp;$F$20&amp;" "&amp;$G$21&amp;" is more than Clients Seen at IPD"&amp;CHAR(10),""),IF(H148&gt;H147," * No Screened For GBV "&amp;$H$20&amp;" "&amp;$H$21&amp;" is more than Clients Seen at IPD"&amp;CHAR(10),""),IF(I148&gt;I147," * No Screened For GBV "&amp;$H$20&amp;" "&amp;$I$21&amp;" is more than Clients Seen at IPD"&amp;CHAR(10),""),IF(J148&gt;J147," * No Screened For GBV "&amp;$J$20&amp;" "&amp;$J$21&amp;" is more than Clients Seen at IPD"&amp;CHAR(10),""),IF(K148&gt;K147," * No Screened For GBV "&amp;$J$20&amp;" "&amp;$K$21&amp;" is more than Clients Seen at IPD"&amp;CHAR(10),""),IF(L148&gt;L147," * No Screened For GBV "&amp;$L$20&amp;" "&amp;$L$21&amp;" is more than Clients Seen at IPD"&amp;CHAR(10),""),IF(M148&gt;M147," * No Screened For GBV "&amp;$L$20&amp;" "&amp;$M$21&amp;" is more than Clients Seen at IPD"&amp;CHAR(10),""),IF(N148&gt;N147," * No Screened For GBV "&amp;$N$20&amp;" "&amp;$N$21&amp;" is more than Clients Seen at IPD"&amp;CHAR(10),""),IF(O148&gt;O147," * No Screened For GBV "&amp;$N$20&amp;" "&amp;$O$21&amp;" is more than Clients Seen at IPD"&amp;CHAR(10),""),IF(P148&gt;P147," * No Screened For GBV "&amp;$P$20&amp;" "&amp;$P$21&amp;" is more than Clients Seen at IPD"&amp;CHAR(10),""),IF(Q148&gt;Q147," * No Screened For GBV "&amp;$P$20&amp;" "&amp;$Q$21&amp;" is more than Clients Seen at IPD"&amp;CHAR(10),""),IF(R148&gt;R147," * No Screened For GBV "&amp;$R$20&amp;" "&amp;$R$21&amp;" is more than Clients Seen at IPD"&amp;CHAR(10),""),IF(S148&gt;S147," * No Screened For GBV "&amp;$R$20&amp;" "&amp;$S$21&amp;" is more than Clients Seen at IPD"&amp;CHAR(10),""),IF(T148&gt;T147," * No Screened For GBV "&amp;$T$20&amp;" "&amp;$T$21&amp;" is more than Clients Seen at IPD"&amp;CHAR(10),""),IF(U148&gt;U147," * No Screened For GBV "&amp;$T$20&amp;" "&amp;$U$21&amp;" is more than Clients Seen at IPD"&amp;CHAR(10),""),IF(V148&gt;V147," * No Screened For GBV "&amp;$V$20&amp;" "&amp;$V$21&amp;" is more than Clients Seen at IPD"&amp;CHAR(10),""),IF(W148&gt;W147," * No Screened For GBV "&amp;$V$20&amp;" "&amp;$W$21&amp;" is more than Clients Seen at IPD"&amp;CHAR(10),""),IF(X148&gt;X147," * No Screened For GBV "&amp;$X$20&amp;" "&amp;$X$21&amp;" is more than Clients Seen at IPD"&amp;CHAR(10),""),IF(Y148&gt;Y147," * No Screened For GBV "&amp;$X$20&amp;" "&amp;$Y$21&amp;" is more than Clients Seen at IPD"&amp;CHAR(10),""),IF(Z148&gt;Z147," * No Screened For GBV "&amp;$Z$20&amp;" "&amp;$Z$21&amp;" is more than Clients Seen at IPD"&amp;CHAR(10),""),IF(AA148&gt;AA147," * No Screened For GBV "&amp;$Z$20&amp;" "&amp;$AA$21&amp;" is more than Clients Seen at IPD"&amp;CHAR(10),""))</f>
        <v/>
      </c>
      <c r="AD147" s="761" t="str">
        <f>CONCATENATE(AC147,AC148,AC149,AC150,AC151,AC152,AC153,AC154,AC155)</f>
        <v/>
      </c>
      <c r="AE147" s="260"/>
      <c r="AF147" s="632"/>
      <c r="AG147" s="439">
        <v>146</v>
      </c>
      <c r="AH147" s="333"/>
    </row>
    <row r="148" spans="1:34" s="225" customFormat="1" hidden="1" x14ac:dyDescent="0.85">
      <c r="A148" s="676"/>
      <c r="B148" s="359" t="s">
        <v>942</v>
      </c>
      <c r="C148" s="348" t="s">
        <v>914</v>
      </c>
      <c r="D148" s="350"/>
      <c r="E148" s="350"/>
      <c r="F148" s="350"/>
      <c r="G148" s="350"/>
      <c r="H148" s="350"/>
      <c r="I148" s="350"/>
      <c r="J148" s="350"/>
      <c r="K148" s="350"/>
      <c r="L148" s="350"/>
      <c r="M148" s="350"/>
      <c r="N148" s="350"/>
      <c r="O148" s="350"/>
      <c r="P148" s="350"/>
      <c r="Q148" s="350"/>
      <c r="R148" s="350"/>
      <c r="S148" s="350"/>
      <c r="T148" s="350"/>
      <c r="U148" s="350"/>
      <c r="V148" s="350"/>
      <c r="W148" s="350"/>
      <c r="X148" s="350"/>
      <c r="Y148" s="350"/>
      <c r="Z148" s="350"/>
      <c r="AA148" s="350"/>
      <c r="AB148" s="256">
        <f t="shared" ref="AB148:AB173" si="24">SUM(D148:AA148)</f>
        <v>0</v>
      </c>
      <c r="AC148" s="259"/>
      <c r="AD148" s="762"/>
      <c r="AE148" s="252"/>
      <c r="AF148" s="632"/>
      <c r="AG148" s="439">
        <v>147</v>
      </c>
      <c r="AH148" s="333"/>
    </row>
    <row r="149" spans="1:34" s="225" customFormat="1" ht="31.75" hidden="1" x14ac:dyDescent="0.85">
      <c r="A149" s="676"/>
      <c r="B149" s="364" t="s">
        <v>951</v>
      </c>
      <c r="C149" s="348" t="s">
        <v>915</v>
      </c>
      <c r="D149" s="370">
        <f>D150+D152+D154+D155</f>
        <v>0</v>
      </c>
      <c r="E149" s="370">
        <f t="shared" ref="E149" si="25">E150+E152+E154+E155</f>
        <v>0</v>
      </c>
      <c r="F149" s="370">
        <f t="shared" ref="F149" si="26">F150+F152+F154+F155</f>
        <v>0</v>
      </c>
      <c r="G149" s="370">
        <f t="shared" ref="G149" si="27">G150+G152+G154+G155</f>
        <v>0</v>
      </c>
      <c r="H149" s="370">
        <f t="shared" ref="H149" si="28">H150+H152+H154+H155</f>
        <v>0</v>
      </c>
      <c r="I149" s="370">
        <f t="shared" ref="I149" si="29">I150+I152+I154+I155</f>
        <v>0</v>
      </c>
      <c r="J149" s="370">
        <f t="shared" ref="J149" si="30">J150+J152+J154+J155</f>
        <v>0</v>
      </c>
      <c r="K149" s="370">
        <f t="shared" ref="K149" si="31">K150+K152+K154+K155</f>
        <v>0</v>
      </c>
      <c r="L149" s="370">
        <f t="shared" ref="L149" si="32">L150+L152+L154+L155</f>
        <v>0</v>
      </c>
      <c r="M149" s="370">
        <f t="shared" ref="M149" si="33">M150+M152+M154+M155</f>
        <v>0</v>
      </c>
      <c r="N149" s="370">
        <f t="shared" ref="N149" si="34">N150+N152+N154+N155</f>
        <v>0</v>
      </c>
      <c r="O149" s="370">
        <f t="shared" ref="O149" si="35">O150+O152+O154+O155</f>
        <v>0</v>
      </c>
      <c r="P149" s="370">
        <f t="shared" ref="P149" si="36">P150+P152+P154+P155</f>
        <v>0</v>
      </c>
      <c r="Q149" s="370">
        <f t="shared" ref="Q149" si="37">Q150+Q152+Q154+Q155</f>
        <v>0</v>
      </c>
      <c r="R149" s="370">
        <f t="shared" ref="R149" si="38">R150+R152+R154+R155</f>
        <v>0</v>
      </c>
      <c r="S149" s="370">
        <f t="shared" ref="S149" si="39">S150+S152+S154+S155</f>
        <v>0</v>
      </c>
      <c r="T149" s="370">
        <f t="shared" ref="T149" si="40">T150+T152+T154+T155</f>
        <v>0</v>
      </c>
      <c r="U149" s="370">
        <f t="shared" ref="U149" si="41">U150+U152+U154+U155</f>
        <v>0</v>
      </c>
      <c r="V149" s="370">
        <f t="shared" ref="V149" si="42">V150+V152+V154+V155</f>
        <v>0</v>
      </c>
      <c r="W149" s="370">
        <f t="shared" ref="W149" si="43">W150+W152+W154+W155</f>
        <v>0</v>
      </c>
      <c r="X149" s="370">
        <f t="shared" ref="X149" si="44">X150+X152+X154+X155</f>
        <v>0</v>
      </c>
      <c r="Y149" s="370">
        <f t="shared" ref="Y149" si="45">Y150+Y152+Y154+Y155</f>
        <v>0</v>
      </c>
      <c r="Z149" s="370">
        <f t="shared" ref="Z149" si="46">Z150+Z152+Z154+Z155</f>
        <v>0</v>
      </c>
      <c r="AA149" s="370">
        <f t="shared" ref="AA149" si="47">AA150+AA152+AA154+AA155</f>
        <v>0</v>
      </c>
      <c r="AB149" s="256">
        <f t="shared" si="24"/>
        <v>0</v>
      </c>
      <c r="AC149" s="259"/>
      <c r="AD149" s="762"/>
      <c r="AE149" s="252"/>
      <c r="AF149" s="632"/>
      <c r="AG149" s="439">
        <v>148</v>
      </c>
      <c r="AH149" s="333"/>
    </row>
    <row r="150" spans="1:34" s="225" customFormat="1" hidden="1" x14ac:dyDescent="0.85">
      <c r="A150" s="676"/>
      <c r="B150" s="359" t="s">
        <v>897</v>
      </c>
      <c r="C150" s="348" t="s">
        <v>916</v>
      </c>
      <c r="D150" s="369"/>
      <c r="E150" s="369"/>
      <c r="F150" s="369"/>
      <c r="G150" s="369"/>
      <c r="H150" s="369"/>
      <c r="I150" s="369"/>
      <c r="J150" s="369"/>
      <c r="K150" s="369"/>
      <c r="L150" s="369"/>
      <c r="M150" s="369"/>
      <c r="N150" s="369"/>
      <c r="O150" s="369"/>
      <c r="P150" s="369"/>
      <c r="Q150" s="369"/>
      <c r="R150" s="369"/>
      <c r="S150" s="369"/>
      <c r="T150" s="369"/>
      <c r="U150" s="369"/>
      <c r="V150" s="369"/>
      <c r="W150" s="369"/>
      <c r="X150" s="369"/>
      <c r="Y150" s="369"/>
      <c r="Z150" s="369"/>
      <c r="AA150" s="369"/>
      <c r="AB150" s="256">
        <f t="shared" si="24"/>
        <v>0</v>
      </c>
      <c r="AC150" s="251" t="str">
        <f>CONCATENATE(IF(D151&gt;D150," * IPD Sexual Violence Initiated Pep "&amp;$D$20&amp;" "&amp;$D$21&amp;" is more than IPD Sexual Violence Rape Survivors"&amp;CHAR(10),""),IF(E151&gt;E150," * IPD Sexual Violence Initiated Pep "&amp;$D$20&amp;" "&amp;$E$21&amp;" is more than IPD Sexual Violence Rape Survivors"&amp;CHAR(10),""),IF(F151&gt;F150," * IPD Sexual Violence Initiated Pep "&amp;$F$20&amp;" "&amp;$F$21&amp;" is more than IPD Sexual Violence Rape Survivors"&amp;CHAR(10),""),IF(G151&gt;G150," * IPD Sexual Violence Initiated Pep "&amp;$F$20&amp;" "&amp;$G$21&amp;" is more than IPD Sexual Violence Rape Survivors"&amp;CHAR(10),""),IF(H151&gt;H150," * IPD Sexual Violence Initiated Pep "&amp;$H$20&amp;" "&amp;$H$21&amp;" is more than IPD Sexual Violence Rape Survivors"&amp;CHAR(10),""),IF(I151&gt;I150," * IPD Sexual Violence Initiated Pep "&amp;$H$20&amp;" "&amp;$I$21&amp;" is more than IPD Sexual Violence Rape Survivors"&amp;CHAR(10),""),IF(J151&gt;J150," * IPD Sexual Violence Initiated Pep "&amp;$J$20&amp;" "&amp;$J$21&amp;" is more than IPD Sexual Violence Rape Survivors"&amp;CHAR(10),""),IF(K151&gt;K150," * IPD Sexual Violence Initiated Pep "&amp;$J$20&amp;" "&amp;$K$21&amp;" is more than IPD Sexual Violence Rape Survivors"&amp;CHAR(10),""),IF(L151&gt;L150," * IPD Sexual Violence Initiated Pep "&amp;$L$20&amp;" "&amp;$L$21&amp;" is more than IPD Sexual Violence Rape Survivors"&amp;CHAR(10),""),IF(M151&gt;M150," * IPD Sexual Violence Initiated Pep "&amp;$L$20&amp;" "&amp;$M$21&amp;" is more than IPD Sexual Violence Rape Survivors"&amp;CHAR(10),""),IF(N151&gt;N150," * IPD Sexual Violence Initiated Pep "&amp;$N$20&amp;" "&amp;$N$21&amp;" is more than IPD Sexual Violence Rape Survivors"&amp;CHAR(10),""),IF(O151&gt;O150," * IPD Sexual Violence Initiated Pep "&amp;$N$20&amp;" "&amp;$O$21&amp;" is more than IPD Sexual Violence Rape Survivors"&amp;CHAR(10),""),IF(P151&gt;P150," * IPD Sexual Violence Initiated Pep "&amp;$P$20&amp;" "&amp;$P$21&amp;" is more than IPD Sexual Violence Rape Survivors"&amp;CHAR(10),""),IF(Q151&gt;Q150," * IPD Sexual Violence Initiated Pep "&amp;$P$20&amp;" "&amp;$Q$21&amp;" is more than IPD Sexual Violence Rape Survivors"&amp;CHAR(10),""),IF(R151&gt;R150," * IPD Sexual Violence Initiated Pep "&amp;$R$20&amp;" "&amp;$R$21&amp;" is more than IPD Sexual Violence Rape Survivors"&amp;CHAR(10),""),IF(S151&gt;S150," * IPD Sexual Violence Initiated Pep "&amp;$R$20&amp;" "&amp;$S$21&amp;" is more than IPD Sexual Violence Rape Survivors"&amp;CHAR(10),""),IF(T151&gt;T150," * IPD Sexual Violence Initiated Pep "&amp;$T$20&amp;" "&amp;$T$21&amp;" is more than IPD Sexual Violence Rape Survivors"&amp;CHAR(10),""),IF(U151&gt;U150," * IPD Sexual Violence Initiated Pep "&amp;$T$20&amp;" "&amp;$U$21&amp;" is more than IPD Sexual Violence Rape Survivors"&amp;CHAR(10),""),IF(V151&gt;V150," * IPD Sexual Violence Initiated Pep "&amp;$V$20&amp;" "&amp;$V$21&amp;" is more than IPD Sexual Violence Rape Survivors"&amp;CHAR(10),""),IF(W151&gt;W150," * IPD Sexual Violence Initiated Pep "&amp;$V$20&amp;" "&amp;$W$21&amp;" is more than IPD Sexual Violence Rape Survivors"&amp;CHAR(10),""),IF(X151&gt;X150," * IPD Sexual Violence Initiated Pep "&amp;$X$20&amp;" "&amp;$X$21&amp;" is more than IPD Sexual Violence Rape Survivors"&amp;CHAR(10),""),IF(Y151&gt;Y150," * IPD Sexual Violence Initiated Pep "&amp;$X$20&amp;" "&amp;$Y$21&amp;" is more than IPD Sexual Violence Rape Survivors"&amp;CHAR(10),""),IF(Z151&gt;Z150," * IPD Sexual Violence Initiated Pep "&amp;$Z$20&amp;" "&amp;$Z$21&amp;" is more than IPD Sexual Violence Rape Survivors"&amp;CHAR(10),""),IF(AA151&gt;AA150," * IPD Sexual Violence Initiated Pep "&amp;$Z$20&amp;" "&amp;$AA$21&amp;" is more than IPD Sexual Violence Rape Survivors"&amp;CHAR(10),""))</f>
        <v/>
      </c>
      <c r="AD150" s="762"/>
      <c r="AE150" s="252"/>
      <c r="AF150" s="632"/>
      <c r="AG150" s="439">
        <v>149</v>
      </c>
      <c r="AH150" s="333"/>
    </row>
    <row r="151" spans="1:34" s="225" customFormat="1" hidden="1" x14ac:dyDescent="0.85">
      <c r="A151" s="676"/>
      <c r="B151" s="359" t="s">
        <v>898</v>
      </c>
      <c r="C151" s="348" t="s">
        <v>917</v>
      </c>
      <c r="D151" s="352"/>
      <c r="E151" s="352"/>
      <c r="F151" s="352"/>
      <c r="G151" s="352"/>
      <c r="H151" s="352"/>
      <c r="I151" s="352"/>
      <c r="J151" s="352"/>
      <c r="K151" s="352"/>
      <c r="L151" s="352"/>
      <c r="M151" s="352"/>
      <c r="N151" s="352"/>
      <c r="O151" s="352"/>
      <c r="P151" s="352"/>
      <c r="Q151" s="352"/>
      <c r="R151" s="352"/>
      <c r="S151" s="352"/>
      <c r="T151" s="352"/>
      <c r="U151" s="352"/>
      <c r="V151" s="352"/>
      <c r="W151" s="352"/>
      <c r="X151" s="352"/>
      <c r="Y151" s="352"/>
      <c r="Z151" s="352"/>
      <c r="AA151" s="352"/>
      <c r="AB151" s="256">
        <f t="shared" si="24"/>
        <v>0</v>
      </c>
      <c r="AC151" s="259"/>
      <c r="AD151" s="762"/>
      <c r="AE151" s="252"/>
      <c r="AF151" s="632"/>
      <c r="AG151" s="439">
        <v>150</v>
      </c>
      <c r="AH151" s="333"/>
    </row>
    <row r="152" spans="1:34" s="225" customFormat="1" hidden="1" x14ac:dyDescent="0.85">
      <c r="A152" s="676"/>
      <c r="B152" s="359" t="s">
        <v>899</v>
      </c>
      <c r="C152" s="348" t="s">
        <v>918</v>
      </c>
      <c r="D152" s="369"/>
      <c r="E152" s="369"/>
      <c r="F152" s="369"/>
      <c r="G152" s="369"/>
      <c r="H152" s="369"/>
      <c r="I152" s="369"/>
      <c r="J152" s="369"/>
      <c r="K152" s="369"/>
      <c r="L152" s="369"/>
      <c r="M152" s="369"/>
      <c r="N152" s="369"/>
      <c r="O152" s="369"/>
      <c r="P152" s="369"/>
      <c r="Q152" s="369"/>
      <c r="R152" s="369"/>
      <c r="S152" s="369"/>
      <c r="T152" s="369"/>
      <c r="U152" s="369"/>
      <c r="V152" s="369"/>
      <c r="W152" s="369"/>
      <c r="X152" s="369"/>
      <c r="Y152" s="369"/>
      <c r="Z152" s="369"/>
      <c r="AA152" s="369"/>
      <c r="AB152" s="256">
        <f t="shared" si="24"/>
        <v>0</v>
      </c>
      <c r="AC152" s="251" t="str">
        <f>CONCATENATE(IF(D153&gt;D152," * IPD  Physical Violence Initiated Pep "&amp;$D$20&amp;" "&amp;$D$21&amp;" is more than IPD Physical Violence Rape Survivors"&amp;CHAR(10),""),IF(E153&gt;E152," * IPD  Physical Violence Initiated Pep "&amp;$D$20&amp;" "&amp;$E$21&amp;" is more than IPD Physical Violence Rape Survivors"&amp;CHAR(10),""),IF(F153&gt;F152," * IPD  Physical Violence Initiated Pep "&amp;$F$20&amp;" "&amp;$F$21&amp;" is more than IPD Physical Violence Rape Survivors"&amp;CHAR(10),""),IF(G153&gt;G152," * IPD  Physical Violence Initiated Pep "&amp;$F$20&amp;" "&amp;$G$21&amp;" is more than IPD Physical Violence Rape Survivors"&amp;CHAR(10),""),IF(H153&gt;H152," * IPD  Physical Violence Initiated Pep "&amp;$H$20&amp;" "&amp;$H$21&amp;" is more than IPD Physical Violence Rape Survivors"&amp;CHAR(10),""),IF(I153&gt;I152," * IPD  Physical Violence Initiated Pep "&amp;$H$20&amp;" "&amp;$I$21&amp;" is more than IPD Physical Violence Rape Survivors"&amp;CHAR(10),""),IF(J153&gt;J152," * IPD  Physical Violence Initiated Pep "&amp;$J$20&amp;" "&amp;$J$21&amp;" is more than IPD Physical Violence Rape Survivors"&amp;CHAR(10),""),IF(K153&gt;K152," * IPD  Physical Violence Initiated Pep "&amp;$J$20&amp;" "&amp;$K$21&amp;" is more than IPD Physical Violence Rape Survivors"&amp;CHAR(10),""),IF(L153&gt;L152," * IPD  Physical Violence Initiated Pep "&amp;$L$20&amp;" "&amp;$L$21&amp;" is more than IPD Physical Violence Rape Survivors"&amp;CHAR(10),""),IF(M153&gt;M152," * IPD  Physical Violence Initiated Pep "&amp;$L$20&amp;" "&amp;$M$21&amp;" is more than IPD Physical Violence Rape Survivors"&amp;CHAR(10),""),IF(N153&gt;N152," * IPD  Physical Violence Initiated Pep "&amp;$N$20&amp;" "&amp;$N$21&amp;" is more than IPD Physical Violence Rape Survivors"&amp;CHAR(10),""),IF(O153&gt;O152," * IPD  Physical Violence Initiated Pep "&amp;$N$20&amp;" "&amp;$O$21&amp;" is more than IPD Physical Violence Rape Survivors"&amp;CHAR(10),""),IF(P153&gt;P152," * IPD  Physical Violence Initiated Pep "&amp;$P$20&amp;" "&amp;$P$21&amp;" is more than IPD Physical Violence Rape Survivors"&amp;CHAR(10),""),IF(Q153&gt;Q152," * IPD  Physical Violence Initiated Pep "&amp;$P$20&amp;" "&amp;$Q$21&amp;" is more than IPD Physical Violence Rape Survivors"&amp;CHAR(10),""),IF(R153&gt;R152," * IPD  Physical Violence Initiated Pep "&amp;$R$20&amp;" "&amp;$R$21&amp;" is more than IPD Physical Violence Rape Survivors"&amp;CHAR(10),""),IF(S153&gt;S152," * IPD  Physical Violence Initiated Pep "&amp;$R$20&amp;" "&amp;$S$21&amp;" is more than IPD Physical Violence Rape Survivors"&amp;CHAR(10),""),IF(T153&gt;T152," * IPD  Physical Violence Initiated Pep "&amp;$T$20&amp;" "&amp;$T$21&amp;" is more than IPD Physical Violence Rape Survivors"&amp;CHAR(10),""),IF(U153&gt;U152," * IPD  Physical Violence Initiated Pep "&amp;$T$20&amp;" "&amp;$U$21&amp;" is more than IPD Physical Violence Rape Survivors"&amp;CHAR(10),""),IF(V153&gt;V152," * IPD  Physical Violence Initiated Pep "&amp;$V$20&amp;" "&amp;$V$21&amp;" is more than IPD Physical Violence Rape Survivors"&amp;CHAR(10),""),IF(W153&gt;W152," * IPD  Physical Violence Initiated Pep "&amp;$V$20&amp;" "&amp;$W$21&amp;" is more than IPD Physical Violence Rape Survivors"&amp;CHAR(10),""),IF(X153&gt;X152," * IPD  Physical Violence Initiated Pep "&amp;$X$20&amp;" "&amp;$X$21&amp;" is more than IPD Physical Violence Rape Survivors"&amp;CHAR(10),""),IF(Y153&gt;Y152," * IPD  Physical Violence Initiated Pep "&amp;$X$20&amp;" "&amp;$Y$21&amp;" is more than IPD Physical Violence Rape Survivors"&amp;CHAR(10),""),IF(Z153&gt;Z152," * IPD  Physical Violence Initiated Pep "&amp;$Z$20&amp;" "&amp;$Z$21&amp;" is more than IPD Physical Violence Rape Survivors"&amp;CHAR(10),""),IF(AA153&gt;AA152," * IPD  Physical Violence Initiated Pep "&amp;$Z$20&amp;" "&amp;$AA$21&amp;" is more than IPD Physical Violence Rape Survivors"&amp;CHAR(10),""))</f>
        <v/>
      </c>
      <c r="AD152" s="762"/>
      <c r="AE152" s="252"/>
      <c r="AF152" s="632"/>
      <c r="AG152" s="439">
        <v>151</v>
      </c>
      <c r="AH152" s="333"/>
    </row>
    <row r="153" spans="1:34" s="225" customFormat="1" hidden="1" x14ac:dyDescent="0.85">
      <c r="A153" s="676"/>
      <c r="B153" s="359" t="s">
        <v>900</v>
      </c>
      <c r="C153" s="348" t="s">
        <v>919</v>
      </c>
      <c r="D153" s="352"/>
      <c r="E153" s="352"/>
      <c r="F153" s="352"/>
      <c r="G153" s="352"/>
      <c r="H153" s="352"/>
      <c r="I153" s="352"/>
      <c r="J153" s="352"/>
      <c r="K153" s="352"/>
      <c r="L153" s="352"/>
      <c r="M153" s="352"/>
      <c r="N153" s="352"/>
      <c r="O153" s="352"/>
      <c r="P153" s="352"/>
      <c r="Q153" s="352"/>
      <c r="R153" s="352"/>
      <c r="S153" s="352"/>
      <c r="T153" s="352"/>
      <c r="U153" s="352"/>
      <c r="V153" s="352"/>
      <c r="W153" s="352"/>
      <c r="X153" s="352"/>
      <c r="Y153" s="352"/>
      <c r="Z153" s="352"/>
      <c r="AA153" s="352"/>
      <c r="AB153" s="256">
        <f t="shared" si="24"/>
        <v>0</v>
      </c>
      <c r="AC153" s="259"/>
      <c r="AD153" s="762"/>
      <c r="AE153" s="252"/>
      <c r="AF153" s="632"/>
      <c r="AG153" s="439">
        <v>152</v>
      </c>
      <c r="AH153" s="333"/>
    </row>
    <row r="154" spans="1:34" s="225" customFormat="1" hidden="1" x14ac:dyDescent="0.85">
      <c r="A154" s="676"/>
      <c r="B154" s="359" t="s">
        <v>901</v>
      </c>
      <c r="C154" s="348" t="s">
        <v>920</v>
      </c>
      <c r="D154" s="353"/>
      <c r="E154" s="352"/>
      <c r="F154" s="352"/>
      <c r="G154" s="352"/>
      <c r="H154" s="352"/>
      <c r="I154" s="352"/>
      <c r="J154" s="352"/>
      <c r="K154" s="352"/>
      <c r="L154" s="352"/>
      <c r="M154" s="352"/>
      <c r="N154" s="352"/>
      <c r="O154" s="352"/>
      <c r="P154" s="352"/>
      <c r="Q154" s="352"/>
      <c r="R154" s="352"/>
      <c r="S154" s="352"/>
      <c r="T154" s="352"/>
      <c r="U154" s="352"/>
      <c r="V154" s="352"/>
      <c r="W154" s="352"/>
      <c r="X154" s="352"/>
      <c r="Y154" s="352"/>
      <c r="Z154" s="352"/>
      <c r="AA154" s="361"/>
      <c r="AB154" s="363">
        <f t="shared" si="24"/>
        <v>0</v>
      </c>
      <c r="AC154" s="259"/>
      <c r="AD154" s="762"/>
      <c r="AE154" s="252"/>
      <c r="AF154" s="632"/>
      <c r="AG154" s="439">
        <v>153</v>
      </c>
      <c r="AH154" s="333"/>
    </row>
    <row r="155" spans="1:34" s="225" customFormat="1" ht="31.3" hidden="1" thickBot="1" x14ac:dyDescent="0.9">
      <c r="A155" s="677"/>
      <c r="B155" s="360" t="s">
        <v>936</v>
      </c>
      <c r="C155" s="356" t="s">
        <v>921</v>
      </c>
      <c r="D155" s="354"/>
      <c r="E155" s="355"/>
      <c r="F155" s="355"/>
      <c r="G155" s="355"/>
      <c r="H155" s="355"/>
      <c r="I155" s="355"/>
      <c r="J155" s="355"/>
      <c r="K155" s="355"/>
      <c r="L155" s="355"/>
      <c r="M155" s="355"/>
      <c r="N155" s="355"/>
      <c r="O155" s="355"/>
      <c r="P155" s="355"/>
      <c r="Q155" s="355"/>
      <c r="R155" s="355"/>
      <c r="S155" s="355"/>
      <c r="T155" s="355"/>
      <c r="U155" s="355"/>
      <c r="V155" s="355"/>
      <c r="W155" s="355"/>
      <c r="X155" s="355"/>
      <c r="Y155" s="355"/>
      <c r="Z155" s="355"/>
      <c r="AA155" s="362"/>
      <c r="AB155" s="363">
        <f t="shared" si="24"/>
        <v>0</v>
      </c>
      <c r="AC155" s="259"/>
      <c r="AD155" s="763"/>
      <c r="AE155" s="260"/>
      <c r="AF155" s="632"/>
      <c r="AG155" s="439">
        <v>154</v>
      </c>
      <c r="AH155" s="333"/>
    </row>
    <row r="156" spans="1:34" s="225" customFormat="1" hidden="1" x14ac:dyDescent="0.85">
      <c r="A156" s="675" t="s">
        <v>905</v>
      </c>
      <c r="B156" s="358" t="s">
        <v>949</v>
      </c>
      <c r="C156" s="339" t="s">
        <v>922</v>
      </c>
      <c r="D156" s="375"/>
      <c r="E156" s="375"/>
      <c r="F156" s="375"/>
      <c r="G156" s="375"/>
      <c r="H156" s="375"/>
      <c r="I156" s="375"/>
      <c r="J156" s="375"/>
      <c r="K156" s="375"/>
      <c r="L156" s="375"/>
      <c r="M156" s="375"/>
      <c r="N156" s="375"/>
      <c r="O156" s="375"/>
      <c r="P156" s="375"/>
      <c r="Q156" s="375"/>
      <c r="R156" s="375"/>
      <c r="S156" s="375"/>
      <c r="T156" s="375"/>
      <c r="U156" s="375"/>
      <c r="V156" s="375"/>
      <c r="W156" s="375"/>
      <c r="X156" s="375"/>
      <c r="Y156" s="375"/>
      <c r="Z156" s="375"/>
      <c r="AA156" s="375"/>
      <c r="AB156" s="363">
        <f t="shared" si="24"/>
        <v>0</v>
      </c>
      <c r="AC156" s="251" t="str">
        <f>CONCATENATE(IF(D157&gt;D156," * No Screened for GBV "&amp;$D$20&amp;" "&amp;$D$21&amp;" is more than Clients Seen at CCC"&amp;CHAR(10),""),IF(E157&gt;E156," * No Screened For GBV "&amp;$D$20&amp;" "&amp;$E$21&amp;" is more than Clients Seen at CCC"&amp;CHAR(10),""),IF(F157&gt;F156," * No Screened For GBV "&amp;$F$20&amp;" "&amp;$F$21&amp;" is more than Clients Seen at CCC"&amp;CHAR(10),""),IF(G157&gt;G156," * No Screened For GBV "&amp;$F$20&amp;" "&amp;$G$21&amp;" is more than Clients Seen at CCC"&amp;CHAR(10),""),IF(H157&gt;H156," * No Screened For GBV "&amp;$H$20&amp;" "&amp;$H$21&amp;" is more than Clients Seen at CCC"&amp;CHAR(10),""),IF(I157&gt;I156," * No Screened For GBV "&amp;$H$20&amp;" "&amp;$I$21&amp;" is more than Clients Seen at CCC"&amp;CHAR(10),""),IF(J157&gt;J156," * No Screened For GBV "&amp;$J$20&amp;" "&amp;$J$21&amp;" is more than Clients Seen at CCC"&amp;CHAR(10),""),IF(K157&gt;K156," * No Screened For GBV "&amp;$J$20&amp;" "&amp;$K$21&amp;" is more than Clients Seen at CCC"&amp;CHAR(10),""),IF(L157&gt;L156," * No Screened For GBV "&amp;$L$20&amp;" "&amp;$L$21&amp;" is more than Clients Seen at CCC"&amp;CHAR(10),""),IF(M157&gt;M156," * No Screened For GBV "&amp;$L$20&amp;" "&amp;$M$21&amp;" is more than Clients Seen at CCC"&amp;CHAR(10),""),IF(N157&gt;N156," * No Screened For GBV "&amp;$N$20&amp;" "&amp;$N$21&amp;" is more than Clients Seen at CCC"&amp;CHAR(10),""),IF(O157&gt;O156," * No Screened For GBV "&amp;$N$20&amp;" "&amp;$O$21&amp;" is more than Clients Seen at CCC"&amp;CHAR(10),""),IF(P157&gt;P156," * No Screened For GBV "&amp;$P$20&amp;" "&amp;$P$21&amp;" is more than Clients Seen at CCC"&amp;CHAR(10),""),IF(Q157&gt;Q156," * No Screened For GBV "&amp;$P$20&amp;" "&amp;$Q$21&amp;" is more than Clients Seen at CCC"&amp;CHAR(10),""),IF(R157&gt;R156," * No Screened For GBV "&amp;$R$20&amp;" "&amp;$R$21&amp;" is more than Clients Seen at CCC"&amp;CHAR(10),""),IF(S157&gt;S156," * No Screened For GBV "&amp;$R$20&amp;" "&amp;$S$21&amp;" is more than Clients Seen at CCC"&amp;CHAR(10),""),IF(T157&gt;T156," * No Screened For GBV "&amp;$T$20&amp;" "&amp;$T$21&amp;" is more than Clients Seen at CCC"&amp;CHAR(10),""),IF(U157&gt;U156," * No Screened For GBV "&amp;$T$20&amp;" "&amp;$U$21&amp;" is more than Clients Seen at CCC"&amp;CHAR(10),""),IF(V157&gt;V156," * No Screened For GBV "&amp;$V$20&amp;" "&amp;$V$21&amp;" is more than Clients Seen at CCC"&amp;CHAR(10),""),IF(W157&gt;W156," * No Screened For GBV "&amp;$V$20&amp;" "&amp;$W$21&amp;" is more than Clients Seen at CCC"&amp;CHAR(10),""),IF(X157&gt;X156," * No Screened For GBV "&amp;$X$20&amp;" "&amp;$X$21&amp;" is more than Clients Seen at CCC"&amp;CHAR(10),""),IF(Y157&gt;Y156," * No Screened For GBV "&amp;$X$20&amp;" "&amp;$Y$21&amp;" is more than Clients Seen at CCC"&amp;CHAR(10),""),IF(Z157&gt;Z156," * No Screened For GBV "&amp;$Z$20&amp;" "&amp;$Z$21&amp;" is more than Clients Seen at CCC"&amp;CHAR(10),""),IF(AA157&gt;AA156," * No Screened For GBV "&amp;$Z$20&amp;" "&amp;$AA$21&amp;" is more than Clients Seen at CCC"&amp;CHAR(10),""))</f>
        <v/>
      </c>
      <c r="AD156" s="761" t="str">
        <f>CONCATENATE(AC156,AC157,AC158,AC159,AC160,AC161,AC162,AC163,AC164)</f>
        <v/>
      </c>
      <c r="AE156" s="260"/>
      <c r="AF156" s="632"/>
      <c r="AG156" s="439">
        <v>155</v>
      </c>
      <c r="AH156" s="333"/>
    </row>
    <row r="157" spans="1:34" s="225" customFormat="1" hidden="1" x14ac:dyDescent="0.85">
      <c r="A157" s="676"/>
      <c r="B157" s="359" t="s">
        <v>943</v>
      </c>
      <c r="C157" s="348" t="s">
        <v>923</v>
      </c>
      <c r="D157" s="350"/>
      <c r="E157" s="350"/>
      <c r="F157" s="350"/>
      <c r="G157" s="350"/>
      <c r="H157" s="350"/>
      <c r="I157" s="350"/>
      <c r="J157" s="350"/>
      <c r="K157" s="350"/>
      <c r="L157" s="350"/>
      <c r="M157" s="350"/>
      <c r="N157" s="350"/>
      <c r="O157" s="350"/>
      <c r="P157" s="350"/>
      <c r="Q157" s="350"/>
      <c r="R157" s="350"/>
      <c r="S157" s="350"/>
      <c r="T157" s="350"/>
      <c r="U157" s="350"/>
      <c r="V157" s="350"/>
      <c r="W157" s="350"/>
      <c r="X157" s="350"/>
      <c r="Y157" s="350"/>
      <c r="Z157" s="350"/>
      <c r="AA157" s="350"/>
      <c r="AB157" s="363">
        <f t="shared" si="24"/>
        <v>0</v>
      </c>
      <c r="AC157" s="259"/>
      <c r="AD157" s="762"/>
      <c r="AE157" s="252"/>
      <c r="AF157" s="632"/>
      <c r="AG157" s="439">
        <v>156</v>
      </c>
      <c r="AH157" s="333"/>
    </row>
    <row r="158" spans="1:34" s="225" customFormat="1" ht="31.75" hidden="1" x14ac:dyDescent="0.85">
      <c r="A158" s="676"/>
      <c r="B158" s="364" t="s">
        <v>952</v>
      </c>
      <c r="C158" s="348" t="s">
        <v>924</v>
      </c>
      <c r="D158" s="370">
        <f>D159+D161+D163+D164</f>
        <v>0</v>
      </c>
      <c r="E158" s="370">
        <f t="shared" ref="E158" si="48">E159+E161+E163+E164</f>
        <v>0</v>
      </c>
      <c r="F158" s="370">
        <f t="shared" ref="F158" si="49">F159+F161+F163+F164</f>
        <v>0</v>
      </c>
      <c r="G158" s="370">
        <f t="shared" ref="G158" si="50">G159+G161+G163+G164</f>
        <v>0</v>
      </c>
      <c r="H158" s="370">
        <f t="shared" ref="H158" si="51">H159+H161+H163+H164</f>
        <v>0</v>
      </c>
      <c r="I158" s="370">
        <f t="shared" ref="I158" si="52">I159+I161+I163+I164</f>
        <v>0</v>
      </c>
      <c r="J158" s="370">
        <f t="shared" ref="J158" si="53">J159+J161+J163+J164</f>
        <v>0</v>
      </c>
      <c r="K158" s="370">
        <f t="shared" ref="K158" si="54">K159+K161+K163+K164</f>
        <v>0</v>
      </c>
      <c r="L158" s="370">
        <f t="shared" ref="L158" si="55">L159+L161+L163+L164</f>
        <v>0</v>
      </c>
      <c r="M158" s="370">
        <f t="shared" ref="M158" si="56">M159+M161+M163+M164</f>
        <v>0</v>
      </c>
      <c r="N158" s="370">
        <f t="shared" ref="N158" si="57">N159+N161+N163+N164</f>
        <v>0</v>
      </c>
      <c r="O158" s="370">
        <f t="shared" ref="O158" si="58">O159+O161+O163+O164</f>
        <v>0</v>
      </c>
      <c r="P158" s="370">
        <f t="shared" ref="P158" si="59">P159+P161+P163+P164</f>
        <v>0</v>
      </c>
      <c r="Q158" s="370">
        <f t="shared" ref="Q158" si="60">Q159+Q161+Q163+Q164</f>
        <v>0</v>
      </c>
      <c r="R158" s="370">
        <f t="shared" ref="R158" si="61">R159+R161+R163+R164</f>
        <v>0</v>
      </c>
      <c r="S158" s="370">
        <f t="shared" ref="S158" si="62">S159+S161+S163+S164</f>
        <v>0</v>
      </c>
      <c r="T158" s="370">
        <f t="shared" ref="T158" si="63">T159+T161+T163+T164</f>
        <v>0</v>
      </c>
      <c r="U158" s="370">
        <f t="shared" ref="U158" si="64">U159+U161+U163+U164</f>
        <v>0</v>
      </c>
      <c r="V158" s="370">
        <f t="shared" ref="V158" si="65">V159+V161+V163+V164</f>
        <v>0</v>
      </c>
      <c r="W158" s="370">
        <f t="shared" ref="W158" si="66">W159+W161+W163+W164</f>
        <v>0</v>
      </c>
      <c r="X158" s="370">
        <f t="shared" ref="X158" si="67">X159+X161+X163+X164</f>
        <v>0</v>
      </c>
      <c r="Y158" s="370">
        <f t="shared" ref="Y158" si="68">Y159+Y161+Y163+Y164</f>
        <v>0</v>
      </c>
      <c r="Z158" s="370">
        <f t="shared" ref="Z158" si="69">Z159+Z161+Z163+Z164</f>
        <v>0</v>
      </c>
      <c r="AA158" s="370">
        <f t="shared" ref="AA158" si="70">AA159+AA161+AA163+AA164</f>
        <v>0</v>
      </c>
      <c r="AB158" s="363">
        <f t="shared" si="24"/>
        <v>0</v>
      </c>
      <c r="AC158" s="259"/>
      <c r="AD158" s="762"/>
      <c r="AE158" s="252"/>
      <c r="AF158" s="632"/>
      <c r="AG158" s="439">
        <v>157</v>
      </c>
      <c r="AH158" s="333"/>
    </row>
    <row r="159" spans="1:34" s="225" customFormat="1" hidden="1" x14ac:dyDescent="0.85">
      <c r="A159" s="676"/>
      <c r="B159" s="359" t="s">
        <v>897</v>
      </c>
      <c r="C159" s="348" t="s">
        <v>925</v>
      </c>
      <c r="D159" s="369"/>
      <c r="E159" s="369"/>
      <c r="F159" s="369"/>
      <c r="G159" s="369"/>
      <c r="H159" s="369"/>
      <c r="I159" s="369"/>
      <c r="J159" s="369"/>
      <c r="K159" s="369"/>
      <c r="L159" s="369"/>
      <c r="M159" s="369"/>
      <c r="N159" s="369"/>
      <c r="O159" s="369"/>
      <c r="P159" s="369"/>
      <c r="Q159" s="369"/>
      <c r="R159" s="369"/>
      <c r="S159" s="369"/>
      <c r="T159" s="369"/>
      <c r="U159" s="369"/>
      <c r="V159" s="369"/>
      <c r="W159" s="369"/>
      <c r="X159" s="369"/>
      <c r="Y159" s="369"/>
      <c r="Z159" s="369"/>
      <c r="AA159" s="369"/>
      <c r="AB159" s="363">
        <f t="shared" si="24"/>
        <v>0</v>
      </c>
      <c r="AC159" s="251" t="str">
        <f>CONCATENATE(IF(D160&gt;D159," * CCC Sexual Violence Initiated Pep "&amp;$D$20&amp;" "&amp;$D$21&amp;" is more than CCC Sexual Violence Rape Survivors"&amp;CHAR(10),""),IF(E160&gt;E159," * CCC Sexual Violence Initiated Pep "&amp;$D$20&amp;" "&amp;$E$21&amp;" is more than CCC Sexual Violence Rape Survivors"&amp;CHAR(10),""),IF(F160&gt;F159," * CCC Sexual Violence Initiated Pep "&amp;$F$20&amp;" "&amp;$F$21&amp;" is more than CCC Sexual Violence Rape Survivors"&amp;CHAR(10),""),IF(G160&gt;G159," * CCC Sexual Violence Initiated Pep "&amp;$F$20&amp;" "&amp;$G$21&amp;" is more than CCC Sexual Violence Rape Survivors"&amp;CHAR(10),""),IF(H160&gt;H159," * CCC Sexual Violence Initiated Pep "&amp;$H$20&amp;" "&amp;$H$21&amp;" is more than CCC Sexual Violence Rape Survivors"&amp;CHAR(10),""),IF(I160&gt;I159," * CCC Sexual Violence Initiated Pep "&amp;$H$20&amp;" "&amp;$I$21&amp;" is more than CCC Sexual Violence Rape Survivors"&amp;CHAR(10),""),IF(J160&gt;J159," * CCC Sexual Violence Initiated Pep "&amp;$J$20&amp;" "&amp;$J$21&amp;" is more than CCC Sexual Violence Rape Survivors"&amp;CHAR(10),""),IF(K160&gt;K159," * CCC Sexual Violence Initiated Pep "&amp;$J$20&amp;" "&amp;$K$21&amp;" is more than CCC Sexual Violence Rape Survivors"&amp;CHAR(10),""),IF(L160&gt;L159," * CCC Sexual Violence Initiated Pep "&amp;$L$20&amp;" "&amp;$L$21&amp;" is more than CCC Sexual Violence Rape Survivors"&amp;CHAR(10),""),IF(M160&gt;M159," * CCC Sexual Violence Initiated Pep "&amp;$L$20&amp;" "&amp;$M$21&amp;" is more than CCC Sexual Violence Rape Survivors"&amp;CHAR(10),""),IF(N160&gt;N159," * CCC Sexual Violence Initiated Pep "&amp;$N$20&amp;" "&amp;$N$21&amp;" is more than CCC Sexual Violence Rape Survivors"&amp;CHAR(10),""),IF(O160&gt;O159," * CCC Sexual Violence Initiated Pep "&amp;$N$20&amp;" "&amp;$O$21&amp;" is more than CCC Sexual Violence Rape Survivors"&amp;CHAR(10),""),IF(P160&gt;P159," * CCC Sexual Violence Initiated Pep "&amp;$P$20&amp;" "&amp;$P$21&amp;" is more than CCC Sexual Violence Rape Survivors"&amp;CHAR(10),""),IF(Q160&gt;Q159," * CCC Sexual Violence Initiated Pep "&amp;$P$20&amp;" "&amp;$Q$21&amp;" is more than CCC Sexual Violence Rape Survivors"&amp;CHAR(10),""),IF(R160&gt;R159," * CCC Sexual Violence Initiated Pep "&amp;$R$20&amp;" "&amp;$R$21&amp;" is more than CCC Sexual Violence Rape Survivors"&amp;CHAR(10),""),IF(S160&gt;S159," * CCC Sexual Violence Initiated Pep "&amp;$R$20&amp;" "&amp;$S$21&amp;" is more than CCC Sexual Violence Rape Survivors"&amp;CHAR(10),""),IF(T160&gt;T159," * CCC Sexual Violence Initiated Pep "&amp;$T$20&amp;" "&amp;$T$21&amp;" is more than CCC Sexual Violence Rape Survivors"&amp;CHAR(10),""),IF(U160&gt;U159," * CCC Sexual Violence Initiated Pep "&amp;$T$20&amp;" "&amp;$U$21&amp;" is more than CCC Sexual Violence Rape Survivors"&amp;CHAR(10),""),IF(V160&gt;V159," * CCC Sexual Violence Initiated Pep "&amp;$V$20&amp;" "&amp;$V$21&amp;" is more than CCC Sexual Violence Rape Survivors"&amp;CHAR(10),""),IF(W160&gt;W159," * CCC Sexual Violence Initiated Pep "&amp;$V$20&amp;" "&amp;$W$21&amp;" is more than CCC Sexual Violence Rape Survivors"&amp;CHAR(10),""),IF(X160&gt;X159," * CCC Sexual Violence Initiated Pep "&amp;$X$20&amp;" "&amp;$X$21&amp;" is more than CCC Sexual Violence Rape Survivors"&amp;CHAR(10),""),IF(Y160&gt;Y159," * CCC Sexual Violence Initiated Pep "&amp;$X$20&amp;" "&amp;$Y$21&amp;" is more than CCC Sexual Violence Rape Survivors"&amp;CHAR(10),""),IF(Z160&gt;Z159," * CCC Sexual Violence Initiated Pep "&amp;$Z$20&amp;" "&amp;$Z$21&amp;" is more than CCC Sexual Violence Rape Survivors"&amp;CHAR(10),""),IF(AA160&gt;AA159," * CCC Sexual Violence Initiated Pep "&amp;$Z$20&amp;" "&amp;$AA$21&amp;" is more than CCC Sexual Violence Rape Survivors"&amp;CHAR(10),""))</f>
        <v/>
      </c>
      <c r="AD159" s="762"/>
      <c r="AE159" s="252"/>
      <c r="AF159" s="632"/>
      <c r="AG159" s="439">
        <v>158</v>
      </c>
      <c r="AH159" s="333"/>
    </row>
    <row r="160" spans="1:34" s="225" customFormat="1" hidden="1" x14ac:dyDescent="0.85">
      <c r="A160" s="676"/>
      <c r="B160" s="359" t="s">
        <v>898</v>
      </c>
      <c r="C160" s="348" t="s">
        <v>926</v>
      </c>
      <c r="D160" s="352"/>
      <c r="E160" s="352"/>
      <c r="F160" s="352"/>
      <c r="G160" s="352"/>
      <c r="H160" s="352"/>
      <c r="I160" s="352"/>
      <c r="J160" s="352"/>
      <c r="K160" s="352"/>
      <c r="L160" s="352"/>
      <c r="M160" s="352"/>
      <c r="N160" s="352"/>
      <c r="O160" s="352"/>
      <c r="P160" s="352"/>
      <c r="Q160" s="352"/>
      <c r="R160" s="352"/>
      <c r="S160" s="352"/>
      <c r="T160" s="352"/>
      <c r="U160" s="352"/>
      <c r="V160" s="352"/>
      <c r="W160" s="352"/>
      <c r="X160" s="352"/>
      <c r="Y160" s="352"/>
      <c r="Z160" s="352"/>
      <c r="AA160" s="352"/>
      <c r="AB160" s="363">
        <f t="shared" si="24"/>
        <v>0</v>
      </c>
      <c r="AC160" s="259"/>
      <c r="AD160" s="762"/>
      <c r="AE160" s="252"/>
      <c r="AF160" s="632"/>
      <c r="AG160" s="439">
        <v>159</v>
      </c>
      <c r="AH160" s="333"/>
    </row>
    <row r="161" spans="1:34" s="225" customFormat="1" hidden="1" x14ac:dyDescent="0.85">
      <c r="A161" s="676"/>
      <c r="B161" s="359" t="s">
        <v>899</v>
      </c>
      <c r="C161" s="348" t="s">
        <v>927</v>
      </c>
      <c r="D161" s="369"/>
      <c r="E161" s="369"/>
      <c r="F161" s="369"/>
      <c r="G161" s="369"/>
      <c r="H161" s="369"/>
      <c r="I161" s="369"/>
      <c r="J161" s="369"/>
      <c r="K161" s="369"/>
      <c r="L161" s="369"/>
      <c r="M161" s="369"/>
      <c r="N161" s="369"/>
      <c r="O161" s="369"/>
      <c r="P161" s="369"/>
      <c r="Q161" s="369"/>
      <c r="R161" s="369"/>
      <c r="S161" s="369"/>
      <c r="T161" s="369"/>
      <c r="U161" s="369"/>
      <c r="V161" s="369"/>
      <c r="W161" s="369"/>
      <c r="X161" s="369"/>
      <c r="Y161" s="369"/>
      <c r="Z161" s="369"/>
      <c r="AA161" s="369"/>
      <c r="AB161" s="363">
        <f t="shared" si="24"/>
        <v>0</v>
      </c>
      <c r="AC161" s="251" t="str">
        <f>CONCATENATE(IF(D162&gt;D161," * CCC  Physical Violence Initiated Pep "&amp;$D$20&amp;" "&amp;$D$21&amp;" is more than CCC Physical Violence Rape Survivors"&amp;CHAR(10),""),IF(E162&gt;E161," * CCC  Physical Violence Initiated Pep "&amp;$D$20&amp;" "&amp;$E$21&amp;" is more than CCC Physical Violence Rape Survivors"&amp;CHAR(10),""),IF(F162&gt;F161," * CCC  Physical Violence Initiated Pep "&amp;$F$20&amp;" "&amp;$F$21&amp;" is more than CCC Physical Violence Rape Survivors"&amp;CHAR(10),""),IF(G162&gt;G161," * CCC  Physical Violence Initiated Pep "&amp;$F$20&amp;" "&amp;$G$21&amp;" is more than CCC Physical Violence Rape Survivors"&amp;CHAR(10),""),IF(H162&gt;H161," * CCC  Physical Violence Initiated Pep "&amp;$H$20&amp;" "&amp;$H$21&amp;" is more than CCC Physical Violence Rape Survivors"&amp;CHAR(10),""),IF(I162&gt;I161," * CCC  Physical Violence Initiated Pep "&amp;$H$20&amp;" "&amp;$I$21&amp;" is more than CCC Physical Violence Rape Survivors"&amp;CHAR(10),""),IF(J162&gt;J161," * CCC  Physical Violence Initiated Pep "&amp;$J$20&amp;" "&amp;$J$21&amp;" is more than CCC Physical Violence Rape Survivors"&amp;CHAR(10),""),IF(K162&gt;K161," * CCC  Physical Violence Initiated Pep "&amp;$J$20&amp;" "&amp;$K$21&amp;" is more than CCC Physical Violence Rape Survivors"&amp;CHAR(10),""),IF(L162&gt;L161," * CCC  Physical Violence Initiated Pep "&amp;$L$20&amp;" "&amp;$L$21&amp;" is more than CCC Physical Violence Rape Survivors"&amp;CHAR(10),""),IF(M162&gt;M161," * CCC  Physical Violence Initiated Pep "&amp;$L$20&amp;" "&amp;$M$21&amp;" is more than CCC Physical Violence Rape Survivors"&amp;CHAR(10),""),IF(N162&gt;N161," * CCC  Physical Violence Initiated Pep "&amp;$N$20&amp;" "&amp;$N$21&amp;" is more than CCC Physical Violence Rape Survivors"&amp;CHAR(10),""),IF(O162&gt;O161," * CCC  Physical Violence Initiated Pep "&amp;$N$20&amp;" "&amp;$O$21&amp;" is more than CCC Physical Violence Rape Survivors"&amp;CHAR(10),""),IF(P162&gt;P161," * CCC  Physical Violence Initiated Pep "&amp;$P$20&amp;" "&amp;$P$21&amp;" is more than CCC Physical Violence Rape Survivors"&amp;CHAR(10),""),IF(Q162&gt;Q161," * CCC  Physical Violence Initiated Pep "&amp;$P$20&amp;" "&amp;$Q$21&amp;" is more than CCC Physical Violence Rape Survivors"&amp;CHAR(10),""),IF(R162&gt;R161," * CCC  Physical Violence Initiated Pep "&amp;$R$20&amp;" "&amp;$R$21&amp;" is more than CCC Physical Violence Rape Survivors"&amp;CHAR(10),""),IF(S162&gt;S161," * CCC  Physical Violence Initiated Pep "&amp;$R$20&amp;" "&amp;$S$21&amp;" is more than CCC Physical Violence Rape Survivors"&amp;CHAR(10),""),IF(T162&gt;T161," * CCC  Physical Violence Initiated Pep "&amp;$T$20&amp;" "&amp;$T$21&amp;" is more than CCC Physical Violence Rape Survivors"&amp;CHAR(10),""),IF(U162&gt;U161," * CCC  Physical Violence Initiated Pep "&amp;$T$20&amp;" "&amp;$U$21&amp;" is more than CCC Physical Violence Rape Survivors"&amp;CHAR(10),""),IF(V162&gt;V161," * CCC  Physical Violence Initiated Pep "&amp;$V$20&amp;" "&amp;$V$21&amp;" is more than CCC Physical Violence Rape Survivors"&amp;CHAR(10),""),IF(W162&gt;W161," * CCC  Physical Violence Initiated Pep "&amp;$V$20&amp;" "&amp;$W$21&amp;" is more than CCC Physical Violence Rape Survivors"&amp;CHAR(10),""),IF(X162&gt;X161," * CCC  Physical Violence Initiated Pep "&amp;$X$20&amp;" "&amp;$X$21&amp;" is more than CCC Physical Violence Rape Survivors"&amp;CHAR(10),""),IF(Y162&gt;Y161," * CCC  Physical Violence Initiated Pep "&amp;$X$20&amp;" "&amp;$Y$21&amp;" is more than CCC Physical Violence Rape Survivors"&amp;CHAR(10),""),IF(Z162&gt;Z161," * CCC  Physical Violence Initiated Pep "&amp;$Z$20&amp;" "&amp;$Z$21&amp;" is more than CCC Physical Violence Rape Survivors"&amp;CHAR(10),""),IF(AA162&gt;AA161," * CCC  Physical Violence Initiated Pep "&amp;$Z$20&amp;" "&amp;$AA$21&amp;" is more than CCC Physical Violence Rape Survivors"&amp;CHAR(10),""))</f>
        <v/>
      </c>
      <c r="AD161" s="762"/>
      <c r="AE161" s="252"/>
      <c r="AF161" s="632"/>
      <c r="AG161" s="439">
        <v>160</v>
      </c>
      <c r="AH161" s="333"/>
    </row>
    <row r="162" spans="1:34" s="225" customFormat="1" hidden="1" x14ac:dyDescent="0.85">
      <c r="A162" s="676"/>
      <c r="B162" s="359" t="s">
        <v>900</v>
      </c>
      <c r="C162" s="348" t="s">
        <v>928</v>
      </c>
      <c r="D162" s="352"/>
      <c r="E162" s="352"/>
      <c r="F162" s="352"/>
      <c r="G162" s="352"/>
      <c r="H162" s="352"/>
      <c r="I162" s="352"/>
      <c r="J162" s="352"/>
      <c r="K162" s="352"/>
      <c r="L162" s="352"/>
      <c r="M162" s="352"/>
      <c r="N162" s="352"/>
      <c r="O162" s="352"/>
      <c r="P162" s="352"/>
      <c r="Q162" s="352"/>
      <c r="R162" s="352"/>
      <c r="S162" s="352"/>
      <c r="T162" s="352"/>
      <c r="U162" s="352"/>
      <c r="V162" s="352"/>
      <c r="W162" s="352"/>
      <c r="X162" s="352"/>
      <c r="Y162" s="352"/>
      <c r="Z162" s="352"/>
      <c r="AA162" s="352"/>
      <c r="AB162" s="363">
        <f t="shared" si="24"/>
        <v>0</v>
      </c>
      <c r="AC162" s="259"/>
      <c r="AD162" s="762"/>
      <c r="AE162" s="252"/>
      <c r="AF162" s="632"/>
      <c r="AG162" s="439">
        <v>161</v>
      </c>
      <c r="AH162" s="333"/>
    </row>
    <row r="163" spans="1:34" s="225" customFormat="1" hidden="1" x14ac:dyDescent="0.85">
      <c r="A163" s="676"/>
      <c r="B163" s="359" t="s">
        <v>901</v>
      </c>
      <c r="C163" s="348" t="s">
        <v>929</v>
      </c>
      <c r="D163" s="353"/>
      <c r="E163" s="352"/>
      <c r="F163" s="352"/>
      <c r="G163" s="352"/>
      <c r="H163" s="352"/>
      <c r="I163" s="352"/>
      <c r="J163" s="352"/>
      <c r="K163" s="352"/>
      <c r="L163" s="352"/>
      <c r="M163" s="352"/>
      <c r="N163" s="352"/>
      <c r="O163" s="352"/>
      <c r="P163" s="352"/>
      <c r="Q163" s="352"/>
      <c r="R163" s="352"/>
      <c r="S163" s="352"/>
      <c r="T163" s="352"/>
      <c r="U163" s="352"/>
      <c r="V163" s="352"/>
      <c r="W163" s="352"/>
      <c r="X163" s="352"/>
      <c r="Y163" s="352"/>
      <c r="Z163" s="352"/>
      <c r="AA163" s="361"/>
      <c r="AB163" s="363">
        <f t="shared" si="24"/>
        <v>0</v>
      </c>
      <c r="AC163" s="259"/>
      <c r="AD163" s="762"/>
      <c r="AE163" s="252"/>
      <c r="AF163" s="632"/>
      <c r="AG163" s="439">
        <v>162</v>
      </c>
      <c r="AH163" s="333"/>
    </row>
    <row r="164" spans="1:34" s="225" customFormat="1" ht="31.3" hidden="1" thickBot="1" x14ac:dyDescent="0.9">
      <c r="A164" s="677"/>
      <c r="B164" s="360" t="s">
        <v>936</v>
      </c>
      <c r="C164" s="356" t="s">
        <v>930</v>
      </c>
      <c r="D164" s="354"/>
      <c r="E164" s="355"/>
      <c r="F164" s="355"/>
      <c r="G164" s="355"/>
      <c r="H164" s="355"/>
      <c r="I164" s="355"/>
      <c r="J164" s="355"/>
      <c r="K164" s="355"/>
      <c r="L164" s="355"/>
      <c r="M164" s="355"/>
      <c r="N164" s="355"/>
      <c r="O164" s="355"/>
      <c r="P164" s="355"/>
      <c r="Q164" s="355"/>
      <c r="R164" s="355"/>
      <c r="S164" s="355"/>
      <c r="T164" s="355"/>
      <c r="U164" s="355"/>
      <c r="V164" s="355"/>
      <c r="W164" s="355"/>
      <c r="X164" s="355"/>
      <c r="Y164" s="355"/>
      <c r="Z164" s="355"/>
      <c r="AA164" s="362"/>
      <c r="AB164" s="363">
        <f t="shared" si="24"/>
        <v>0</v>
      </c>
      <c r="AC164" s="259"/>
      <c r="AD164" s="763"/>
      <c r="AE164" s="260"/>
      <c r="AF164" s="632"/>
      <c r="AG164" s="439">
        <v>163</v>
      </c>
      <c r="AH164" s="333"/>
    </row>
    <row r="165" spans="1:34" s="225" customFormat="1" hidden="1" x14ac:dyDescent="0.85">
      <c r="A165" s="675" t="s">
        <v>904</v>
      </c>
      <c r="B165" s="358" t="s">
        <v>950</v>
      </c>
      <c r="C165" s="339" t="s">
        <v>931</v>
      </c>
      <c r="D165" s="371">
        <f>D15</f>
        <v>0</v>
      </c>
      <c r="E165" s="371">
        <f t="shared" ref="E165:AA165" si="71">E15</f>
        <v>0</v>
      </c>
      <c r="F165" s="371">
        <f t="shared" si="71"/>
        <v>0</v>
      </c>
      <c r="G165" s="371">
        <f t="shared" si="71"/>
        <v>0</v>
      </c>
      <c r="H165" s="371">
        <f t="shared" si="71"/>
        <v>0</v>
      </c>
      <c r="I165" s="371">
        <f t="shared" si="71"/>
        <v>0</v>
      </c>
      <c r="J165" s="371">
        <f t="shared" si="71"/>
        <v>0</v>
      </c>
      <c r="K165" s="371">
        <f t="shared" si="71"/>
        <v>0</v>
      </c>
      <c r="L165" s="371">
        <f t="shared" si="71"/>
        <v>0</v>
      </c>
      <c r="M165" s="371">
        <f t="shared" si="71"/>
        <v>0</v>
      </c>
      <c r="N165" s="371">
        <f t="shared" si="71"/>
        <v>0</v>
      </c>
      <c r="O165" s="371">
        <f t="shared" si="71"/>
        <v>0</v>
      </c>
      <c r="P165" s="371">
        <f t="shared" si="71"/>
        <v>0</v>
      </c>
      <c r="Q165" s="371">
        <f t="shared" si="71"/>
        <v>0</v>
      </c>
      <c r="R165" s="371">
        <f t="shared" si="71"/>
        <v>0</v>
      </c>
      <c r="S165" s="371">
        <f t="shared" si="71"/>
        <v>0</v>
      </c>
      <c r="T165" s="371">
        <f t="shared" si="71"/>
        <v>0</v>
      </c>
      <c r="U165" s="371">
        <f t="shared" si="71"/>
        <v>0</v>
      </c>
      <c r="V165" s="371">
        <f t="shared" si="71"/>
        <v>0</v>
      </c>
      <c r="W165" s="371">
        <f t="shared" si="71"/>
        <v>0</v>
      </c>
      <c r="X165" s="371">
        <f t="shared" si="71"/>
        <v>0</v>
      </c>
      <c r="Y165" s="371">
        <f t="shared" si="71"/>
        <v>0</v>
      </c>
      <c r="Z165" s="371">
        <f t="shared" si="71"/>
        <v>0</v>
      </c>
      <c r="AA165" s="371">
        <f t="shared" si="71"/>
        <v>0</v>
      </c>
      <c r="AB165" s="363">
        <f t="shared" si="24"/>
        <v>0</v>
      </c>
      <c r="AC165" s="251" t="str">
        <f>CONCATENATE(IF(D166&gt;D165," * No Screened for GBV "&amp;$D$20&amp;" "&amp;$D$21&amp;" is more than Clients Seen at MCH"&amp;CHAR(10),""),IF(E166&gt;E165," * No Screened For GBV "&amp;$D$20&amp;" "&amp;$E$21&amp;" is more than Clients Seen at MCH"&amp;CHAR(10),""),IF(F166&gt;F165," * No Screened For GBV "&amp;$F$20&amp;" "&amp;$F$21&amp;" is more than Clients Seen at MCH"&amp;CHAR(10),""),IF(G166&gt;G165," * No Screened For GBV "&amp;$F$20&amp;" "&amp;$G$21&amp;" is more than Clients Seen at MCH"&amp;CHAR(10),""),IF(H166&gt;H165," * No Screened For GBV "&amp;$H$20&amp;" "&amp;$H$21&amp;" is more than Clients Seen at MCH"&amp;CHAR(10),""),IF(I166&gt;I165," * No Screened For GBV "&amp;$H$20&amp;" "&amp;$I$21&amp;" is more than Clients Seen at MCH"&amp;CHAR(10),""),IF(J166&gt;J165," * No Screened For GBV "&amp;$J$20&amp;" "&amp;$J$21&amp;" is more than Clients Seen at MCH"&amp;CHAR(10),""),IF(K166&gt;K165," * No Screened For GBV "&amp;$J$20&amp;" "&amp;$K$21&amp;" is more than Clients Seen at MCH"&amp;CHAR(10),""),IF(L166&gt;L165," * No Screened For GBV "&amp;$L$20&amp;" "&amp;$L$21&amp;" is more than Clients Seen at MCH"&amp;CHAR(10),""),IF(M166&gt;M165," * No Screened For GBV "&amp;$L$20&amp;" "&amp;$M$21&amp;" is more than Clients Seen at MCH"&amp;CHAR(10),""),IF(N166&gt;N165," * No Screened For GBV "&amp;$N$20&amp;" "&amp;$N$21&amp;" is more than Clients Seen at MCH"&amp;CHAR(10),""),IF(O166&gt;O165," * No Screened For GBV "&amp;$N$20&amp;" "&amp;$O$21&amp;" is more than Clients Seen at MCH"&amp;CHAR(10),""),IF(P166&gt;P165," * No Screened For GBV "&amp;$P$20&amp;" "&amp;$P$21&amp;" is more than Clients Seen at MCH"&amp;CHAR(10),""),IF(Q166&gt;Q165," * No Screened For GBV "&amp;$P$20&amp;" "&amp;$Q$21&amp;" is more than Clients Seen at MCH"&amp;CHAR(10),""),IF(R166&gt;R165," * No Screened For GBV "&amp;$R$20&amp;" "&amp;$R$21&amp;" is more than Clients Seen at MCH"&amp;CHAR(10),""),IF(S166&gt;S165," * No Screened For GBV "&amp;$R$20&amp;" "&amp;$S$21&amp;" is more than Clients Seen at MCH"&amp;CHAR(10),""),IF(T166&gt;T165," * No Screened For GBV "&amp;$T$20&amp;" "&amp;$T$21&amp;" is more than Clients Seen at MCH"&amp;CHAR(10),""),IF(U166&gt;U165," * No Screened For GBV "&amp;$T$20&amp;" "&amp;$U$21&amp;" is more than Clients Seen at MCH"&amp;CHAR(10),""),IF(V166&gt;V165," * No Screened For GBV "&amp;$V$20&amp;" "&amp;$V$21&amp;" is more than Clients Seen at MCH"&amp;CHAR(10),""),IF(W166&gt;W165," * No Screened For GBV "&amp;$V$20&amp;" "&amp;$W$21&amp;" is more than Clients Seen at MCH"&amp;CHAR(10),""),IF(X166&gt;X165," * No Screened For GBV "&amp;$X$20&amp;" "&amp;$X$21&amp;" is more than Clients Seen at MCH"&amp;CHAR(10),""),IF(Y166&gt;Y165," * No Screened For GBV "&amp;$X$20&amp;" "&amp;$Y$21&amp;" is more than Clients Seen at MCH"&amp;CHAR(10),""),IF(Z166&gt;Z165," * No Screened For GBV "&amp;$Z$20&amp;" "&amp;$Z$21&amp;" is more than Clients Seen at MCH"&amp;CHAR(10),""),IF(AA166&gt;AA165," * No Screened For GBV "&amp;$Z$20&amp;" "&amp;$AA$21&amp;" is more than Clients Seen at MCH"&amp;CHAR(10),""))</f>
        <v/>
      </c>
      <c r="AD165" s="761" t="str">
        <f>CONCATENATE(AC165,AC166,AC167,AC168,AC169,AC170,AC171,AC172,AC173)</f>
        <v/>
      </c>
      <c r="AE165" s="260"/>
      <c r="AF165" s="632"/>
      <c r="AG165" s="439">
        <v>164</v>
      </c>
      <c r="AH165" s="333"/>
    </row>
    <row r="166" spans="1:34" s="225" customFormat="1" hidden="1" x14ac:dyDescent="0.85">
      <c r="A166" s="676"/>
      <c r="B166" s="359" t="s">
        <v>944</v>
      </c>
      <c r="C166" s="348" t="s">
        <v>932</v>
      </c>
      <c r="D166" s="350"/>
      <c r="E166" s="350"/>
      <c r="F166" s="350"/>
      <c r="G166" s="350"/>
      <c r="H166" s="350"/>
      <c r="I166" s="350"/>
      <c r="J166" s="350"/>
      <c r="K166" s="350"/>
      <c r="L166" s="350"/>
      <c r="M166" s="350"/>
      <c r="N166" s="350"/>
      <c r="O166" s="350"/>
      <c r="P166" s="350"/>
      <c r="Q166" s="350"/>
      <c r="R166" s="350"/>
      <c r="S166" s="350"/>
      <c r="T166" s="350"/>
      <c r="U166" s="350"/>
      <c r="V166" s="350"/>
      <c r="W166" s="350"/>
      <c r="X166" s="350"/>
      <c r="Y166" s="350"/>
      <c r="Z166" s="350"/>
      <c r="AA166" s="350"/>
      <c r="AB166" s="363">
        <f t="shared" si="24"/>
        <v>0</v>
      </c>
      <c r="AC166" s="259"/>
      <c r="AD166" s="762"/>
      <c r="AE166" s="252"/>
      <c r="AF166" s="632"/>
      <c r="AG166" s="439">
        <v>165</v>
      </c>
      <c r="AH166" s="333"/>
    </row>
    <row r="167" spans="1:34" s="225" customFormat="1" ht="31.75" hidden="1" x14ac:dyDescent="0.85">
      <c r="A167" s="676"/>
      <c r="B167" s="364" t="s">
        <v>953</v>
      </c>
      <c r="C167" s="348" t="s">
        <v>933</v>
      </c>
      <c r="D167" s="370">
        <f>D168+D170+D172+D173</f>
        <v>0</v>
      </c>
      <c r="E167" s="370">
        <f t="shared" ref="E167" si="72">E168+E170+E172+E173</f>
        <v>0</v>
      </c>
      <c r="F167" s="370">
        <f t="shared" ref="F167" si="73">F168+F170+F172+F173</f>
        <v>0</v>
      </c>
      <c r="G167" s="370">
        <f t="shared" ref="G167" si="74">G168+G170+G172+G173</f>
        <v>0</v>
      </c>
      <c r="H167" s="370">
        <f t="shared" ref="H167" si="75">H168+H170+H172+H173</f>
        <v>0</v>
      </c>
      <c r="I167" s="370">
        <f t="shared" ref="I167" si="76">I168+I170+I172+I173</f>
        <v>0</v>
      </c>
      <c r="J167" s="370">
        <f t="shared" ref="J167" si="77">J168+J170+J172+J173</f>
        <v>0</v>
      </c>
      <c r="K167" s="370">
        <f t="shared" ref="K167" si="78">K168+K170+K172+K173</f>
        <v>0</v>
      </c>
      <c r="L167" s="370">
        <f t="shared" ref="L167" si="79">L168+L170+L172+L173</f>
        <v>0</v>
      </c>
      <c r="M167" s="370">
        <f t="shared" ref="M167" si="80">M168+M170+M172+M173</f>
        <v>0</v>
      </c>
      <c r="N167" s="370">
        <f t="shared" ref="N167" si="81">N168+N170+N172+N173</f>
        <v>0</v>
      </c>
      <c r="O167" s="370">
        <f t="shared" ref="O167" si="82">O168+O170+O172+O173</f>
        <v>0</v>
      </c>
      <c r="P167" s="370">
        <f t="shared" ref="P167" si="83">P168+P170+P172+P173</f>
        <v>0</v>
      </c>
      <c r="Q167" s="370">
        <f t="shared" ref="Q167" si="84">Q168+Q170+Q172+Q173</f>
        <v>0</v>
      </c>
      <c r="R167" s="370">
        <f t="shared" ref="R167" si="85">R168+R170+R172+R173</f>
        <v>0</v>
      </c>
      <c r="S167" s="370">
        <f t="shared" ref="S167" si="86">S168+S170+S172+S173</f>
        <v>0</v>
      </c>
      <c r="T167" s="370">
        <f t="shared" ref="T167" si="87">T168+T170+T172+T173</f>
        <v>0</v>
      </c>
      <c r="U167" s="370">
        <f t="shared" ref="U167" si="88">U168+U170+U172+U173</f>
        <v>0</v>
      </c>
      <c r="V167" s="370">
        <f t="shared" ref="V167" si="89">V168+V170+V172+V173</f>
        <v>0</v>
      </c>
      <c r="W167" s="370">
        <f t="shared" ref="W167" si="90">W168+W170+W172+W173</f>
        <v>0</v>
      </c>
      <c r="X167" s="370">
        <f t="shared" ref="X167" si="91">X168+X170+X172+X173</f>
        <v>0</v>
      </c>
      <c r="Y167" s="370">
        <f t="shared" ref="Y167" si="92">Y168+Y170+Y172+Y173</f>
        <v>0</v>
      </c>
      <c r="Z167" s="370">
        <f t="shared" ref="Z167" si="93">Z168+Z170+Z172+Z173</f>
        <v>0</v>
      </c>
      <c r="AA167" s="370">
        <f t="shared" ref="AA167" si="94">AA168+AA170+AA172+AA173</f>
        <v>0</v>
      </c>
      <c r="AB167" s="363">
        <f t="shared" si="24"/>
        <v>0</v>
      </c>
      <c r="AC167" s="259"/>
      <c r="AD167" s="762"/>
      <c r="AE167" s="252"/>
      <c r="AF167" s="632"/>
      <c r="AG167" s="439">
        <v>166</v>
      </c>
      <c r="AH167" s="333"/>
    </row>
    <row r="168" spans="1:34" s="225" customFormat="1" hidden="1" x14ac:dyDescent="0.85">
      <c r="A168" s="676"/>
      <c r="B168" s="359" t="s">
        <v>897</v>
      </c>
      <c r="C168" s="348" t="s">
        <v>934</v>
      </c>
      <c r="D168" s="369"/>
      <c r="E168" s="369"/>
      <c r="F168" s="369"/>
      <c r="G168" s="369"/>
      <c r="H168" s="369"/>
      <c r="I168" s="369"/>
      <c r="J168" s="369"/>
      <c r="K168" s="369"/>
      <c r="L168" s="369"/>
      <c r="M168" s="369"/>
      <c r="N168" s="369"/>
      <c r="O168" s="369"/>
      <c r="P168" s="369"/>
      <c r="Q168" s="369"/>
      <c r="R168" s="369"/>
      <c r="S168" s="369"/>
      <c r="T168" s="369"/>
      <c r="U168" s="369"/>
      <c r="V168" s="369"/>
      <c r="W168" s="369"/>
      <c r="X168" s="369"/>
      <c r="Y168" s="369"/>
      <c r="Z168" s="369"/>
      <c r="AA168" s="369"/>
      <c r="AB168" s="363">
        <f t="shared" si="24"/>
        <v>0</v>
      </c>
      <c r="AC168" s="251" t="str">
        <f>CONCATENATE(IF(D169&gt;D168," * OPD Sexual Violence Initiated Pep "&amp;$D$20&amp;" "&amp;$D$21&amp;" is more than OPD Sexual Violence Rape Survivors"&amp;CHAR(10),""),IF(E169&gt;E168," * OPD Sexual Violence Initiated Pep "&amp;$D$20&amp;" "&amp;$E$21&amp;" is more than OPD Sexual Violence Rape Survivors"&amp;CHAR(10),""),IF(F169&gt;F168," * OPD Sexual Violence Initiated Pep "&amp;$F$20&amp;" "&amp;$F$21&amp;" is more than OPD Sexual Violence Rape Survivors"&amp;CHAR(10),""),IF(G169&gt;G168," * OPD Sexual Violence Initiated Pep "&amp;$F$20&amp;" "&amp;$G$21&amp;" is more than OPD Sexual Violence Rape Survivors"&amp;CHAR(10),""),IF(H169&gt;H168," * OPD Sexual Violence Initiated Pep "&amp;$H$20&amp;" "&amp;$H$21&amp;" is more than OPD Sexual Violence Rape Survivors"&amp;CHAR(10),""),IF(I169&gt;I168," * OPD Sexual Violence Initiated Pep "&amp;$H$20&amp;" "&amp;$I$21&amp;" is more than OPD Sexual Violence Rape Survivors"&amp;CHAR(10),""),IF(J169&gt;J168," * OPD Sexual Violence Initiated Pep "&amp;$J$20&amp;" "&amp;$J$21&amp;" is more than OPD Sexual Violence Rape Survivors"&amp;CHAR(10),""),IF(K169&gt;K168," * OPD Sexual Violence Initiated Pep "&amp;$J$20&amp;" "&amp;$K$21&amp;" is more than OPD Sexual Violence Rape Survivors"&amp;CHAR(10),""),IF(L169&gt;L168," * OPD Sexual Violence Initiated Pep "&amp;$L$20&amp;" "&amp;$L$21&amp;" is more than OPD Sexual Violence Rape Survivors"&amp;CHAR(10),""),IF(M169&gt;M168," * OPD Sexual Violence Initiated Pep "&amp;$L$20&amp;" "&amp;$M$21&amp;" is more than OPD Sexual Violence Rape Survivors"&amp;CHAR(10),""),IF(N169&gt;N168," * OPD Sexual Violence Initiated Pep "&amp;$N$20&amp;" "&amp;$N$21&amp;" is more than OPD Sexual Violence Rape Survivors"&amp;CHAR(10),""),IF(O169&gt;O168," * OPD Sexual Violence Initiated Pep "&amp;$N$20&amp;" "&amp;$O$21&amp;" is more than OPD Sexual Violence Rape Survivors"&amp;CHAR(10),""),IF(P169&gt;P168," * OPD Sexual Violence Initiated Pep "&amp;$P$20&amp;" "&amp;$P$21&amp;" is more than OPD Sexual Violence Rape Survivors"&amp;CHAR(10),""),IF(Q169&gt;Q168," * OPD Sexual Violence Initiated Pep "&amp;$P$20&amp;" "&amp;$Q$21&amp;" is more than OPD Sexual Violence Rape Survivors"&amp;CHAR(10),""),IF(R169&gt;R168," * OPD Sexual Violence Initiated Pep "&amp;$R$20&amp;" "&amp;$R$21&amp;" is more than OPD Sexual Violence Rape Survivors"&amp;CHAR(10),""),IF(S169&gt;S168," * OPD Sexual Violence Initiated Pep "&amp;$R$20&amp;" "&amp;$S$21&amp;" is more than OPD Sexual Violence Rape Survivors"&amp;CHAR(10),""),IF(T169&gt;T168," * OPD Sexual Violence Initiated Pep "&amp;$T$20&amp;" "&amp;$T$21&amp;" is more than OPD Sexual Violence Rape Survivors"&amp;CHAR(10),""),IF(U169&gt;U168," * OPD Sexual Violence Initiated Pep "&amp;$T$20&amp;" "&amp;$U$21&amp;" is more than OPD Sexual Violence Rape Survivors"&amp;CHAR(10),""),IF(V169&gt;V168," * OPD Sexual Violence Initiated Pep "&amp;$V$20&amp;" "&amp;$V$21&amp;" is more than OPD Sexual Violence Rape Survivors"&amp;CHAR(10),""),IF(W169&gt;W168," * OPD Sexual Violence Initiated Pep "&amp;$V$20&amp;" "&amp;$W$21&amp;" is more than OPD Sexual Violence Rape Survivors"&amp;CHAR(10),""),IF(X169&gt;X168," * OPD Sexual Violence Initiated Pep "&amp;$X$20&amp;" "&amp;$X$21&amp;" is more than OPD Sexual Violence Rape Survivors"&amp;CHAR(10),""),IF(Y169&gt;Y168," * OPD Sexual Violence Initiated Pep "&amp;$X$20&amp;" "&amp;$Y$21&amp;" is more than OPD Sexual Violence Rape Survivors"&amp;CHAR(10),""),IF(Z169&gt;Z168," * OPD Sexual Violence Initiated Pep "&amp;$Z$20&amp;" "&amp;$Z$21&amp;" is more than OPD Sexual Violence Rape Survivors"&amp;CHAR(10),""),IF(AA169&gt;AA168," * OPD Sexual Violence Initiated Pep "&amp;$Z$20&amp;" "&amp;$AA$21&amp;" is more than OPD Sexual Violence Rape Survivors"&amp;CHAR(10),""))</f>
        <v/>
      </c>
      <c r="AD168" s="762"/>
      <c r="AE168" s="252"/>
      <c r="AF168" s="632"/>
      <c r="AG168" s="439">
        <v>167</v>
      </c>
      <c r="AH168" s="333"/>
    </row>
    <row r="169" spans="1:34" s="225" customFormat="1" hidden="1" x14ac:dyDescent="0.85">
      <c r="A169" s="676"/>
      <c r="B169" s="359" t="s">
        <v>898</v>
      </c>
      <c r="C169" s="348" t="s">
        <v>935</v>
      </c>
      <c r="D169" s="352"/>
      <c r="E169" s="352"/>
      <c r="F169" s="352"/>
      <c r="G169" s="352"/>
      <c r="H169" s="352"/>
      <c r="I169" s="352"/>
      <c r="J169" s="352"/>
      <c r="K169" s="352"/>
      <c r="L169" s="352"/>
      <c r="M169" s="352"/>
      <c r="N169" s="352"/>
      <c r="O169" s="352"/>
      <c r="P169" s="352"/>
      <c r="Q169" s="352"/>
      <c r="R169" s="352"/>
      <c r="S169" s="352"/>
      <c r="T169" s="352"/>
      <c r="U169" s="352"/>
      <c r="V169" s="352"/>
      <c r="W169" s="352"/>
      <c r="X169" s="352"/>
      <c r="Y169" s="352"/>
      <c r="Z169" s="352"/>
      <c r="AA169" s="352"/>
      <c r="AB169" s="363">
        <f t="shared" si="24"/>
        <v>0</v>
      </c>
      <c r="AC169" s="259"/>
      <c r="AD169" s="762"/>
      <c r="AE169" s="252"/>
      <c r="AF169" s="632"/>
      <c r="AG169" s="439">
        <v>168</v>
      </c>
      <c r="AH169" s="333"/>
    </row>
    <row r="170" spans="1:34" s="225" customFormat="1" hidden="1" x14ac:dyDescent="0.85">
      <c r="A170" s="676"/>
      <c r="B170" s="359" t="s">
        <v>899</v>
      </c>
      <c r="C170" s="348" t="s">
        <v>937</v>
      </c>
      <c r="D170" s="369"/>
      <c r="E170" s="369"/>
      <c r="F170" s="369"/>
      <c r="G170" s="369"/>
      <c r="H170" s="369"/>
      <c r="I170" s="369"/>
      <c r="J170" s="369"/>
      <c r="K170" s="369"/>
      <c r="L170" s="369"/>
      <c r="M170" s="369"/>
      <c r="N170" s="369"/>
      <c r="O170" s="369"/>
      <c r="P170" s="369"/>
      <c r="Q170" s="369"/>
      <c r="R170" s="369"/>
      <c r="S170" s="369"/>
      <c r="T170" s="369"/>
      <c r="U170" s="369"/>
      <c r="V170" s="369"/>
      <c r="W170" s="369"/>
      <c r="X170" s="369"/>
      <c r="Y170" s="369"/>
      <c r="Z170" s="369"/>
      <c r="AA170" s="369"/>
      <c r="AB170" s="363">
        <f t="shared" si="24"/>
        <v>0</v>
      </c>
      <c r="AC170" s="251" t="str">
        <f>CONCATENATE(IF(D171&gt;D170," * MCH  Physical Violence Initiated Pep "&amp;$D$20&amp;" "&amp;$D$21&amp;" is more than MCH Physical Violence Rape Survivors"&amp;CHAR(10),""),IF(E171&gt;E170," * MCH  Physical Violence Initiated Pep "&amp;$D$20&amp;" "&amp;$E$21&amp;" is more than MCH Physical Violence Rape Survivors"&amp;CHAR(10),""),IF(F171&gt;F170," * MCH  Physical Violence Initiated Pep "&amp;$F$20&amp;" "&amp;$F$21&amp;" is more than MCH Physical Violence Rape Survivors"&amp;CHAR(10),""),IF(G171&gt;G170," * MCH  Physical Violence Initiated Pep "&amp;$F$20&amp;" "&amp;$G$21&amp;" is more than MCH Physical Violence Rape Survivors"&amp;CHAR(10),""),IF(H171&gt;H170," * MCH  Physical Violence Initiated Pep "&amp;$H$20&amp;" "&amp;$H$21&amp;" is more than MCH Physical Violence Rape Survivors"&amp;CHAR(10),""),IF(I171&gt;I170," * MCH  Physical Violence Initiated Pep "&amp;$H$20&amp;" "&amp;$I$21&amp;" is more than MCH Physical Violence Rape Survivors"&amp;CHAR(10),""),IF(J171&gt;J170," * MCH  Physical Violence Initiated Pep "&amp;$J$20&amp;" "&amp;$J$21&amp;" is more than MCH Physical Violence Rape Survivors"&amp;CHAR(10),""),IF(K171&gt;K170," * MCH  Physical Violence Initiated Pep "&amp;$J$20&amp;" "&amp;$K$21&amp;" is more than MCH Physical Violence Rape Survivors"&amp;CHAR(10),""),IF(L171&gt;L170," * MCH  Physical Violence Initiated Pep "&amp;$L$20&amp;" "&amp;$L$21&amp;" is more than MCH Physical Violence Rape Survivors"&amp;CHAR(10),""),IF(M171&gt;M170," * MCH  Physical Violence Initiated Pep "&amp;$L$20&amp;" "&amp;$M$21&amp;" is more than MCH Physical Violence Rape Survivors"&amp;CHAR(10),""),IF(N171&gt;N170," * MCH  Physical Violence Initiated Pep "&amp;$N$20&amp;" "&amp;$N$21&amp;" is more than MCH Physical Violence Rape Survivors"&amp;CHAR(10),""),IF(O171&gt;O170," * MCH  Physical Violence Initiated Pep "&amp;$N$20&amp;" "&amp;$O$21&amp;" is more than MCH Physical Violence Rape Survivors"&amp;CHAR(10),""),IF(P171&gt;P170," * MCH  Physical Violence Initiated Pep "&amp;$P$20&amp;" "&amp;$P$21&amp;" is more than MCH Physical Violence Rape Survivors"&amp;CHAR(10),""),IF(Q171&gt;Q170," * MCH  Physical Violence Initiated Pep "&amp;$P$20&amp;" "&amp;$Q$21&amp;" is more than MCH Physical Violence Rape Survivors"&amp;CHAR(10),""),IF(R171&gt;R170," * MCH  Physical Violence Initiated Pep "&amp;$R$20&amp;" "&amp;$R$21&amp;" is more than MCH Physical Violence Rape Survivors"&amp;CHAR(10),""),IF(S171&gt;S170," * MCH  Physical Violence Initiated Pep "&amp;$R$20&amp;" "&amp;$S$21&amp;" is more than MCH Physical Violence Rape Survivors"&amp;CHAR(10),""),IF(T171&gt;T170," * MCH  Physical Violence Initiated Pep "&amp;$T$20&amp;" "&amp;$T$21&amp;" is more than MCH Physical Violence Rape Survivors"&amp;CHAR(10),""),IF(U171&gt;U170," * MCH  Physical Violence Initiated Pep "&amp;$T$20&amp;" "&amp;$U$21&amp;" is more than MCH Physical Violence Rape Survivors"&amp;CHAR(10),""),IF(V171&gt;V170," * MCH  Physical Violence Initiated Pep "&amp;$V$20&amp;" "&amp;$V$21&amp;" is more than MCH Physical Violence Rape Survivors"&amp;CHAR(10),""),IF(W171&gt;W170," * MCH  Physical Violence Initiated Pep "&amp;$V$20&amp;" "&amp;$W$21&amp;" is more than MCH Physical Violence Rape Survivors"&amp;CHAR(10),""),IF(X171&gt;X170," * MCH  Physical Violence Initiated Pep "&amp;$X$20&amp;" "&amp;$X$21&amp;" is more than MCH Physical Violence Rape Survivors"&amp;CHAR(10),""),IF(Y171&gt;Y170," * MCH  Physical Violence Initiated Pep "&amp;$X$20&amp;" "&amp;$Y$21&amp;" is more than MCH Physical Violence Rape Survivors"&amp;CHAR(10),""),IF(Z171&gt;Z170," * MCH  Physical Violence Initiated Pep "&amp;$Z$20&amp;" "&amp;$Z$21&amp;" is more than MCH Physical Violence Rape Survivors"&amp;CHAR(10),""),IF(AA171&gt;AA170," * MCH  Physical Violence Initiated Pep "&amp;$Z$20&amp;" "&amp;$AA$21&amp;" is more than MCH Physical Violence Rape Survivors"&amp;CHAR(10),""))</f>
        <v/>
      </c>
      <c r="AD170" s="762"/>
      <c r="AE170" s="252"/>
      <c r="AF170" s="632"/>
      <c r="AG170" s="439">
        <v>169</v>
      </c>
      <c r="AH170" s="333"/>
    </row>
    <row r="171" spans="1:34" s="225" customFormat="1" hidden="1" x14ac:dyDescent="0.85">
      <c r="A171" s="676"/>
      <c r="B171" s="359" t="s">
        <v>900</v>
      </c>
      <c r="C171" s="348" t="s">
        <v>938</v>
      </c>
      <c r="D171" s="352"/>
      <c r="E171" s="352"/>
      <c r="F171" s="352"/>
      <c r="G171" s="352"/>
      <c r="H171" s="352"/>
      <c r="I171" s="352"/>
      <c r="J171" s="352"/>
      <c r="K171" s="352"/>
      <c r="L171" s="352"/>
      <c r="M171" s="352"/>
      <c r="N171" s="352"/>
      <c r="O171" s="352"/>
      <c r="P171" s="352"/>
      <c r="Q171" s="352"/>
      <c r="R171" s="352"/>
      <c r="S171" s="352"/>
      <c r="T171" s="352"/>
      <c r="U171" s="352"/>
      <c r="V171" s="352"/>
      <c r="W171" s="352"/>
      <c r="X171" s="352"/>
      <c r="Y171" s="352"/>
      <c r="Z171" s="352"/>
      <c r="AA171" s="352"/>
      <c r="AB171" s="363">
        <f t="shared" si="24"/>
        <v>0</v>
      </c>
      <c r="AC171" s="259"/>
      <c r="AD171" s="762"/>
      <c r="AE171" s="252"/>
      <c r="AF171" s="632"/>
      <c r="AG171" s="439">
        <v>170</v>
      </c>
      <c r="AH171" s="333"/>
    </row>
    <row r="172" spans="1:34" s="225" customFormat="1" hidden="1" x14ac:dyDescent="0.85">
      <c r="A172" s="676"/>
      <c r="B172" s="359" t="s">
        <v>901</v>
      </c>
      <c r="C172" s="348" t="s">
        <v>939</v>
      </c>
      <c r="D172" s="353"/>
      <c r="E172" s="352"/>
      <c r="F172" s="352"/>
      <c r="G172" s="352"/>
      <c r="H172" s="352"/>
      <c r="I172" s="352"/>
      <c r="J172" s="352"/>
      <c r="K172" s="352"/>
      <c r="L172" s="352"/>
      <c r="M172" s="352"/>
      <c r="N172" s="352"/>
      <c r="O172" s="352"/>
      <c r="P172" s="352"/>
      <c r="Q172" s="352"/>
      <c r="R172" s="352"/>
      <c r="S172" s="352"/>
      <c r="T172" s="352"/>
      <c r="U172" s="352"/>
      <c r="V172" s="352"/>
      <c r="W172" s="352"/>
      <c r="X172" s="352"/>
      <c r="Y172" s="352"/>
      <c r="Z172" s="352"/>
      <c r="AA172" s="361"/>
      <c r="AB172" s="363">
        <f t="shared" si="24"/>
        <v>0</v>
      </c>
      <c r="AC172" s="259"/>
      <c r="AD172" s="762"/>
      <c r="AE172" s="252"/>
      <c r="AF172" s="632"/>
      <c r="AG172" s="439">
        <v>171</v>
      </c>
      <c r="AH172" s="333"/>
    </row>
    <row r="173" spans="1:34" s="225" customFormat="1" ht="31.3" hidden="1" thickBot="1" x14ac:dyDescent="0.9">
      <c r="A173" s="677"/>
      <c r="B173" s="367" t="s">
        <v>936</v>
      </c>
      <c r="C173" s="348" t="s">
        <v>940</v>
      </c>
      <c r="D173" s="354"/>
      <c r="E173" s="355"/>
      <c r="F173" s="355"/>
      <c r="G173" s="355"/>
      <c r="H173" s="355"/>
      <c r="I173" s="355"/>
      <c r="J173" s="355"/>
      <c r="K173" s="355"/>
      <c r="L173" s="355"/>
      <c r="M173" s="355"/>
      <c r="N173" s="355"/>
      <c r="O173" s="355"/>
      <c r="P173" s="355"/>
      <c r="Q173" s="355"/>
      <c r="R173" s="355"/>
      <c r="S173" s="355"/>
      <c r="T173" s="355"/>
      <c r="U173" s="355"/>
      <c r="V173" s="355"/>
      <c r="W173" s="355"/>
      <c r="X173" s="355"/>
      <c r="Y173" s="355"/>
      <c r="Z173" s="355"/>
      <c r="AA173" s="362"/>
      <c r="AB173" s="220">
        <f t="shared" si="24"/>
        <v>0</v>
      </c>
      <c r="AC173" s="259"/>
      <c r="AD173" s="763"/>
      <c r="AE173" s="252"/>
      <c r="AF173" s="632"/>
      <c r="AG173" s="439">
        <v>172</v>
      </c>
      <c r="AH173" s="333"/>
    </row>
    <row r="174" spans="1:34" ht="31.75" x14ac:dyDescent="0.85">
      <c r="A174" s="705" t="s">
        <v>1050</v>
      </c>
      <c r="B174" s="777" t="s">
        <v>1049</v>
      </c>
      <c r="C174" s="282" t="s">
        <v>186</v>
      </c>
      <c r="D174" s="496"/>
      <c r="E174" s="497"/>
      <c r="F174" s="497"/>
      <c r="G174" s="497"/>
      <c r="H174" s="497"/>
      <c r="I174" s="497"/>
      <c r="J174" s="497"/>
      <c r="K174" s="497"/>
      <c r="L174" s="497"/>
      <c r="M174" s="497"/>
      <c r="N174" s="497"/>
      <c r="O174" s="497">
        <v>0</v>
      </c>
      <c r="P174" s="497"/>
      <c r="Q174" s="497"/>
      <c r="R174" s="497"/>
      <c r="S174" s="497"/>
      <c r="T174" s="497"/>
      <c r="U174" s="497"/>
      <c r="V174" s="497"/>
      <c r="W174" s="497"/>
      <c r="X174" s="497"/>
      <c r="Y174" s="497"/>
      <c r="Z174" s="497"/>
      <c r="AA174" s="497"/>
      <c r="AB174" s="341">
        <f>SUM(D174:AA174)</f>
        <v>0</v>
      </c>
      <c r="AC174" s="259" t="str">
        <f>CONCATENATE(IF(D175&gt;D174," * Initiated Pep for Age "&amp;D20&amp;" "&amp;D21&amp;" is more than Rape survivors"&amp;CHAR(10),""),IF(E175&gt;E174," * Initiated Pep for Age "&amp;D20&amp;" "&amp;E21&amp;" is more than Rape survivors"&amp;CHAR(10),""),IF(F175&gt;F174," * Initiated Pep for Age "&amp;F20&amp;" "&amp;F21&amp;" is more than Rape survivors"&amp;CHAR(10),""),IF(G175&gt;G174," * Initiated Pep for Age "&amp;F20&amp;" "&amp;G21&amp;" is more than Rape survivors"&amp;CHAR(10),""),IF(H175&gt;H174," * Initiated Pep for Age "&amp;H20&amp;" "&amp;H21&amp;" is more than Rape survivors"&amp;CHAR(10),""),IF(I175&gt;I174," * Initiated Pep for Age "&amp;H20&amp;" "&amp;I21&amp;" is more than Rape survivors"&amp;CHAR(10),""),IF(J175&gt;J174," * Initiated Pep for Age "&amp;J20&amp;" "&amp;J21&amp;" is more than Rape survivors"&amp;CHAR(10),""),IF(K175&gt;K174," * Initiated Pep for Age "&amp;J20&amp;" "&amp;K21&amp;" is more than Rape survivors"&amp;CHAR(10),""),IF(L175&gt;L174," * Initiated Pep for Age "&amp;L20&amp;" "&amp;L21&amp;" is more than Rape survivors"&amp;CHAR(10),""),IF(M175&gt;M174," * Initiated Pep for Age "&amp;L20&amp;" "&amp;M21&amp;" is more than Rape survivors"&amp;CHAR(10),""),IF(N175&gt;N174," * Initiated Pep for Age "&amp;N20&amp;" "&amp;N21&amp;" is more than Rape survivors"&amp;CHAR(10),""),IF(O175&gt;O174," * Initiated Pep for Age "&amp;N20&amp;" "&amp;O21&amp;" is more than Rape survivors"&amp;CHAR(10),""),IF(P175&gt;P174," * Initiated Pep for Age "&amp;P20&amp;" "&amp;P21&amp;" is more than Rape survivors"&amp;CHAR(10),""),IF(Q175&gt;Q174," * Initiated Pep for Age "&amp;P20&amp;" "&amp;Q21&amp;" is more than Rape survivors"&amp;CHAR(10),""),IF(R175&gt;R174," * Initiated Pep for Age "&amp;R20&amp;" "&amp;R21&amp;" is more than Rape survivors"&amp;CHAR(10),""),IF(S175&gt;S174," * Initiated Pep for Age "&amp;R20&amp;" "&amp;S21&amp;" is more than Rape survivors"&amp;CHAR(10),""),IF(T175&gt;T174," * Initiated Pep for Age "&amp;T20&amp;" "&amp;T21&amp;" is more than Rape survivors"&amp;CHAR(10),""),IF(U175&gt;U174," * Initiated Pep for Age "&amp;T20&amp;" "&amp;U21&amp;" is more than Rape survivors"&amp;CHAR(10),""),IF(V175&gt;V174," * Initiated Pep for Age "&amp;V20&amp;" "&amp;V21&amp;" is more than Rape survivors"&amp;CHAR(10),""),IF(W175&gt;W174," * Initiated Pep for Age "&amp;V20&amp;" "&amp;W21&amp;" is more than Rape survivors"&amp;CHAR(10),""),IF(X175&gt;X174," * Initiated Pep for Age "&amp;X20&amp;" "&amp;X21&amp;" is more than Rape survivors"&amp;CHAR(10),""),IF(Y175&gt;Y174," * Initiated Pep for Age "&amp;X20&amp;" "&amp;Y21&amp;" is more than Rape survivors"&amp;CHAR(10),""),IF(Z175&gt;Z174," * Initiated Pep for Age "&amp;Z20&amp;" "&amp;Z21&amp;" is more than Rape survivors"&amp;CHAR(10),""),IF(AA175&gt;AA174," * Initiated Pep for Age "&amp;Z20&amp;" "&amp;AA21&amp;" is more than Rape survivors"&amp;CHAR(10),""))</f>
        <v/>
      </c>
      <c r="AD174" s="764" t="str">
        <f>CONCATENATE(AC138,AC176,AC177,AC178,AC179,AC181,AC183,AC185,AC187,AC188,AC175,AC180,AC174)</f>
        <v/>
      </c>
      <c r="AE174" s="83"/>
      <c r="AF174" s="632"/>
      <c r="AG174" s="439">
        <v>173</v>
      </c>
    </row>
    <row r="175" spans="1:34" ht="32.15" thickBot="1" x14ac:dyDescent="0.9">
      <c r="A175" s="706"/>
      <c r="B175" s="778" t="s">
        <v>954</v>
      </c>
      <c r="C175" s="292" t="s">
        <v>185</v>
      </c>
      <c r="D175" s="498"/>
      <c r="E175" s="495"/>
      <c r="F175" s="495"/>
      <c r="G175" s="495"/>
      <c r="H175" s="495"/>
      <c r="I175" s="495"/>
      <c r="J175" s="495"/>
      <c r="K175" s="495"/>
      <c r="L175" s="495"/>
      <c r="M175" s="495"/>
      <c r="N175" s="495"/>
      <c r="O175" s="495"/>
      <c r="P175" s="495"/>
      <c r="Q175" s="495"/>
      <c r="R175" s="495"/>
      <c r="S175" s="495"/>
      <c r="T175" s="495"/>
      <c r="U175" s="495"/>
      <c r="V175" s="495"/>
      <c r="W175" s="495"/>
      <c r="X175" s="495"/>
      <c r="Y175" s="495"/>
      <c r="Z175" s="495"/>
      <c r="AA175" s="495"/>
      <c r="AB175" s="221">
        <f t="shared" ref="AB175:AB188" si="95">SUM(D175:AA175)</f>
        <v>0</v>
      </c>
      <c r="AC175" s="259"/>
      <c r="AD175" s="765"/>
      <c r="AE175" s="83"/>
      <c r="AF175" s="632"/>
      <c r="AG175" s="439">
        <v>174</v>
      </c>
    </row>
    <row r="176" spans="1:34" ht="31.75" x14ac:dyDescent="0.85">
      <c r="A176" s="565" t="s">
        <v>1051</v>
      </c>
      <c r="B176" s="777" t="s">
        <v>690</v>
      </c>
      <c r="C176" s="292" t="s">
        <v>252</v>
      </c>
      <c r="D176" s="496"/>
      <c r="E176" s="497"/>
      <c r="F176" s="497"/>
      <c r="G176" s="497"/>
      <c r="H176" s="497"/>
      <c r="I176" s="497"/>
      <c r="J176" s="497"/>
      <c r="K176" s="497"/>
      <c r="L176" s="497"/>
      <c r="M176" s="497"/>
      <c r="N176" s="497"/>
      <c r="O176" s="497"/>
      <c r="P176" s="497"/>
      <c r="Q176" s="497"/>
      <c r="R176" s="497"/>
      <c r="S176" s="497"/>
      <c r="T176" s="497"/>
      <c r="U176" s="497"/>
      <c r="V176" s="497"/>
      <c r="W176" s="497"/>
      <c r="X176" s="497"/>
      <c r="Y176" s="497"/>
      <c r="Z176" s="497"/>
      <c r="AA176" s="497"/>
      <c r="AB176" s="374">
        <f>SUM(D176:AA176)</f>
        <v>0</v>
      </c>
      <c r="AC176" s="85" t="str">
        <f>CONCATENATE(IF(D177&gt;D176," * Initiated Pep for Age "&amp;D19&amp;" "&amp;D20&amp;" is more than No of Clients"&amp;CHAR(10),""),IF(E177&gt;E176," * Initiated Pep for Age "&amp;D19&amp;" "&amp;E20&amp;" is more than No of Clients"&amp;CHAR(10),""),IF(F177&gt;F176," * Initiated Pep for Age "&amp;F19&amp;" "&amp;F20&amp;" is more than No of Clients"&amp;CHAR(10),""),IF(G177&gt;G176," * Initiated Pep for Age "&amp;F19&amp;" "&amp;G20&amp;" is more than No of Clients"&amp;CHAR(10),""),IF(H177&gt;H176," * Initiated Pep for Age "&amp;H19&amp;" "&amp;H20&amp;" is more than No of Clients"&amp;CHAR(10),""),IF(I177&gt;I176," * Initiated Pep for Age "&amp;H19&amp;" "&amp;I20&amp;" is more than No of Clients"&amp;CHAR(10),""),IF(J177&gt;J176," * Initiated Pep for Age "&amp;J19&amp;" "&amp;J20&amp;" is more than No of Clients"&amp;CHAR(10),""),IF(K177&gt;K176," * Initiated Pep for Age "&amp;J19&amp;" "&amp;K20&amp;" is more than No of Clients"&amp;CHAR(10),""),IF(L177&gt;L176," * Initiated Pep for Age "&amp;L19&amp;" "&amp;L20&amp;" is more than No of Clients"&amp;CHAR(10),""),IF(M177&gt;M176," * Initiated Pep for Age "&amp;L19&amp;" "&amp;M20&amp;" is more than No of Clients"&amp;CHAR(10),""),IF(N177&gt;N176," * Initiated Pep for Age "&amp;N19&amp;" "&amp;N20&amp;" is more than No of Clients"&amp;CHAR(10),""),IF(O177&gt;O176," * Initiated Pep for Age "&amp;N19&amp;" "&amp;O20&amp;" is more than No of Clients"&amp;CHAR(10),""),IF(P177&gt;P176," * Initiated Pep for Age "&amp;P19&amp;" "&amp;P20&amp;" is more than No of Clients"&amp;CHAR(10),""),IF(Q177&gt;Q176," * Initiated Pep for Age "&amp;P19&amp;" "&amp;Q20&amp;" is more than No of Clients"&amp;CHAR(10),""),IF(R177&gt;R176," * Initiated Pep for Age "&amp;R19&amp;" "&amp;R20&amp;" is more than No of Clients"&amp;CHAR(10),""),IF(S177&gt;S176," * Initiated Pep for Age "&amp;R19&amp;" "&amp;S20&amp;" is more than No of Clients"&amp;CHAR(10),""),IF(T177&gt;T176," * Initiated Pep for Age "&amp;T19&amp;" "&amp;T20&amp;" is more than No of Clients"&amp;CHAR(10),""),IF(U177&gt;U176," * Initiated Pep for Age "&amp;T19&amp;" "&amp;U20&amp;" is more than No of Clients"&amp;CHAR(10),""),IF(V177&gt;V176," * Initiated Pep for Age "&amp;V19&amp;" "&amp;V20&amp;" is more than No of Clients"&amp;CHAR(10),""),IF(W177&gt;W176," * Initiated Pep for Age "&amp;V19&amp;" "&amp;W20&amp;" is more than No of Clients"&amp;CHAR(10),""),IF(X177&gt;X176," * Initiated Pep for Age "&amp;X19&amp;" "&amp;X20&amp;" is more than No of Clients"&amp;CHAR(10),""),IF(Y177&gt;Y176," * Initiated Pep for Age "&amp;X19&amp;" "&amp;Y20&amp;" is more than No of Clients"&amp;CHAR(10),""),IF(Z177&gt;Z176," * Initiated Pep for Age "&amp;Z19&amp;" "&amp;Z20&amp;" is more than No of Clients"&amp;CHAR(10),""),IF(AA177&gt;AA176," * Initiated Pep for Age "&amp;Z19&amp;" "&amp;AA20&amp;" is more than No of Clients"&amp;CHAR(10),""))</f>
        <v/>
      </c>
      <c r="AD176" s="765"/>
      <c r="AE176" s="83"/>
      <c r="AF176" s="632"/>
      <c r="AG176" s="439">
        <v>175</v>
      </c>
    </row>
    <row r="177" spans="1:34" ht="32.15" thickBot="1" x14ac:dyDescent="0.9">
      <c r="A177" s="567"/>
      <c r="B177" s="778" t="s">
        <v>689</v>
      </c>
      <c r="C177" s="357" t="s">
        <v>256</v>
      </c>
      <c r="D177" s="498"/>
      <c r="E177" s="495"/>
      <c r="F177" s="495"/>
      <c r="G177" s="495"/>
      <c r="H177" s="495"/>
      <c r="I177" s="495"/>
      <c r="J177" s="495"/>
      <c r="K177" s="495"/>
      <c r="L177" s="495"/>
      <c r="M177" s="495"/>
      <c r="N177" s="495"/>
      <c r="O177" s="495"/>
      <c r="P177" s="495"/>
      <c r="Q177" s="495"/>
      <c r="R177" s="495"/>
      <c r="S177" s="495"/>
      <c r="T177" s="495"/>
      <c r="U177" s="495"/>
      <c r="V177" s="495"/>
      <c r="W177" s="495"/>
      <c r="X177" s="495"/>
      <c r="Y177" s="495"/>
      <c r="Z177" s="495"/>
      <c r="AA177" s="495"/>
      <c r="AB177" s="221">
        <f t="shared" si="95"/>
        <v>0</v>
      </c>
      <c r="AC177" s="85"/>
      <c r="AD177" s="765"/>
      <c r="AE177" s="83"/>
      <c r="AF177" s="632"/>
      <c r="AG177" s="439">
        <v>176</v>
      </c>
    </row>
    <row r="178" spans="1:34" s="7" customFormat="1" x14ac:dyDescent="0.85">
      <c r="A178" s="573" t="s">
        <v>26</v>
      </c>
      <c r="B178" s="290" t="s">
        <v>691</v>
      </c>
      <c r="C178" s="292" t="s">
        <v>257</v>
      </c>
      <c r="D178" s="351"/>
      <c r="E178" s="351"/>
      <c r="F178" s="351"/>
      <c r="G178" s="351"/>
      <c r="H178" s="351"/>
      <c r="I178" s="351"/>
      <c r="J178" s="351"/>
      <c r="K178" s="351"/>
      <c r="L178" s="351"/>
      <c r="M178" s="351"/>
      <c r="N178" s="351"/>
      <c r="O178" s="351"/>
      <c r="P178" s="351"/>
      <c r="Q178" s="351"/>
      <c r="R178" s="351"/>
      <c r="S178" s="351"/>
      <c r="T178" s="351"/>
      <c r="U178" s="351"/>
      <c r="V178" s="351"/>
      <c r="W178" s="351"/>
      <c r="X178" s="351"/>
      <c r="Y178" s="351"/>
      <c r="Z178" s="351"/>
      <c r="AA178" s="351"/>
      <c r="AB178" s="256">
        <f t="shared" si="95"/>
        <v>0</v>
      </c>
      <c r="AC178" s="85" t="str">
        <f>CONCATENATE(IF(D178&gt;D174," * Total Rape Survivors for Age "&amp;D20&amp;" "&amp;D21&amp;" is less than Screened For STI"&amp;CHAR(10),""),IF(E178&gt;E174," * Total Rape Survivors for Age "&amp;D20&amp;" "&amp;E21&amp;" is less than Screened For STI"&amp;CHAR(10),""),IF(F178&gt;F174," * Total Rape Survivors for Age "&amp;F20&amp;" "&amp;F21&amp;" is less than Screened For STI"&amp;CHAR(10),""),IF(G178&gt;G174," * Total Rape Survivors for Age "&amp;F20&amp;" "&amp;G21&amp;" is less than Screened For STI"&amp;CHAR(10),""),IF(H178&gt;H174," * Total Rape Survivors for Age "&amp;H20&amp;" "&amp;H21&amp;" is less than Screened For STI"&amp;CHAR(10),""),IF(I178&gt;I174," * Total Rape Survivors for Age "&amp;H20&amp;" "&amp;I21&amp;" is less than Screened For STI"&amp;CHAR(10),""),IF(J178&gt;J174," * Total Rape Survivors for Age "&amp;J20&amp;" "&amp;J21&amp;" is less than Screened For STI"&amp;CHAR(10),""),IF(K178&gt;K174," * Total Rape Survivors for Age "&amp;J20&amp;" "&amp;K21&amp;" is less than Screened For STI"&amp;CHAR(10),""),IF(L178&gt;L174," * Total Rape Survivors for Age "&amp;L20&amp;" "&amp;L21&amp;" is less than Screened For STI"&amp;CHAR(10),""),IF(M178&gt;M174," * Total Rape Survivors for Age "&amp;L20&amp;" "&amp;M21&amp;" is less than Screened For STI"&amp;CHAR(10),""),IF(N178&gt;N174," * Total Rape Survivors for Age "&amp;N20&amp;" "&amp;N21&amp;" is less than Screened For STI"&amp;CHAR(10),""),IF(O178&gt;O174," * Total Rape Survivors for Age "&amp;N20&amp;" "&amp;O21&amp;" is less than Screened For STI"&amp;CHAR(10),""),IF(P178&gt;P174," * Total Rape Survivors for Age "&amp;P20&amp;" "&amp;P21&amp;" is less than Screened For STI"&amp;CHAR(10),""),IF(Q178&gt;Q174," * Total Rape Survivors for Age "&amp;P20&amp;" "&amp;Q21&amp;" is less than Screened For STI"&amp;CHAR(10),""),IF(R178&gt;R174," * Total Rape Survivors for Age "&amp;R20&amp;" "&amp;R21&amp;" is less than Screened For STI"&amp;CHAR(10),""),IF(S178&gt;S174," * Total Rape Survivors for Age "&amp;R20&amp;" "&amp;S21&amp;" is less than Screened For STI"&amp;CHAR(10),""),IF(T178&gt;T174," * Total Rape Survivors for Age "&amp;T20&amp;" "&amp;T21&amp;" is less than Screened For STI"&amp;CHAR(10),""),IF(U178&gt;U174," * Total Rape Survivors for Age "&amp;T20&amp;" "&amp;U21&amp;" is less than Screened For STI"&amp;CHAR(10),""),IF(V178&gt;V174," * Total Rape Survivors for Age "&amp;V20&amp;" "&amp;V21&amp;" is less than Screened For STI"&amp;CHAR(10),""),IF(W178&gt;W174," * Total Rape Survivors for Age "&amp;V20&amp;" "&amp;W21&amp;" is less than Screened For STI"&amp;CHAR(10),""),IF(X178&gt;X174," * Total Rape Survivors for Age "&amp;X20&amp;" "&amp;X21&amp;" is less than Screened For STI"&amp;CHAR(10),""),IF(Y178&gt;Y174," * Total Rape Survivors for Age "&amp;X20&amp;" "&amp;Y21&amp;" is less than Screened For STI"&amp;CHAR(10),""),IF(Z178&gt;Z174," * Total Rape Survivors for Age "&amp;Z20&amp;" "&amp;Z21&amp;" is less than Screened For STI"&amp;CHAR(10),""),IF(AA178&gt;AA174," * Total Rape Survivors for Age "&amp;Z20&amp;" "&amp;AA21&amp;" is less than Screened For STI"&amp;CHAR(10),""),IF(AB178&gt;AB174," * Total Total Rape Survivors is less than Total Screened For STI"&amp;CHAR(10),""))</f>
        <v/>
      </c>
      <c r="AD178" s="765"/>
      <c r="AE178" s="83"/>
      <c r="AF178" s="632"/>
      <c r="AG178" s="439">
        <v>177</v>
      </c>
      <c r="AH178" s="333"/>
    </row>
    <row r="179" spans="1:34" s="7" customFormat="1" x14ac:dyDescent="0.85">
      <c r="A179" s="574"/>
      <c r="B179" s="298" t="s">
        <v>692</v>
      </c>
      <c r="C179" s="136" t="s">
        <v>258</v>
      </c>
      <c r="D179" s="162"/>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37">
        <f t="shared" si="95"/>
        <v>0</v>
      </c>
      <c r="AC179" s="259" t="str">
        <f>CONCATENATE(IF(D179&gt;D178," * Screened For STI for Age "&amp;D20&amp;" "&amp;D21&amp;" is more than Tested For STI"&amp;CHAR(10),""),IF(E179&gt;E178," * Screened For STI for Age "&amp;D20&amp;" "&amp;E21&amp;" is more than Tested For STI"&amp;CHAR(10),""),IF(F179&gt;F178," * Screened For STI for Age "&amp;F20&amp;" "&amp;F21&amp;" is more than Tested For STI"&amp;CHAR(10),""),IF(G179&gt;G178," * Screened For STI for Age "&amp;F20&amp;" "&amp;G21&amp;" is more than Tested For STI"&amp;CHAR(10),""),IF(H179&gt;H178," * Screened For STI for Age "&amp;H20&amp;" "&amp;H21&amp;" is more than Tested For STI"&amp;CHAR(10),""),IF(I179&gt;I178," * Screened For STI for Age "&amp;H20&amp;" "&amp;I21&amp;" is more than Tested For STI"&amp;CHAR(10),""),IF(J179&gt;J178," * Screened For STI for Age "&amp;J20&amp;" "&amp;J21&amp;" is more than Tested For STI"&amp;CHAR(10),""),IF(K179&gt;K178," * Screened For STI for Age "&amp;J20&amp;" "&amp;K21&amp;" is more than Tested For STI"&amp;CHAR(10),""),IF(L179&gt;L178," * Screened For STI for Age "&amp;L20&amp;" "&amp;L21&amp;" is more than Tested For STI"&amp;CHAR(10),""),IF(M179&gt;M178," * Screened For STI for Age "&amp;L20&amp;" "&amp;M21&amp;" is more than Tested For STI"&amp;CHAR(10),""),IF(N179&gt;N178," * Screened For STI for Age "&amp;N20&amp;" "&amp;N21&amp;" is more than Tested For STI"&amp;CHAR(10),""),IF(O179&gt;O178," * Screened For STI for Age "&amp;N20&amp;" "&amp;O21&amp;" is more than Tested For STI"&amp;CHAR(10),""),IF(P179&gt;P178," * Screened For STI for Age "&amp;P20&amp;" "&amp;P21&amp;" is more than Tested For STI"&amp;CHAR(10),""),IF(Q179&gt;Q178," * Screened For STI for Age "&amp;P20&amp;" "&amp;Q21&amp;" is more than Tested For STI"&amp;CHAR(10),""),IF(R179&gt;R178," * Screened For STI for Age "&amp;R20&amp;" "&amp;R21&amp;" is more than Tested For STI"&amp;CHAR(10),""),IF(S179&gt;S178," * Screened For STI for Age "&amp;R20&amp;" "&amp;S21&amp;" is more than Tested For STI"&amp;CHAR(10),""),IF(T179&gt;T178," * Screened For STI for Age "&amp;T20&amp;" "&amp;T21&amp;" is more than Tested For STI"&amp;CHAR(10),""),IF(U179&gt;U178," * Screened For STI for Age "&amp;T20&amp;" "&amp;U21&amp;" is more than Tested For STI"&amp;CHAR(10),""),IF(V179&gt;V178," * Screened For STI for Age "&amp;V20&amp;" "&amp;V21&amp;" is more than Tested For STI"&amp;CHAR(10),""),IF(W179&gt;W178," * Screened For STI for Age "&amp;V20&amp;" "&amp;W21&amp;" is more than Tested For STI"&amp;CHAR(10),""),IF(X179&gt;X178," * Screened For STI for Age "&amp;X20&amp;" "&amp;X21&amp;" is more than Tested For STI"&amp;CHAR(10),""),IF(Y179&gt;Y178," * Screened For STI for Age "&amp;X20&amp;" "&amp;Y21&amp;" is more than Tested For STI"&amp;CHAR(10),""),IF(Z179&gt;Z178," * Screened For STI for Age "&amp;Z20&amp;" "&amp;Z21&amp;" is more than Tested For STI"&amp;CHAR(10),""),IF(AA179&gt;AA178," * Screened For STI for Age "&amp;AA20&amp;" "&amp;AA21&amp;" is more than Tested For STI"&amp;CHAR(10),""))</f>
        <v/>
      </c>
      <c r="AD179" s="765"/>
      <c r="AE179" s="83"/>
      <c r="AF179" s="632"/>
      <c r="AG179" s="439">
        <v>178</v>
      </c>
      <c r="AH179" s="333"/>
    </row>
    <row r="180" spans="1:34" s="7" customFormat="1" x14ac:dyDescent="0.85">
      <c r="A180" s="574"/>
      <c r="B180" s="298" t="s">
        <v>693</v>
      </c>
      <c r="C180" s="136" t="s">
        <v>259</v>
      </c>
      <c r="D180" s="163"/>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37">
        <f t="shared" si="95"/>
        <v>0</v>
      </c>
      <c r="AC180" s="259" t="str">
        <f>CONCATENATE(IF(D180&gt;D179," * F05-07 for Age "&amp;D20&amp;" "&amp;D21&amp;" is more than F05-06"&amp;CHAR(10),""),IF(E180&gt;E179," * F05-07 for Age "&amp;D20&amp;" "&amp;E21&amp;" is more than F05-06"&amp;CHAR(10),""),IF(F180&gt;F179," * F05-07 for Age "&amp;F20&amp;" "&amp;F21&amp;" is more than F05-06"&amp;CHAR(10),""),IF(G180&gt;G179," * F05-07 for Age "&amp;F20&amp;" "&amp;G21&amp;" is more than F05-06"&amp;CHAR(10),""),IF(H180&gt;H179," * F05-07 for Age "&amp;H20&amp;" "&amp;H21&amp;" is more than F05-06"&amp;CHAR(10),""),IF(I180&gt;I179," * F05-07 for Age "&amp;H20&amp;" "&amp;I21&amp;" is more than F05-06"&amp;CHAR(10),""),IF(J180&gt;J179," * F05-07 for Age "&amp;J20&amp;" "&amp;J21&amp;" is more than F05-06"&amp;CHAR(10),""),IF(K180&gt;K179," * F05-07 for Age "&amp;J20&amp;" "&amp;K21&amp;" is more than F05-06"&amp;CHAR(10),""),IF(L180&gt;L179," * F05-07 for Age "&amp;L20&amp;" "&amp;L21&amp;" is more than F05-06"&amp;CHAR(10),""),IF(M180&gt;M179," * F05-07 for Age "&amp;L20&amp;" "&amp;M21&amp;" is more than F05-06"&amp;CHAR(10),""),IF(N180&gt;N179," * F05-07 for Age "&amp;N20&amp;" "&amp;N21&amp;" is more than F05-06"&amp;CHAR(10),""),IF(O180&gt;O179," * F05-07 for Age "&amp;N20&amp;" "&amp;O21&amp;" is more than F05-06"&amp;CHAR(10),""),IF(P180&gt;P179," * F05-07 for Age "&amp;P20&amp;" "&amp;P21&amp;" is more than F05-06"&amp;CHAR(10),""),IF(Q180&gt;Q179," * F05-07 for Age "&amp;P20&amp;" "&amp;Q21&amp;" is more than F05-06"&amp;CHAR(10),""),IF(R180&gt;R179," * F05-07 for Age "&amp;R20&amp;" "&amp;R21&amp;" is more than F05-06"&amp;CHAR(10),""),IF(S180&gt;S179," * F05-07 for Age "&amp;R20&amp;" "&amp;S21&amp;" is more than F05-06"&amp;CHAR(10),""),IF(T180&gt;T179," * F05-07 for Age "&amp;T20&amp;" "&amp;T21&amp;" is more than F05-06"&amp;CHAR(10),""),IF(U180&gt;U179," * F05-07 for Age "&amp;T20&amp;" "&amp;U21&amp;" is more than F05-06"&amp;CHAR(10),""),IF(V180&gt;V179," * F05-07 for Age "&amp;V20&amp;" "&amp;V21&amp;" is more than F05-06"&amp;CHAR(10),""),IF(W180&gt;W179," * F05-07 for Age "&amp;V20&amp;" "&amp;W21&amp;" is more than F05-06"&amp;CHAR(10),""),IF(X180&gt;X179," * F05-07 for Age "&amp;X20&amp;" "&amp;X21&amp;" is more than F05-06"&amp;CHAR(10),""),IF(Y180&gt;Y179," * F05-07 for Age "&amp;X20&amp;" "&amp;Y21&amp;" is more than F05-06"&amp;CHAR(10),""),IF(Z180&gt;Z179," * F05-07 for Age "&amp;Z20&amp;" "&amp;Z21&amp;" is more than F05-06"&amp;CHAR(10),""),IF(AA180&gt;AA179," * F05-07 for Age "&amp;Z20&amp;" "&amp;AA21&amp;" is more than F05-06"&amp;CHAR(10),""),IF(AB180&gt;AB179," * Total F05-07 is more than Total F05-06"&amp;CHAR(10),""))</f>
        <v/>
      </c>
      <c r="AD180" s="765"/>
      <c r="AE180" s="83"/>
      <c r="AF180" s="632"/>
      <c r="AG180" s="439">
        <v>179</v>
      </c>
      <c r="AH180" s="333"/>
    </row>
    <row r="181" spans="1:34" s="7" customFormat="1" x14ac:dyDescent="0.85">
      <c r="A181" s="574"/>
      <c r="B181" s="298" t="s">
        <v>694</v>
      </c>
      <c r="C181" s="136" t="s">
        <v>260</v>
      </c>
      <c r="D181" s="246"/>
      <c r="E181" s="246"/>
      <c r="F181" s="246"/>
      <c r="G181" s="246"/>
      <c r="H181" s="246"/>
      <c r="I181" s="246"/>
      <c r="J181" s="246"/>
      <c r="K181" s="233"/>
      <c r="L181" s="246"/>
      <c r="M181" s="233"/>
      <c r="N181" s="246"/>
      <c r="O181" s="233"/>
      <c r="P181" s="246"/>
      <c r="Q181" s="233"/>
      <c r="R181" s="246"/>
      <c r="S181" s="233"/>
      <c r="T181" s="246"/>
      <c r="U181" s="233"/>
      <c r="V181" s="246"/>
      <c r="W181" s="233"/>
      <c r="X181" s="246"/>
      <c r="Y181" s="233"/>
      <c r="Z181" s="246"/>
      <c r="AA181" s="233"/>
      <c r="AB181" s="37">
        <f t="shared" si="95"/>
        <v>0</v>
      </c>
      <c r="AC181" s="259" t="str">
        <f>CONCATENATE(IF(D181&gt;D174," * Given Emergency Contraceptive Pill for Age "&amp;D20&amp;" "&amp;D21&amp;" is more than Sexual Violence Rape Survivors"&amp;CHAR(10),""),IF(E181&gt;E174," * Given Emergency Contraceptive Pill for Age "&amp;D20&amp;" "&amp;E21&amp;" is more than Sexual Violence Rape Survivors"&amp;CHAR(10),""),IF(F181&gt;F174," * Given Emergency Contraceptive Pill for Age "&amp;F20&amp;" "&amp;F21&amp;" is more than Sexual Violence Rape Survivors"&amp;CHAR(10),""),IF(G181&gt;G174," * Given Emergency Contraceptive Pill for Age "&amp;F20&amp;" "&amp;G21&amp;" is more than Sexual Violence Rape Survivors"&amp;CHAR(10),""),IF(H181&gt;H174," * Given Emergency Contraceptive Pill for Age "&amp;H20&amp;" "&amp;H21&amp;" is more than Sexual Violence Rape Survivors"&amp;CHAR(10),""),IF(I181&gt;I174," * Given Emergency Contraceptive Pill for Age "&amp;H20&amp;" "&amp;I21&amp;" is more than Sexual Violence Rape Survivors"&amp;CHAR(10),""),IF(J181&gt;J174," * Given Emergency Contraceptive Pill for Age "&amp;J20&amp;" "&amp;J21&amp;" is more than Sexual Violence Rape Survivors"&amp;CHAR(10),""),IF(K181&gt;K174," * Given Emergency Contraceptive Pill for Age "&amp;J20&amp;" "&amp;K21&amp;" is more than Sexual Violence Rape Survivors"&amp;CHAR(10),""),IF(L181&gt;L174," * Given Emergency Contraceptive Pill for Age "&amp;L20&amp;" "&amp;L21&amp;" is more than Sexual Violence Rape Survivors"&amp;CHAR(10),""),IF(M181&gt;M174," * Given Emergency Contraceptive Pill for Age "&amp;L20&amp;" "&amp;M21&amp;" is more than Sexual Violence Rape Survivors"&amp;CHAR(10),""),IF(N181&gt;N174," * Given Emergency Contraceptive Pill for Age "&amp;N20&amp;" "&amp;N21&amp;" is more than Sexual Violence Rape Survivors"&amp;CHAR(10),""),IF(O181&gt;O174," * Given Emergency Contraceptive Pill for Age "&amp;N20&amp;" "&amp;O21&amp;" is more than Sexual Violence Rape Survivors"&amp;CHAR(10),""),IF(P181&gt;P174," * Given Emergency Contraceptive Pill for Age "&amp;P20&amp;" "&amp;P21&amp;" is more than Sexual Violence Rape Survivors"&amp;CHAR(10),""),IF(Q181&gt;Q174," * Given Emergency Contraceptive Pill for Age "&amp;P20&amp;" "&amp;Q21&amp;" is more than Sexual Violence Rape Survivors"&amp;CHAR(10),""),IF(R181&gt;R174," * Given Emergency Contraceptive Pill for Age "&amp;R20&amp;" "&amp;R21&amp;" is more than Sexual Violence Rape Survivors"&amp;CHAR(10),""),IF(S181&gt;S174," * Given Emergency Contraceptive Pill for Age "&amp;R20&amp;" "&amp;S21&amp;" is more than Sexual Violence Rape Survivors"&amp;CHAR(10),""),IF(T181&gt;T174," * Given Emergency Contraceptive Pill for Age "&amp;T20&amp;" "&amp;T21&amp;" is more than Sexual Violence Rape Survivors"&amp;CHAR(10),""),IF(U181&gt;U174," * Given Emergency Contraceptive Pill for Age "&amp;T20&amp;" "&amp;U21&amp;" is more than Sexual Violence Rape Survivors"&amp;CHAR(10),""),IF(V181&gt;V174," * Given Emergency Contraceptive Pill for Age "&amp;V20&amp;" "&amp;V21&amp;" is more than Sexual Violence Rape Survivors"&amp;CHAR(10),""),IF(W181&gt;W174," * Given Emergency Contraceptive Pill for Age "&amp;V20&amp;" "&amp;W21&amp;" is more than Sexual Violence Rape Survivors"&amp;CHAR(10),""),IF(X181&gt;X174," * Given Emergency Contraceptive Pill for Age "&amp;X20&amp;" "&amp;X21&amp;" is more than Sexual Violence Rape Survivors"&amp;CHAR(10),""),IF(Y181&gt;Y174," * Given Emergency Contraceptive Pill for Age "&amp;X20&amp;" "&amp;Y21&amp;" is more than Sexual Violence Rape Survivors"&amp;CHAR(10),""),IF(Z181&gt;Z174," * Given Emergency Contraceptive Pill for Age "&amp;Z20&amp;" "&amp;Z21&amp;" is more than Sexual Violence Rape Survivors"&amp;CHAR(10),""),IF(AA181&gt;AA174," * Given Emergency Contraceptive Pill for Age "&amp;Z20&amp;" "&amp;AA21&amp;" is more than Sexual Violence Rape Survivors"&amp;CHAR(10),""))</f>
        <v/>
      </c>
      <c r="AD181" s="765"/>
      <c r="AE181" s="83"/>
      <c r="AF181" s="632"/>
      <c r="AG181" s="439">
        <v>180</v>
      </c>
      <c r="AH181" s="333"/>
    </row>
    <row r="182" spans="1:34" s="7" customFormat="1" x14ac:dyDescent="0.85">
      <c r="A182" s="574"/>
      <c r="B182" s="298" t="s">
        <v>695</v>
      </c>
      <c r="C182" s="136" t="s">
        <v>261</v>
      </c>
      <c r="D182" s="246"/>
      <c r="E182" s="246"/>
      <c r="F182" s="246"/>
      <c r="G182" s="246"/>
      <c r="H182" s="246"/>
      <c r="I182" s="246"/>
      <c r="J182" s="246"/>
      <c r="K182" s="300"/>
      <c r="L182" s="246"/>
      <c r="M182" s="300"/>
      <c r="N182" s="246"/>
      <c r="O182" s="300"/>
      <c r="P182" s="246"/>
      <c r="Q182" s="300"/>
      <c r="R182" s="246"/>
      <c r="S182" s="300"/>
      <c r="T182" s="246"/>
      <c r="U182" s="300"/>
      <c r="V182" s="246"/>
      <c r="W182" s="300"/>
      <c r="X182" s="246"/>
      <c r="Y182" s="300"/>
      <c r="Z182" s="246"/>
      <c r="AA182" s="300"/>
      <c r="AB182" s="37">
        <f t="shared" si="95"/>
        <v>0</v>
      </c>
      <c r="AC182" s="259" t="str">
        <f>CONCATENATE(IF(D182&gt;D181," * Given Emergency Contraceptive Pill for Age "&amp;D20&amp;" "&amp;D21&amp;" is more than Eligible for Emergency Contraceptive Pill"&amp;CHAR(10),""),IF(E182&gt;E181," * Given Emergency Contraceptive Pill for Age "&amp;D20&amp;" "&amp;E21&amp;" is more than Eligible for Emergency Contraceptive Pill"&amp;CHAR(10),""),IF(F182&gt;F181," * Given Emergency Contraceptive Pill for Age "&amp;F20&amp;" "&amp;F21&amp;" is more than Eligible for Emergency Contraceptive Pill"&amp;CHAR(10),""),IF(G182&gt;G181," * Given Emergency Contraceptive Pill for Age "&amp;F20&amp;" "&amp;G21&amp;" is more than Eligible for Emergency Contraceptive Pill"&amp;CHAR(10),""),IF(H182&gt;H181," * Given Emergency Contraceptive Pill for Age "&amp;H20&amp;" "&amp;H21&amp;" is more than Eligible for Emergency Contraceptive Pill"&amp;CHAR(10),""),IF(I182&gt;I181," * Given Emergency Contraceptive Pill for Age "&amp;H20&amp;" "&amp;I21&amp;" is more than Eligible for Emergency Contraceptive Pill"&amp;CHAR(10),""),IF(J182&gt;J181," * Given Emergency Contraceptive Pill for Age "&amp;J20&amp;" "&amp;J21&amp;" is more than Eligible for Emergency Contraceptive Pill"&amp;CHAR(10),""),IF(K182&gt;K181," * Given Emergency Contraceptive Pill for Age "&amp;J20&amp;" "&amp;K21&amp;" is more than Eligible for Emergency Contraceptive Pill"&amp;CHAR(10),""),IF(L182&gt;L181," * Given Emergency Contraceptive Pill for Age "&amp;L20&amp;" "&amp;L21&amp;" is more than Eligible for Emergency Contraceptive Pill"&amp;CHAR(10),""),IF(M182&gt;M181," * Given Emergency Contraceptive Pill for Age "&amp;L20&amp;" "&amp;M21&amp;" is more than Eligible for Emergency Contraceptive Pill"&amp;CHAR(10),""),IF(N182&gt;N181," * Given Emergency Contraceptive Pill for Age "&amp;N20&amp;" "&amp;N21&amp;" is more than Eligible for Emergency Contraceptive Pill"&amp;CHAR(10),""),IF(O182&gt;O181," * Given Emergency Contraceptive Pill for Age "&amp;N20&amp;" "&amp;O21&amp;" is more than Eligible for Emergency Contraceptive Pill"&amp;CHAR(10),""),IF(P182&gt;P181," * Given Emergency Contraceptive Pill for Age "&amp;P20&amp;" "&amp;P21&amp;" is more than Eligible for Emergency Contraceptive Pill"&amp;CHAR(10),""),IF(Q182&gt;Q181," * Given Emergency Contraceptive Pill for Age "&amp;P20&amp;" "&amp;Q21&amp;" is more than Eligible for Emergency Contraceptive Pill"&amp;CHAR(10),""),IF(R182&gt;R181," * Given Emergency Contraceptive Pill for Age "&amp;R20&amp;" "&amp;R21&amp;" is more than Eligible for Emergency Contraceptive Pill"&amp;CHAR(10),""),IF(S182&gt;S181," * Given Emergency Contraceptive Pill for Age "&amp;R20&amp;" "&amp;S21&amp;" is more than Eligible for Emergency Contraceptive Pill"&amp;CHAR(10),""),IF(T182&gt;T181," * Given Emergency Contraceptive Pill for Age "&amp;T20&amp;" "&amp;T21&amp;" is more than Eligible for Emergency Contraceptive Pill"&amp;CHAR(10),""),IF(U182&gt;U181," * Given Emergency Contraceptive Pill for Age "&amp;T20&amp;" "&amp;U21&amp;" is more than Eligible for Emergency Contraceptive Pill"&amp;CHAR(10),""),IF(V182&gt;V181," * Given Emergency Contraceptive Pill for Age "&amp;V20&amp;" "&amp;V21&amp;" is more than Eligible for Emergency Contraceptive Pill"&amp;CHAR(10),""),IF(W182&gt;W181," * Given Emergency Contraceptive Pill for Age "&amp;V20&amp;" "&amp;W21&amp;" is more than Eligible for Emergency Contraceptive Pill"&amp;CHAR(10),""),IF(X182&gt;X181," * Given Emergency Contraceptive Pill for Age "&amp;X20&amp;" "&amp;X21&amp;" is more than Eligible for Emergency Contraceptive Pill"&amp;CHAR(10),""),IF(Y182&gt;Y181," * Given Emergency Contraceptive Pill for Age "&amp;X20&amp;" "&amp;Y21&amp;" is more than Eligible for Emergency Contraceptive Pill"&amp;CHAR(10),""),IF(Z182&gt;Z181," * Given Emergency Contraceptive Pill for Age "&amp;Z20&amp;" "&amp;Z21&amp;" is more than Eligible for Emergency Contraceptive Pill"&amp;CHAR(10),""),IF(AA182&gt;AA181," * Given Emergency Contraceptive Pill for Age "&amp;Z20&amp;" "&amp;AA21&amp;" is more than Eligible for Emergency Contraceptive Pill"&amp;CHAR(10),""))</f>
        <v/>
      </c>
      <c r="AD182" s="765"/>
      <c r="AE182" s="83"/>
      <c r="AF182" s="632"/>
      <c r="AG182" s="439">
        <v>181</v>
      </c>
      <c r="AH182" s="333"/>
    </row>
    <row r="183" spans="1:34" s="7" customFormat="1" x14ac:dyDescent="0.85">
      <c r="A183" s="574"/>
      <c r="B183" s="298" t="s">
        <v>696</v>
      </c>
      <c r="C183" s="136" t="s">
        <v>262</v>
      </c>
      <c r="D183" s="162"/>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37">
        <f t="shared" si="95"/>
        <v>0</v>
      </c>
      <c r="AC183" s="634" t="str">
        <f>CONCATENATE(IF(D184&gt;D183," * F05-11 for Age "&amp;D20&amp;" "&amp;D21&amp;" is more than F05-10"&amp;CHAR(10),""),IF(E184&gt;E183," * F05-11 for Age "&amp;D20&amp;" "&amp;E21&amp;" is more than F05-10"&amp;CHAR(10),""),IF(F184&gt;F183," * F05-11 for Age "&amp;F20&amp;" "&amp;F21&amp;" is more than F05-10"&amp;CHAR(10),""),IF(G184&gt;G183," * F05-11 for Age "&amp;F20&amp;" "&amp;G21&amp;" is more than F05-10"&amp;CHAR(10),""),IF(H184&gt;H183," * F05-11 for Age "&amp;H20&amp;" "&amp;H21&amp;" is more than F05-10"&amp;CHAR(10),""),IF(I184&gt;I183," * F05-11 for Age "&amp;H20&amp;" "&amp;I21&amp;" is more than F05-10"&amp;CHAR(10),""),IF(J184&gt;J183," * F05-11 for Age "&amp;J20&amp;" "&amp;J21&amp;" is more than F05-10"&amp;CHAR(10),""),IF(K184&gt;K183," * F05-11 for Age "&amp;J20&amp;" "&amp;K21&amp;" is more than F05-10"&amp;CHAR(10),""),IF(L184&gt;L183," * F05-11 for Age "&amp;L20&amp;" "&amp;L21&amp;" is more than F05-10"&amp;CHAR(10),""),IF(M184&gt;M183," * F05-11 for Age "&amp;L20&amp;" "&amp;M21&amp;" is more than F05-10"&amp;CHAR(10),""),IF(N184&gt;N183," * F05-11 for Age "&amp;N20&amp;" "&amp;N21&amp;" is more than F05-10"&amp;CHAR(10),""),IF(O184&gt;O183," * F05-11 for Age "&amp;N20&amp;" "&amp;O21&amp;" is more than F05-10"&amp;CHAR(10),""),IF(P184&gt;P183," * F05-11 for Age "&amp;P20&amp;" "&amp;P21&amp;" is more than F05-10"&amp;CHAR(10),""),IF(Q184&gt;Q183," * F05-11 for Age "&amp;P20&amp;" "&amp;Q21&amp;" is more than F05-10"&amp;CHAR(10),""),IF(R184&gt;R183," * F05-11 for Age "&amp;R20&amp;" "&amp;R21&amp;" is more than F05-10"&amp;CHAR(10),""),IF(S184&gt;S183," * F05-11 for Age "&amp;R20&amp;" "&amp;S21&amp;" is more than F05-10"&amp;CHAR(10),""),IF(T184&gt;T183," * F05-11 for Age "&amp;T20&amp;" "&amp;T21&amp;" is more than F05-10"&amp;CHAR(10),""),IF(U184&gt;U183," * F05-11 for Age "&amp;T20&amp;" "&amp;U21&amp;" is more than F05-10"&amp;CHAR(10),""),IF(V184&gt;V183," * F05-11 for Age "&amp;V20&amp;" "&amp;V21&amp;" is more than F05-10"&amp;CHAR(10),""),IF(W184&gt;W183," * F05-11 for Age "&amp;V20&amp;" "&amp;W21&amp;" is more than F05-10"&amp;CHAR(10),""),IF(X184&gt;X183," * F05-11 for Age "&amp;X20&amp;" "&amp;X21&amp;" is more than F05-10"&amp;CHAR(10),""),IF(Y184&gt;Y183," * F05-11 for Age "&amp;X20&amp;" "&amp;Y21&amp;" is more than F05-10"&amp;CHAR(10),""),IF(Z184&gt;Z183," * F05-11 for Age "&amp;Z20&amp;" "&amp;Z21&amp;" is more than F05-10"&amp;CHAR(10),""),IF(AA184&gt;AA183," * F05-11 for Age "&amp;Z20&amp;" "&amp;AA21&amp;" is more than F05-10"&amp;CHAR(10),""),IF(AB184&gt;AB183," * Total F05-11 is more than Total F05-10"&amp;CHAR(10),""))</f>
        <v/>
      </c>
      <c r="AD183" s="765"/>
      <c r="AE183" s="83"/>
      <c r="AF183" s="632"/>
      <c r="AG183" s="439">
        <v>182</v>
      </c>
      <c r="AH183" s="333"/>
    </row>
    <row r="184" spans="1:34" s="7" customFormat="1" ht="35.6" thickBot="1" x14ac:dyDescent="0.9">
      <c r="A184" s="575"/>
      <c r="B184" s="299" t="s">
        <v>697</v>
      </c>
      <c r="C184" s="138" t="s">
        <v>263</v>
      </c>
      <c r="D184" s="155"/>
      <c r="E184" s="297"/>
      <c r="F184" s="297"/>
      <c r="G184" s="297"/>
      <c r="H184" s="297"/>
      <c r="I184" s="297"/>
      <c r="J184" s="297"/>
      <c r="K184" s="297"/>
      <c r="L184" s="297"/>
      <c r="M184" s="297"/>
      <c r="N184" s="297"/>
      <c r="O184" s="297"/>
      <c r="P184" s="297"/>
      <c r="Q184" s="297"/>
      <c r="R184" s="297"/>
      <c r="S184" s="297"/>
      <c r="T184" s="297"/>
      <c r="U184" s="297"/>
      <c r="V184" s="297"/>
      <c r="W184" s="297"/>
      <c r="X184" s="297"/>
      <c r="Y184" s="297"/>
      <c r="Z184" s="297"/>
      <c r="AA184" s="297"/>
      <c r="AB184" s="40">
        <f t="shared" si="95"/>
        <v>0</v>
      </c>
      <c r="AC184" s="634"/>
      <c r="AD184" s="765"/>
      <c r="AE184" s="83"/>
      <c r="AF184" s="632"/>
      <c r="AG184" s="439">
        <v>183</v>
      </c>
      <c r="AH184" s="333"/>
    </row>
    <row r="185" spans="1:34" s="7" customFormat="1" x14ac:dyDescent="0.85">
      <c r="A185" s="573" t="s">
        <v>111</v>
      </c>
      <c r="B185" s="290" t="s">
        <v>698</v>
      </c>
      <c r="C185" s="134" t="s">
        <v>264</v>
      </c>
      <c r="D185" s="152"/>
      <c r="E185" s="53"/>
      <c r="F185" s="53"/>
      <c r="G185" s="53"/>
      <c r="H185" s="53"/>
      <c r="I185" s="53"/>
      <c r="J185" s="53"/>
      <c r="K185" s="53"/>
      <c r="L185" s="53"/>
      <c r="M185" s="53"/>
      <c r="N185" s="53"/>
      <c r="O185" s="53"/>
      <c r="P185" s="53"/>
      <c r="Q185" s="53"/>
      <c r="R185" s="53"/>
      <c r="S185" s="53"/>
      <c r="T185" s="53"/>
      <c r="U185" s="53"/>
      <c r="V185" s="53"/>
      <c r="W185" s="53"/>
      <c r="X185" s="53"/>
      <c r="Y185" s="53"/>
      <c r="Z185" s="53"/>
      <c r="AA185" s="53"/>
      <c r="AB185" s="36">
        <f t="shared" si="95"/>
        <v>0</v>
      </c>
      <c r="AC185" s="634" t="str">
        <f>CONCATENATE(IF(D186&gt;D185," * F05-13 for Age "&amp;D20&amp;" "&amp;D21&amp;" is more than F05-12"&amp;CHAR(10),""),IF(E186&gt;E185," * F05-13 for Age "&amp;D20&amp;" "&amp;E21&amp;" is more than F05-12"&amp;CHAR(10),""),IF(F186&gt;F185," * F05-13 for Age "&amp;F20&amp;" "&amp;F21&amp;" is more than F05-12"&amp;CHAR(10),""),IF(G186&gt;G185," * F05-13 for Age "&amp;F20&amp;" "&amp;G21&amp;" is more than F05-12"&amp;CHAR(10),""),IF(H186&gt;H185," * F05-13 for Age "&amp;H20&amp;" "&amp;H21&amp;" is more than F05-12"&amp;CHAR(10),""),IF(I186&gt;I185," * F05-13 for Age "&amp;H20&amp;" "&amp;I21&amp;" is more than F05-12"&amp;CHAR(10),""),IF(J186&gt;J185," * F05-13 for Age "&amp;J20&amp;" "&amp;J21&amp;" is more than F05-12"&amp;CHAR(10),""),IF(K186&gt;K185," * F05-13 for Age "&amp;J20&amp;" "&amp;K21&amp;" is more than F05-12"&amp;CHAR(10),""),IF(L186&gt;L185," * F05-13 for Age "&amp;L20&amp;" "&amp;L21&amp;" is more than F05-12"&amp;CHAR(10),""),IF(M186&gt;M185," * F05-13 for Age "&amp;L20&amp;" "&amp;M21&amp;" is more than F05-12"&amp;CHAR(10),""),IF(N186&gt;N185," * F05-13 for Age "&amp;N20&amp;" "&amp;N21&amp;" is more than F05-12"&amp;CHAR(10),""),IF(O186&gt;O185," * F05-13 for Age "&amp;N20&amp;" "&amp;O21&amp;" is more than F05-12"&amp;CHAR(10),""),IF(P186&gt;P185," * F05-13 for Age "&amp;P20&amp;" "&amp;P21&amp;" is more than F05-12"&amp;CHAR(10),""),IF(Q186&gt;Q185," * F05-13 for Age "&amp;P20&amp;" "&amp;Q21&amp;" is more than F05-12"&amp;CHAR(10),""),IF(R186&gt;R185," * F05-13 for Age "&amp;R20&amp;" "&amp;R21&amp;" is more than F05-12"&amp;CHAR(10),""),IF(S186&gt;S185," * F05-13 for Age "&amp;R20&amp;" "&amp;S21&amp;" is more than F05-12"&amp;CHAR(10),""),IF(T186&gt;T185," * F05-13 for Age "&amp;T20&amp;" "&amp;T21&amp;" is more than F05-12"&amp;CHAR(10),""),IF(U186&gt;U185," * F05-13 for Age "&amp;T20&amp;" "&amp;U21&amp;" is more than F05-12"&amp;CHAR(10),""),IF(V186&gt;V185," * F05-13 for Age "&amp;V20&amp;" "&amp;V21&amp;" is more than F05-12"&amp;CHAR(10),""),IF(W186&gt;W185," * F05-13 for Age "&amp;V20&amp;" "&amp;W21&amp;" is more than F05-12"&amp;CHAR(10),""),IF(X186&gt;X185," * F05-13 for Age "&amp;X20&amp;" "&amp;X21&amp;" is more than F05-12"&amp;CHAR(10),""),IF(Y186&gt;Y185," * F05-13 for Age "&amp;X20&amp;" "&amp;Y21&amp;" is more than F05-12"&amp;CHAR(10),""),IF(Z186&gt;Z185," * F05-13 for Age "&amp;Z20&amp;" "&amp;Z21&amp;" is more than F05-12"&amp;CHAR(10),""),IF(AA186&gt;AA185," * F05-13 for Age "&amp;Z20&amp;" "&amp;AA21&amp;" is more than F05-12"&amp;CHAR(10),""),IF(AB186&gt;AB185," * Total F05-13 is more than Total F05-12"&amp;CHAR(10),""))</f>
        <v/>
      </c>
      <c r="AD185" s="765"/>
      <c r="AE185" s="83"/>
      <c r="AF185" s="632"/>
      <c r="AG185" s="439">
        <v>184</v>
      </c>
      <c r="AH185" s="333"/>
    </row>
    <row r="186" spans="1:34" s="7" customFormat="1" x14ac:dyDescent="0.85">
      <c r="A186" s="574"/>
      <c r="B186" s="298" t="s">
        <v>699</v>
      </c>
      <c r="C186" s="136" t="s">
        <v>265</v>
      </c>
      <c r="D186" s="162"/>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37">
        <f t="shared" si="95"/>
        <v>0</v>
      </c>
      <c r="AC186" s="634"/>
      <c r="AD186" s="765"/>
      <c r="AE186" s="83"/>
      <c r="AF186" s="632"/>
      <c r="AG186" s="439">
        <v>185</v>
      </c>
      <c r="AH186" s="333"/>
    </row>
    <row r="187" spans="1:34" s="7" customFormat="1" x14ac:dyDescent="0.85">
      <c r="A187" s="574"/>
      <c r="B187" s="298" t="s">
        <v>700</v>
      </c>
      <c r="C187" s="136" t="s">
        <v>322</v>
      </c>
      <c r="D187" s="163"/>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37">
        <f t="shared" si="95"/>
        <v>0</v>
      </c>
      <c r="AC187" s="85" t="str">
        <f>CONCATENATE(IF(D187&gt;D185," * F05-14 for Age "&amp;D20&amp;" "&amp;D21&amp;" is more than F05-12"&amp;CHAR(10),""),IF(E187&gt;E185," * F05-14 for Age "&amp;D20&amp;" "&amp;E21&amp;" is more than F05-12"&amp;CHAR(10),""),IF(F187&gt;F185," * F05-14 for Age "&amp;F20&amp;" "&amp;F21&amp;" is more than F05-12"&amp;CHAR(10),""),IF(G187&gt;G185," * F05-14 for Age "&amp;F20&amp;" "&amp;G21&amp;" is more than F05-12"&amp;CHAR(10),""),IF(H187&gt;H185," * F05-14 for Age "&amp;H20&amp;" "&amp;H21&amp;" is more than F05-12"&amp;CHAR(10),""),IF(I187&gt;I185," * F05-14 for Age "&amp;H20&amp;" "&amp;I21&amp;" is more than F05-12"&amp;CHAR(10),""),IF(J187&gt;J185," * F05-14 for Age "&amp;J20&amp;" "&amp;J21&amp;" is more than F05-12"&amp;CHAR(10),""),IF(K187&gt;K185," * F05-14 for Age "&amp;J20&amp;" "&amp;K21&amp;" is more than F05-12"&amp;CHAR(10),""),IF(L187&gt;L185," * F05-14 for Age "&amp;L20&amp;" "&amp;L21&amp;" is more than F05-12"&amp;CHAR(10),""),IF(M187&gt;M185," * F05-14 for Age "&amp;L20&amp;" "&amp;M21&amp;" is more than F05-12"&amp;CHAR(10),""),IF(N187&gt;N185," * F05-14 for Age "&amp;N20&amp;" "&amp;N21&amp;" is more than F05-12"&amp;CHAR(10),""),IF(O187&gt;O185," * F05-14 for Age "&amp;N20&amp;" "&amp;O21&amp;" is more than F05-12"&amp;CHAR(10),""),IF(P187&gt;P185," * F05-14 for Age "&amp;P20&amp;" "&amp;P21&amp;" is more than F05-12"&amp;CHAR(10),""),IF(Q187&gt;Q185," * F05-14 for Age "&amp;P20&amp;" "&amp;Q21&amp;" is more than F05-12"&amp;CHAR(10),""),IF(R187&gt;R185," * F05-14 for Age "&amp;R20&amp;" "&amp;R21&amp;" is more than F05-12"&amp;CHAR(10),""),IF(S187&gt;S185," * F05-14 for Age "&amp;R20&amp;" "&amp;S21&amp;" is more than F05-12"&amp;CHAR(10),""),IF(T187&gt;T185," * F05-14 for Age "&amp;T20&amp;" "&amp;T21&amp;" is more than F05-12"&amp;CHAR(10),""),IF(U187&gt;U185," * F05-14 for Age "&amp;T20&amp;" "&amp;U21&amp;" is more than F05-12"&amp;CHAR(10),""),IF(V187&gt;V185," * F05-14 for Age "&amp;V20&amp;" "&amp;V21&amp;" is more than F05-12"&amp;CHAR(10),""),IF(W187&gt;W185," * F05-14 for Age "&amp;V20&amp;" "&amp;W21&amp;" is more than F05-12"&amp;CHAR(10),""),IF(X187&gt;X185," * F05-14 for Age "&amp;X20&amp;" "&amp;X21&amp;" is more than F05-12"&amp;CHAR(10),""),IF(Y187&gt;Y185," * F05-14 for Age "&amp;X20&amp;" "&amp;Y21&amp;" is more than F05-12"&amp;CHAR(10),""),IF(Z187&gt;Z185," * F05-14 for Age "&amp;Z20&amp;" "&amp;Z21&amp;" is more than F05-12"&amp;CHAR(10),""),IF(AA187&gt;AA185," * F05-14 for Age "&amp;Z20&amp;" "&amp;AA21&amp;" is more than F05-12"&amp;CHAR(10),""),IF(AB187&gt;AB185," * Total F05-14 is more than Total F05-12"&amp;CHAR(10),""))</f>
        <v/>
      </c>
      <c r="AD187" s="765"/>
      <c r="AE187" s="83"/>
      <c r="AF187" s="632"/>
      <c r="AG187" s="439">
        <v>186</v>
      </c>
      <c r="AH187" s="333"/>
    </row>
    <row r="188" spans="1:34" s="7" customFormat="1" ht="31.3" thickBot="1" x14ac:dyDescent="0.9">
      <c r="A188" s="776"/>
      <c r="B188" s="291" t="s">
        <v>701</v>
      </c>
      <c r="C188" s="138" t="s">
        <v>323</v>
      </c>
      <c r="D188" s="278"/>
      <c r="E188" s="246"/>
      <c r="F188" s="246"/>
      <c r="G188" s="246"/>
      <c r="H188" s="246"/>
      <c r="I188" s="246"/>
      <c r="J188" s="246"/>
      <c r="K188" s="232"/>
      <c r="L188" s="246"/>
      <c r="M188" s="232"/>
      <c r="N188" s="246"/>
      <c r="O188" s="232"/>
      <c r="P188" s="246"/>
      <c r="Q188" s="232"/>
      <c r="R188" s="246"/>
      <c r="S188" s="232"/>
      <c r="T188" s="246"/>
      <c r="U188" s="232"/>
      <c r="V188" s="246"/>
      <c r="W188" s="232"/>
      <c r="X188" s="246"/>
      <c r="Y188" s="232"/>
      <c r="Z188" s="246"/>
      <c r="AA188" s="232"/>
      <c r="AB188" s="91">
        <f t="shared" si="95"/>
        <v>0</v>
      </c>
      <c r="AC188" s="194" t="str">
        <f>CONCATENATE(IF(D188&gt;D185," * F05-15 for Age "&amp;D20&amp;" "&amp;D21&amp;" is more than F05-12"&amp;CHAR(10),""),IF(E188&gt;E185," * F05-15 for Age "&amp;D20&amp;" "&amp;E21&amp;" is more than F05-12"&amp;CHAR(10),""),IF(F188&gt;F185," * F05-15 for Age "&amp;F20&amp;" "&amp;F21&amp;" is more than F05-12"&amp;CHAR(10),""),IF(G188&gt;G185," * F05-15 for Age "&amp;F20&amp;" "&amp;G21&amp;" is more than F05-12"&amp;CHAR(10),""),IF(H188&gt;H185," * F05-15 for Age "&amp;H20&amp;" "&amp;H21&amp;" is more than F05-12"&amp;CHAR(10),""),IF(I188&gt;I185," * F05-15 for Age "&amp;H20&amp;" "&amp;I21&amp;" is more than F05-12"&amp;CHAR(10),""),IF(J188&gt;J185," * F05-15 for Age "&amp;J20&amp;" "&amp;J21&amp;" is more than F05-12"&amp;CHAR(10),""),IF(K188&gt;K185," * F05-15 for Age "&amp;J20&amp;" "&amp;K21&amp;" is more than F05-12"&amp;CHAR(10),""),IF(L188&gt;L185," * F05-15 for Age "&amp;L20&amp;" "&amp;L21&amp;" is more than F05-12"&amp;CHAR(10),""),IF(M188&gt;M185," * F05-15 for Age "&amp;L20&amp;" "&amp;M21&amp;" is more than F05-12"&amp;CHAR(10),""),IF(N188&gt;N185," * F05-15 for Age "&amp;N20&amp;" "&amp;N21&amp;" is more than F05-12"&amp;CHAR(10),""),IF(O188&gt;O185," * F05-15 for Age "&amp;N20&amp;" "&amp;O21&amp;" is more than F05-12"&amp;CHAR(10),""),IF(P188&gt;P185," * F05-15 for Age "&amp;P20&amp;" "&amp;P21&amp;" is more than F05-12"&amp;CHAR(10),""),IF(Q188&gt;Q185," * F05-15 for Age "&amp;P20&amp;" "&amp;Q21&amp;" is more than F05-12"&amp;CHAR(10),""),IF(R188&gt;R185," * F05-15 for Age "&amp;R20&amp;" "&amp;R21&amp;" is more than F05-12"&amp;CHAR(10),""),IF(S188&gt;S185," * F05-15 for Age "&amp;R20&amp;" "&amp;S21&amp;" is more than F05-12"&amp;CHAR(10),""),IF(T188&gt;T185," * F05-15 for Age "&amp;T20&amp;" "&amp;T21&amp;" is more than F05-12"&amp;CHAR(10),""),IF(U188&gt;U185," * F05-15 for Age "&amp;T20&amp;" "&amp;U21&amp;" is more than F05-12"&amp;CHAR(10),""),IF(V188&gt;V185," * F05-15 for Age "&amp;V20&amp;" "&amp;V21&amp;" is more than F05-12"&amp;CHAR(10),""),IF(W188&gt;W185," * F05-15 for Age "&amp;V20&amp;" "&amp;W21&amp;" is more than F05-12"&amp;CHAR(10),""),IF(X188&gt;X185," * F05-15 for Age "&amp;X20&amp;" "&amp;X21&amp;" is more than F05-12"&amp;CHAR(10),""),IF(Y188&gt;Y185," * F05-15 for Age "&amp;X20&amp;" "&amp;Y21&amp;" is more than F05-12"&amp;CHAR(10),""),IF(Z188&gt;Z185," * F05-15 for Age "&amp;Z20&amp;" "&amp;Z21&amp;" is more than F05-12"&amp;CHAR(10),""),IF(AA188&gt;AA185," * F05-15 for Age "&amp;Z20&amp;" "&amp;AA21&amp;" is more than F05-12"&amp;CHAR(10),""),IF(AB188&gt;AB185," * Total F05-12 is more than Total F05-12"&amp;CHAR(10),""))</f>
        <v/>
      </c>
      <c r="AD188" s="766"/>
      <c r="AE188" s="97"/>
      <c r="AF188" s="633"/>
      <c r="AG188" s="439">
        <v>187</v>
      </c>
      <c r="AH188" s="333"/>
    </row>
    <row r="189" spans="1:34" ht="35.15" thickBot="1" x14ac:dyDescent="0.9">
      <c r="A189" s="578" t="s">
        <v>130</v>
      </c>
      <c r="B189" s="579"/>
      <c r="C189" s="579"/>
      <c r="D189" s="579"/>
      <c r="E189" s="579"/>
      <c r="F189" s="579"/>
      <c r="G189" s="579"/>
      <c r="H189" s="579"/>
      <c r="I189" s="579"/>
      <c r="J189" s="579"/>
      <c r="K189" s="579"/>
      <c r="L189" s="579"/>
      <c r="M189" s="579"/>
      <c r="N189" s="579"/>
      <c r="O189" s="579"/>
      <c r="P189" s="579"/>
      <c r="Q189" s="579"/>
      <c r="R189" s="579"/>
      <c r="S189" s="579"/>
      <c r="T189" s="579"/>
      <c r="U189" s="579"/>
      <c r="V189" s="579"/>
      <c r="W189" s="579"/>
      <c r="X189" s="579"/>
      <c r="Y189" s="579"/>
      <c r="Z189" s="579"/>
      <c r="AA189" s="579"/>
      <c r="AB189" s="579"/>
      <c r="AC189" s="579"/>
      <c r="AD189" s="579"/>
      <c r="AE189" s="579"/>
      <c r="AF189" s="580"/>
      <c r="AG189" s="439">
        <v>188</v>
      </c>
    </row>
    <row r="190" spans="1:34" ht="26.25" customHeight="1" x14ac:dyDescent="0.85">
      <c r="A190" s="588" t="s">
        <v>37</v>
      </c>
      <c r="B190" s="590" t="s">
        <v>347</v>
      </c>
      <c r="C190" s="666" t="s">
        <v>328</v>
      </c>
      <c r="D190" s="603" t="s">
        <v>0</v>
      </c>
      <c r="E190" s="602"/>
      <c r="F190" s="602" t="s">
        <v>1</v>
      </c>
      <c r="G190" s="602"/>
      <c r="H190" s="602" t="s">
        <v>2</v>
      </c>
      <c r="I190" s="602"/>
      <c r="J190" s="602" t="s">
        <v>3</v>
      </c>
      <c r="K190" s="602"/>
      <c r="L190" s="602" t="s">
        <v>4</v>
      </c>
      <c r="M190" s="602"/>
      <c r="N190" s="602" t="s">
        <v>5</v>
      </c>
      <c r="O190" s="602"/>
      <c r="P190" s="602" t="s">
        <v>6</v>
      </c>
      <c r="Q190" s="602"/>
      <c r="R190" s="602" t="s">
        <v>7</v>
      </c>
      <c r="S190" s="602"/>
      <c r="T190" s="602" t="s">
        <v>8</v>
      </c>
      <c r="U190" s="602"/>
      <c r="V190" s="602" t="s">
        <v>23</v>
      </c>
      <c r="W190" s="602"/>
      <c r="X190" s="602" t="s">
        <v>24</v>
      </c>
      <c r="Y190" s="602"/>
      <c r="Z190" s="602" t="s">
        <v>9</v>
      </c>
      <c r="AA190" s="602"/>
      <c r="AB190" s="649" t="s">
        <v>19</v>
      </c>
      <c r="AC190" s="637" t="s">
        <v>381</v>
      </c>
      <c r="AD190" s="583" t="s">
        <v>387</v>
      </c>
      <c r="AE190" s="582" t="s">
        <v>388</v>
      </c>
      <c r="AF190" s="630" t="s">
        <v>388</v>
      </c>
      <c r="AG190" s="439">
        <v>189</v>
      </c>
    </row>
    <row r="191" spans="1:34" ht="27" customHeight="1" thickBot="1" x14ac:dyDescent="0.9">
      <c r="A191" s="589"/>
      <c r="B191" s="591"/>
      <c r="C191" s="667"/>
      <c r="D191" s="116" t="s">
        <v>10</v>
      </c>
      <c r="E191" s="81" t="s">
        <v>11</v>
      </c>
      <c r="F191" s="81" t="s">
        <v>10</v>
      </c>
      <c r="G191" s="81" t="s">
        <v>11</v>
      </c>
      <c r="H191" s="81" t="s">
        <v>10</v>
      </c>
      <c r="I191" s="81" t="s">
        <v>11</v>
      </c>
      <c r="J191" s="81" t="s">
        <v>10</v>
      </c>
      <c r="K191" s="81" t="s">
        <v>11</v>
      </c>
      <c r="L191" s="81" t="s">
        <v>10</v>
      </c>
      <c r="M191" s="81" t="s">
        <v>11</v>
      </c>
      <c r="N191" s="81" t="s">
        <v>10</v>
      </c>
      <c r="O191" s="81" t="s">
        <v>11</v>
      </c>
      <c r="P191" s="81" t="s">
        <v>10</v>
      </c>
      <c r="Q191" s="81" t="s">
        <v>11</v>
      </c>
      <c r="R191" s="81" t="s">
        <v>10</v>
      </c>
      <c r="S191" s="81" t="s">
        <v>11</v>
      </c>
      <c r="T191" s="81" t="s">
        <v>10</v>
      </c>
      <c r="U191" s="81" t="s">
        <v>11</v>
      </c>
      <c r="V191" s="81" t="s">
        <v>10</v>
      </c>
      <c r="W191" s="81" t="s">
        <v>11</v>
      </c>
      <c r="X191" s="81" t="s">
        <v>10</v>
      </c>
      <c r="Y191" s="81" t="s">
        <v>11</v>
      </c>
      <c r="Z191" s="81" t="s">
        <v>10</v>
      </c>
      <c r="AA191" s="81" t="s">
        <v>11</v>
      </c>
      <c r="AB191" s="650"/>
      <c r="AC191" s="638"/>
      <c r="AD191" s="584"/>
      <c r="AE191" s="582"/>
      <c r="AF191" s="577"/>
      <c r="AG191" s="439">
        <v>190</v>
      </c>
    </row>
    <row r="192" spans="1:34" ht="31.2" customHeight="1" x14ac:dyDescent="0.85">
      <c r="A192" s="626" t="s">
        <v>115</v>
      </c>
      <c r="B192" s="301" t="s">
        <v>702</v>
      </c>
      <c r="C192" s="165" t="s">
        <v>369</v>
      </c>
      <c r="D192" s="126"/>
      <c r="E192" s="32"/>
      <c r="F192" s="32"/>
      <c r="G192" s="32"/>
      <c r="H192" s="32"/>
      <c r="I192" s="32"/>
      <c r="J192" s="32"/>
      <c r="K192" s="33"/>
      <c r="L192" s="32"/>
      <c r="M192" s="33"/>
      <c r="N192" s="32"/>
      <c r="O192" s="33"/>
      <c r="P192" s="32"/>
      <c r="Q192" s="33"/>
      <c r="R192" s="32"/>
      <c r="S192" s="33"/>
      <c r="T192" s="32"/>
      <c r="U192" s="33"/>
      <c r="V192" s="32"/>
      <c r="W192" s="33"/>
      <c r="X192" s="32"/>
      <c r="Y192" s="33"/>
      <c r="Z192" s="32"/>
      <c r="AA192" s="32"/>
      <c r="AB192" s="105">
        <f>SUM(D192:AA192)</f>
        <v>0</v>
      </c>
      <c r="AC192" s="102" t="str">
        <f>CONCATENATE(IF(D192&lt;SUM(D193,D194)," * Sum of (KP at ANC1 and initial test at ANC1) for Age "&amp;D20&amp;" "&amp;D21&amp;" is more than New 1st ANC Clients"&amp;CHAR(10),""),IF(E192&lt;SUM(E193,E194,E134)," * Sum of (KP at ANC1 and initial test at ANC1) for Age "&amp;D20&amp;" "&amp;E21&amp;" is more than New 1st ANC Clients"&amp;CHAR(10),""),IF(F192&lt;SUM(F193,F194)," * Sum of (KP at ANC1 and initial test at ANC1) for Age "&amp;F20&amp;" "&amp;F21&amp;" is more than New 1st ANC Clients"&amp;CHAR(10),""),IF(G192&lt;SUM(G193,G194,G134)," * Sum of (KP at ANC1 and initial test at ANC1) for Age "&amp;F20&amp;" "&amp;G21&amp;" is more than New 1st ANC Clients"&amp;CHAR(10),""),IF(H192&lt;SUM(H193,H194)," * Sum of (KP at ANC1 and initial test at ANC1) for Age "&amp;H20&amp;" "&amp;H21&amp;" is more than New 1st ANC Clients"&amp;CHAR(10),""),IF(I192&lt;SUM(I193,I194,I134)," * Sum of (KP at ANC1 and initial test at ANC1) for Age "&amp;H20&amp;" "&amp;I21&amp;" is more than New 1st ANC Clients"&amp;CHAR(10),""),IF(J192&lt;SUM(J193,J194)," * Sum of (KP at ANC1 and initial test at ANC1) for Age "&amp;J20&amp;" "&amp;J21&amp;" is more than New 1st ANC Clients"&amp;CHAR(10),""),IF(K192&lt;SUM(K193,K194,K134)," * Sum of (KP at ANC1 and initial test at ANC1) for Age "&amp;J20&amp;" "&amp;K21&amp;" is more than New 1st ANC Clients"&amp;CHAR(10),""),IF(L192&lt;SUM(L193,L194)," * Sum of (KP at ANC1 and initial test at ANC1) for Age "&amp;L20&amp;" "&amp;L21&amp;" is more than New 1st ANC Clients"&amp;CHAR(10),""),IF(M192&lt;SUM(M193,M194,M134)," * Sum of (KP at ANC1 and initial test at ANC1) for Age "&amp;L20&amp;" "&amp;M21&amp;" is more than New 1st ANC Clients"&amp;CHAR(10),""),IF(N192&lt;SUM(N193,N194)," * Sum of (KP at ANC1 and initial test at ANC1) for Age "&amp;N20&amp;" "&amp;N21&amp;" is more than New 1st ANC Clients"&amp;CHAR(10),""),IF(O192&lt;SUM(O193,O194,O134)," * Sum of (KP at ANC1 and initial test at ANC1) for Age "&amp;N20&amp;" "&amp;O21&amp;" is more than New 1st ANC Clients"&amp;CHAR(10),""),IF(P192&lt;SUM(P193,P194)," * Sum of (KP at ANC1 and initial test at ANC1) for Age "&amp;P20&amp;" "&amp;P21&amp;" is more than New 1st ANC Clients"&amp;CHAR(10),""),IF(Q192&lt;SUM(Q193,Q194,Q134)," * Sum of (KP at ANC1 and initial test at ANC1) for Age "&amp;P20&amp;" "&amp;Q21&amp;" is more than New 1st ANC Clients"&amp;CHAR(10),""),IF(R192&lt;SUM(R193,R194)," * Sum of (KP at ANC1 and initial test at ANC1) for Age "&amp;R20&amp;" "&amp;R21&amp;" is more than New 1st ANC Clients"&amp;CHAR(10),""),IF(S192&lt;SUM(S193,S194,S134)," * Sum of (KP at ANC1 and initial test at ANC1) for Age "&amp;R20&amp;" "&amp;S21&amp;" is more than New 1st ANC Clients"&amp;CHAR(10),""),IF(T192&lt;SUM(T193,T194)," * Sum of (KP at ANC1 and initial test at ANC1) for Age "&amp;T20&amp;" "&amp;T21&amp;" is more than New 1st ANC Clients"&amp;CHAR(10),""),IF(U192&lt;SUM(U193,U194,U134)," * Sum of (KP at ANC1 and initial test at ANC1) for Age "&amp;T20&amp;" "&amp;U21&amp;" is more than New 1st ANC Clients"&amp;CHAR(10),""),IF(V192&lt;SUM(V193,V194)," * Sum of (KP at ANC1 and initial test at ANC1) for Age "&amp;V20&amp;" "&amp;V21&amp;" is more than New 1st ANC Clients"&amp;CHAR(10),""),IF(W192&lt;SUM(W193,W194,W134)," * Sum of (KP at ANC1 and initial test at ANC1) for Age "&amp;V20&amp;" "&amp;W21&amp;" is more than New 1st ANC Clients"&amp;CHAR(10),""),IF(X192&lt;SUM(X193,X194)," * Sum of (KP at ANC1 and initial test at ANC1) for Age "&amp;X20&amp;" "&amp;X21&amp;" is more than New 1st ANC Clients"&amp;CHAR(10),""),IF(Y192&lt;SUM(Y193,Y194,Y134)," * Sum of (KP at ANC1 and initial test at ANC1) for Age "&amp;X20&amp;" "&amp;Y21&amp;" is more than New 1st ANC Clients"&amp;CHAR(10),""),IF(Z192&lt;SUM(Z193,Z194)," * Sum of (KP at ANC1 and initial test at ANC1) for Age "&amp;Z20&amp;" "&amp;Z21&amp;" is more than New 1st ANC Clients"&amp;CHAR(10),""),IF(AA192&lt;SUM(AA193,AA194,AA134)," * Sum of (KP at ANC1 and initial test at ANC1) for Age "&amp;Z20&amp;" "&amp;AA21&amp;" is more than New 1st ANC Clients"&amp;CHAR(10),""),IF(AB192&lt;SUM(AB193,AB194)," * Total Sum of (KP at ANC1 and initial test at ANC1) is more than New 1st ANC Clients"&amp;CHAR(10),""))</f>
        <v/>
      </c>
      <c r="AD192" s="771" t="str">
        <f>CONCATENATE(AC192,AC193,AC194,AC195,AC198,AC202,AC206,AC212,AC205,AC204,AC196,AC197,AC201,AC208,AC209,AC210,AC211)</f>
        <v/>
      </c>
      <c r="AE192" s="106"/>
      <c r="AF192" s="769" t="str">
        <f>CONCATENATE(AE192,AE193,AE194,AE195,AE198,AE199,AE202,AE203,AE206,AE207,AE212,AE213,AE196,AE197,AE200,AE201,AE204,AE205,AE208,AE209,AE210,AE211)</f>
        <v/>
      </c>
      <c r="AG192" s="439">
        <v>191</v>
      </c>
    </row>
    <row r="193" spans="1:34" ht="31.2" customHeight="1" x14ac:dyDescent="0.85">
      <c r="A193" s="608"/>
      <c r="B193" s="302" t="s">
        <v>703</v>
      </c>
      <c r="C193" s="166" t="s">
        <v>276</v>
      </c>
      <c r="D193" s="127"/>
      <c r="E193" s="18"/>
      <c r="F193" s="18"/>
      <c r="G193" s="18"/>
      <c r="H193" s="18"/>
      <c r="I193" s="18"/>
      <c r="J193" s="18"/>
      <c r="K193" s="201"/>
      <c r="L193" s="203"/>
      <c r="M193" s="201"/>
      <c r="N193" s="203"/>
      <c r="O193" s="201"/>
      <c r="P193" s="203"/>
      <c r="Q193" s="201"/>
      <c r="R193" s="203"/>
      <c r="S193" s="201"/>
      <c r="T193" s="203"/>
      <c r="U193" s="201"/>
      <c r="V193" s="203"/>
      <c r="W193" s="201"/>
      <c r="X193" s="203"/>
      <c r="Y193" s="201"/>
      <c r="Z193" s="18"/>
      <c r="AA193" s="18"/>
      <c r="AB193" s="59">
        <f t="shared" ref="AB193:AB221" si="96">SUM(D193:AA193)</f>
        <v>0</v>
      </c>
      <c r="AC193" s="85" t="str">
        <f>CONCATENATE(IF(D226&gt;D193," * ON HAART at 1st ANC for Age "&amp;D20&amp;" "&amp;D21&amp;" is more than KP at 1st ANC "&amp;CHAR(10),""),IF(E226&gt;E193," * ON HAART at 1st ANC for Age "&amp;D20&amp;" "&amp;E21&amp;" is more than KP at 1st ANC "&amp;CHAR(10),""),IF(F226&gt;F193," * ON HAART at 1st ANC for Age "&amp;F20&amp;" "&amp;F21&amp;" is more than KP at 1st ANC "&amp;CHAR(10),""),IF(G226&gt;G193," * ON HAART at 1st ANC for Age "&amp;F20&amp;" "&amp;G21&amp;" is more than KP at 1st ANC "&amp;CHAR(10),""),IF(H226&gt;H193," * ON HAART at 1st ANC for Age "&amp;H20&amp;" "&amp;H21&amp;" is more than KP at 1st ANC "&amp;CHAR(10),""),IF(I226&gt;I193," * ON HAART at 1st ANC for Age "&amp;H20&amp;" "&amp;I21&amp;" is more than KP at 1st ANC "&amp;CHAR(10),""),IF(J226&gt;J193," * ON HAART at 1st ANC for Age "&amp;J20&amp;" "&amp;J21&amp;" is more than KP at 1st ANC "&amp;CHAR(10),""),IF(K226&gt;K193," * ON HAART at 1st ANC for Age "&amp;J20&amp;" "&amp;K21&amp;" is more than KP at 1st ANC "&amp;CHAR(10),""),IF(L226&gt;L193," * ON HAART at 1st ANC for Age "&amp;L20&amp;" "&amp;L21&amp;" is more than KP at 1st ANC "&amp;CHAR(10),""),IF(M226&gt;M193," * ON HAART at 1st ANC for Age "&amp;L20&amp;" "&amp;M21&amp;" is more than KP at 1st ANC "&amp;CHAR(10),""),IF(N226&gt;N193," * ON HAART at 1st ANC for Age "&amp;N20&amp;" "&amp;N21&amp;" is more than KP at 1st ANC "&amp;CHAR(10),""),IF(O226&gt;O193," * ON HAART at 1st ANC for Age "&amp;N20&amp;" "&amp;O21&amp;" is more than KP at 1st ANC "&amp;CHAR(10),""),IF(P226&gt;P193," * ON HAART at 1st ANC for Age "&amp;P20&amp;" "&amp;P21&amp;" is more than KP at 1st ANC "&amp;CHAR(10),""),IF(Q226&gt;Q193," * ON HAART at 1st ANC for Age "&amp;P20&amp;" "&amp;Q21&amp;" is more than KP at 1st ANC "&amp;CHAR(10),""),IF(R226&gt;R193," * ON HAART at 1st ANC for Age "&amp;R20&amp;" "&amp;R21&amp;" is more than KP at 1st ANC "&amp;CHAR(10),""),IF(S226&gt;S193," * ON HAART at 1st ANC for Age "&amp;R20&amp;" "&amp;S21&amp;" is more than KP at 1st ANC "&amp;CHAR(10),""),IF(T226&gt;T193," * ON HAART at 1st ANC for Age "&amp;T20&amp;" "&amp;T21&amp;" is more than KP at 1st ANC "&amp;CHAR(10),""),IF(U226&gt;U193," * ON HAART at 1st ANC for Age "&amp;T20&amp;" "&amp;U21&amp;" is more than KP at 1st ANC "&amp;CHAR(10),""),IF(V226&gt;V193," * ON HAART at 1st ANC for Age "&amp;V20&amp;" "&amp;V21&amp;" is more than KP at 1st ANC "&amp;CHAR(10),""),IF(W226&gt;W193," * ON HAART at 1st ANC for Age "&amp;V20&amp;" "&amp;W21&amp;" is more than KP at 1st ANC "&amp;CHAR(10),""),IF(X226&gt;X193," * ON HAART at 1st ANC for Age "&amp;X20&amp;" "&amp;X21&amp;" is more than KP at 1st ANC "&amp;CHAR(10),""),IF(Y226&gt;Y193," * ON HAART at 1st ANC for Age "&amp;X20&amp;" "&amp;Y21&amp;" is more than KP at 1st ANC "&amp;CHAR(10),""),IF(Z226&gt;Z193," * ON HAART at 1st ANC for Age "&amp;Z20&amp;" "&amp;Z21&amp;" is more than KP at 1st ANC "&amp;CHAR(10),""),IF(AA226&gt;AA193," * ON HAART at 1st ANC for Age "&amp;Z20&amp;" "&amp;AA21&amp;" is more than KP at 1st ANC "&amp;CHAR(10),""))</f>
        <v/>
      </c>
      <c r="AD193" s="772"/>
      <c r="AE193" s="95" t="str">
        <f>CONCATENATE(IF(D192&gt;SUM(D193,D194)," * Sum of (KP at ANC1 and initial test at ANC1) for Age "&amp;D20&amp;" "&amp;D21&amp;" is less than New 1st ANC Clients"&amp;CHAR(10),""),IF(E192&gt;SUM(E193,E194,E134)," * Sum of (KP at ANC1 and initial test at ANC1) for Age "&amp;D20&amp;" "&amp;E21&amp;" is less than New 1st ANC Clients"&amp;CHAR(10),""),IF(F192&gt;SUM(F193,F194)," * Sum of (KP at ANC1 and initial test at ANC1) for Age "&amp;F20&amp;" "&amp;F21&amp;" is less than New 1st ANC Clients"&amp;CHAR(10),""),IF(G192&gt;SUM(G193,G194,G134)," * Sum of (KP at ANC1 and initial test at ANC1) for Age "&amp;F20&amp;" "&amp;G21&amp;" is less than New 1st ANC Clients"&amp;CHAR(10),""),IF(H192&gt;SUM(H193,H194)," * Sum of (KP at ANC1 and initial test at ANC1) for Age "&amp;H20&amp;" "&amp;H21&amp;" is less than New 1st ANC Clients"&amp;CHAR(10),""),IF(I192&gt;SUM(I193,I194,I134)," * Sum of (KP at ANC1 and initial test at ANC1) for Age "&amp;H20&amp;" "&amp;I21&amp;" is less than New 1st ANC Clients"&amp;CHAR(10),""),IF(J192&gt;SUM(J193,J194)," * Sum of (KP at ANC1 and initial test at ANC1) for Age "&amp;J20&amp;" "&amp;J21&amp;" is less than New 1st ANC Clients"&amp;CHAR(10),""),IF(K192&gt;SUM(K193,K194,K134)," * Sum of (KP at ANC1 and initial test at ANC1) for Age "&amp;J20&amp;" "&amp;K21&amp;" is less than New 1st ANC Clients"&amp;CHAR(10),""),IF(L192&gt;SUM(L193,L194)," * Sum of (KP at ANC1 and initial test at ANC1) for Age "&amp;L20&amp;" "&amp;L21&amp;" is less than New 1st ANC Clients"&amp;CHAR(10),""),IF(M192&gt;SUM(M193,M194,M134)," * Sum of (KP at ANC1 and initial test at ANC1) for Age "&amp;L20&amp;" "&amp;M21&amp;" is less than New 1st ANC Clients"&amp;CHAR(10),""),IF(N192&gt;SUM(N193,N194)," * Sum of (KP at ANC1 and initial test at ANC1) for Age "&amp;N20&amp;" "&amp;N21&amp;" is less than New 1st ANC Clients"&amp;CHAR(10),""),IF(O192&gt;SUM(O193,O194,O134)," * Sum of (KP at ANC1 and initial test at ANC1) for Age "&amp;N20&amp;" "&amp;O21&amp;" is less than New 1st ANC Clients"&amp;CHAR(10),""),IF(P192&gt;SUM(P193,P194)," * Sum of (KP at ANC1 and initial test at ANC1) for Age "&amp;P20&amp;" "&amp;P21&amp;" is less than New 1st ANC Clients"&amp;CHAR(10),""),IF(Q192&gt;SUM(Q193,Q194,Q134)," * Sum of (KP at ANC1 and initial test at ANC1) for Age "&amp;P20&amp;" "&amp;Q21&amp;" is less than New 1st ANC Clients"&amp;CHAR(10),""),IF(R192&gt;SUM(R193,R194)," * Sum of (KP at ANC1 and initial test at ANC1) for Age "&amp;R20&amp;" "&amp;R21&amp;" is less than New 1st ANC Clients"&amp;CHAR(10),""),IF(S192&gt;SUM(S193,S194,S134)," * Sum of (KP at ANC1 and initial test at ANC1) for Age "&amp;R20&amp;" "&amp;S21&amp;" is less than New 1st ANC Clients"&amp;CHAR(10),""),IF(T192&gt;SUM(T193,T194)," * Sum of (KP at ANC1 and initial test at ANC1) for Age "&amp;T20&amp;" "&amp;T21&amp;" is less than New 1st ANC Clients"&amp;CHAR(10),""),IF(U192&gt;SUM(U193,U194,U134)," * Sum of (KP at ANC1 and initial test at ANC1) for Age "&amp;T20&amp;" "&amp;U21&amp;" is less than New 1st ANC Clients"&amp;CHAR(10),""),IF(V192&gt;SUM(V193,V194)," * Sum of (KP at ANC1 and initial test at ANC1) for Age "&amp;V20&amp;" "&amp;V21&amp;" is less than New 1st ANC Clients"&amp;CHAR(10),""),IF(W192&gt;SUM(W193,W194,W134)," * Sum of (KP at ANC1 and initial test at ANC1) for Age "&amp;V20&amp;" "&amp;W21&amp;" is less than New 1st ANC Clients"&amp;CHAR(10),""),IF(X192&gt;SUM(X193,X194)," * Sum of (KP at ANC1 and initial test at ANC1) for Age "&amp;X20&amp;" "&amp;X21&amp;" is less than New 1st ANC Clients"&amp;CHAR(10),""),IF(Y192&gt;SUM(Y193,Y194,Y134)," * Sum of (KP at ANC1 and initial test at ANC1) for Age "&amp;X20&amp;" "&amp;Y21&amp;" is less than New 1st ANC Clients"&amp;CHAR(10),""),IF(Z192&gt;SUM(Z193,Z194)," * Sum of (KP at ANC1 and initial test at ANC1) for Age "&amp;Z20&amp;" "&amp;Z21&amp;" is less than New 1st ANC Clients"&amp;CHAR(10),""),IF(AA192&gt;SUM(AA193,AA194,AA134)," * Sum of (KP at ANC1 and initial test at ANC1) for Age "&amp;Z20&amp;" "&amp;AA21&amp;" is less than New 1st ANC Clients"&amp;CHAR(10),""))</f>
        <v/>
      </c>
      <c r="AF193" s="621"/>
      <c r="AG193" s="439">
        <v>192</v>
      </c>
    </row>
    <row r="194" spans="1:34" x14ac:dyDescent="0.85">
      <c r="A194" s="608"/>
      <c r="B194" s="303" t="s">
        <v>704</v>
      </c>
      <c r="C194" s="136" t="s">
        <v>277</v>
      </c>
      <c r="D194" s="127"/>
      <c r="E194" s="18"/>
      <c r="F194" s="18"/>
      <c r="G194" s="18"/>
      <c r="H194" s="18"/>
      <c r="I194" s="18"/>
      <c r="J194" s="18"/>
      <c r="K194" s="19"/>
      <c r="L194" s="18"/>
      <c r="M194" s="19"/>
      <c r="N194" s="18"/>
      <c r="O194" s="19"/>
      <c r="P194" s="18"/>
      <c r="Q194" s="19"/>
      <c r="R194" s="18"/>
      <c r="S194" s="19"/>
      <c r="T194" s="18"/>
      <c r="U194" s="19"/>
      <c r="V194" s="18"/>
      <c r="W194" s="19"/>
      <c r="X194" s="18"/>
      <c r="Y194" s="19"/>
      <c r="Z194" s="18"/>
      <c r="AA194" s="18"/>
      <c r="AB194" s="59">
        <f t="shared" si="96"/>
        <v>0</v>
      </c>
      <c r="AC194" s="85" t="str">
        <f>CONCATENATE(IF(D194&gt;D192," * F06-03 for Age "&amp;D20&amp;" "&amp;D21&amp;" is more than F06-01"&amp;CHAR(10),""),IF(E194&gt;E192," * F06-03 for Age "&amp;D20&amp;" "&amp;E21&amp;" is more than F06-01"&amp;CHAR(10),""),IF(F194&gt;F192," * F06-03 for Age "&amp;F20&amp;" "&amp;F21&amp;" is more than F06-01"&amp;CHAR(10),""),IF(G194&gt;G192," * F06-03 for Age "&amp;F20&amp;" "&amp;G21&amp;" is more than F06-01"&amp;CHAR(10),""),IF(H194&gt;H192," * F06-03 for Age "&amp;H20&amp;" "&amp;H21&amp;" is more than F06-01"&amp;CHAR(10),""),IF(I194&gt;I192," * F06-03 for Age "&amp;H20&amp;" "&amp;I21&amp;" is more than F06-01"&amp;CHAR(10),""),IF(J194&gt;J192," * F06-03 for Age "&amp;J20&amp;" "&amp;J21&amp;" is more than F06-01"&amp;CHAR(10),""),IF(K194&gt;K192," * F06-03 for Age "&amp;J20&amp;" "&amp;K21&amp;" is more than F06-01"&amp;CHAR(10),""),IF(L194&gt;L192," * F06-03 for Age "&amp;L20&amp;" "&amp;L21&amp;" is more than F06-01"&amp;CHAR(10),""),IF(M194&gt;M192," * F06-03 for Age "&amp;L20&amp;" "&amp;M21&amp;" is more than F06-01"&amp;CHAR(10),""),IF(N194&gt;N192," * F06-03 for Age "&amp;N20&amp;" "&amp;N21&amp;" is more than F06-01"&amp;CHAR(10),""),IF(O194&gt;O192," * F06-03 for Age "&amp;N20&amp;" "&amp;O21&amp;" is more than F06-01"&amp;CHAR(10),""),IF(P194&gt;P192," * F06-03 for Age "&amp;P20&amp;" "&amp;P21&amp;" is more than F06-01"&amp;CHAR(10),""),IF(Q194&gt;Q192," * F06-03 for Age "&amp;P20&amp;" "&amp;Q21&amp;" is more than F06-01"&amp;CHAR(10),""),IF(R194&gt;R192," * F06-03 for Age "&amp;R20&amp;" "&amp;R21&amp;" is more than F06-01"&amp;CHAR(10),""),IF(S194&gt;S192," * F06-03 for Age "&amp;R20&amp;" "&amp;S21&amp;" is more than F06-01"&amp;CHAR(10),""),IF(T194&gt;T192," * F06-03 for Age "&amp;T20&amp;" "&amp;T21&amp;" is more than F06-01"&amp;CHAR(10),""),IF(U194&gt;U192," * F06-03 for Age "&amp;T20&amp;" "&amp;U21&amp;" is more than F06-01"&amp;CHAR(10),""),IF(V194&gt;V192," * F06-03 for Age "&amp;V20&amp;" "&amp;V21&amp;" is more than F06-01"&amp;CHAR(10),""),IF(W194&gt;W192," * F06-03 for Age "&amp;V20&amp;" "&amp;W21&amp;" is more than F06-01"&amp;CHAR(10),""),IF(X194&gt;X192," * F06-03 for Age "&amp;X20&amp;" "&amp;X21&amp;" is more than F06-01"&amp;CHAR(10),""),IF(Y194&gt;Y192," * F06-03 for Age "&amp;X20&amp;" "&amp;Y21&amp;" is more than F06-01"&amp;CHAR(10),""),IF(Z194&gt;Z192," * F06-03 for Age "&amp;Z20&amp;" "&amp;Z21&amp;" is more than F06-01"&amp;CHAR(10),""),IF(AA194&gt;AA192," * F06-03 for Age "&amp;Z20&amp;" "&amp;AA21&amp;" is more than F06-01"&amp;CHAR(10),""),IF(AB194&gt;AB192," * Total F06-03 is more than Total F06-01"&amp;CHAR(10),""))</f>
        <v/>
      </c>
      <c r="AD194" s="772"/>
      <c r="AE194" s="83"/>
      <c r="AF194" s="621"/>
      <c r="AG194" s="439">
        <v>193</v>
      </c>
    </row>
    <row r="195" spans="1:34" ht="31.75" x14ac:dyDescent="0.85">
      <c r="A195" s="608"/>
      <c r="B195" s="327" t="s">
        <v>705</v>
      </c>
      <c r="C195" s="166" t="s">
        <v>370</v>
      </c>
      <c r="D195" s="127"/>
      <c r="E195" s="18"/>
      <c r="F195" s="18"/>
      <c r="G195" s="18"/>
      <c r="H195" s="18"/>
      <c r="I195" s="18"/>
      <c r="J195" s="18"/>
      <c r="K195" s="201"/>
      <c r="L195" s="18"/>
      <c r="M195" s="201"/>
      <c r="N195" s="18"/>
      <c r="O195" s="201"/>
      <c r="P195" s="18"/>
      <c r="Q195" s="201"/>
      <c r="R195" s="18"/>
      <c r="S195" s="201"/>
      <c r="T195" s="18"/>
      <c r="U195" s="201"/>
      <c r="V195" s="18"/>
      <c r="W195" s="201"/>
      <c r="X195" s="18"/>
      <c r="Y195" s="201"/>
      <c r="Z195" s="18"/>
      <c r="AA195" s="18"/>
      <c r="AB195" s="59">
        <f t="shared" si="96"/>
        <v>0</v>
      </c>
      <c r="AC195" s="85" t="str">
        <f>CONCATENATE(IF(D195&gt;D194," * New positive at ANC1 for Age "&amp;D20&amp;" "&amp;D21&amp;" is more than initial test at ANC1"&amp;CHAR(10),""),IF(E195&gt;E194," * New positive at ANC1 for Age "&amp;D20&amp;" "&amp;E21&amp;" is more than initial test at ANC1"&amp;CHAR(10),""),IF(F195&gt;F194," * New positive at ANC1 for Age "&amp;F20&amp;" "&amp;F21&amp;" is more than initial test at ANC1"&amp;CHAR(10),""),IF(G195&gt;G194," * New positive at ANC1 for Age "&amp;F20&amp;" "&amp;G21&amp;" is more than initial test at ANC1"&amp;CHAR(10),""),IF(H195&gt;H194," * New positive at ANC1 for Age "&amp;H20&amp;" "&amp;H21&amp;" is more than initial test at ANC1"&amp;CHAR(10),""),IF(I195&gt;I194," * New positive at ANC1 for Age "&amp;H20&amp;" "&amp;I21&amp;" is more than initial test at ANC1"&amp;CHAR(10),""),IF(J195&gt;J194," * New positive at ANC1 for Age "&amp;J20&amp;" "&amp;J21&amp;" is more than initial test at ANC1"&amp;CHAR(10),""),IF(K195&gt;K194," * New positive at ANC1 for Age "&amp;J20&amp;" "&amp;K21&amp;" is more than initial test at ANC1"&amp;CHAR(10),""),IF(L195&gt;L194," * New positive at ANC1 for Age "&amp;L20&amp;" "&amp;L21&amp;" is more than initial test at ANC1"&amp;CHAR(10),""),IF(M195&gt;M194," * New positive at ANC1 for Age "&amp;L20&amp;" "&amp;M21&amp;" is more than initial test at ANC1"&amp;CHAR(10),""),IF(N195&gt;N194," * New positive at ANC1 for Age "&amp;N20&amp;" "&amp;N21&amp;" is more than initial test at ANC1"&amp;CHAR(10),""),IF(O195&gt;O194," * New positive at ANC1 for Age "&amp;N20&amp;" "&amp;O21&amp;" is more than initial test at ANC1"&amp;CHAR(10),""),IF(P195&gt;P194," * New positive at ANC1 for Age "&amp;P20&amp;" "&amp;P21&amp;" is more than initial test at ANC1"&amp;CHAR(10),""),IF(Q195&gt;Q194," * New positive at ANC1 for Age "&amp;P20&amp;" "&amp;Q21&amp;" is more than initial test at ANC1"&amp;CHAR(10),""),IF(R195&gt;R194," * New positive at ANC1 for Age "&amp;R20&amp;" "&amp;R21&amp;" is more than initial test at ANC1"&amp;CHAR(10),""),IF(S195&gt;S194," * New positive at ANC1 for Age "&amp;R20&amp;" "&amp;S21&amp;" is more than initial test at ANC1"&amp;CHAR(10),""),IF(T195&gt;T194," * New positive at ANC1 for Age "&amp;T20&amp;" "&amp;T21&amp;" is more than initial test at ANC1"&amp;CHAR(10),""),IF(U195&gt;U194," * New positive at ANC1 for Age "&amp;T20&amp;" "&amp;U21&amp;" is more than initial test at ANC1"&amp;CHAR(10),""),IF(V195&gt;V194," * New positive at ANC1 for Age "&amp;V20&amp;" "&amp;V21&amp;" is more than initial test at ANC1"&amp;CHAR(10),""),IF(W195&gt;W194," * New positive at ANC1 for Age "&amp;V20&amp;" "&amp;W21&amp;" is more than initial test at ANC1"&amp;CHAR(10),""),IF(X195&gt;X194," * New positive at ANC1 for Age "&amp;X20&amp;" "&amp;X21&amp;" is more than initial test at ANC1"&amp;CHAR(10),""),IF(Y195&gt;Y194," * New positive at ANC1 for Age "&amp;X20&amp;" "&amp;Y21&amp;" is more than initial test at ANC1"&amp;CHAR(10),""),IF(Z195&gt;Z194," * New positive at ANC1 for Age "&amp;Z20&amp;" "&amp;Z21&amp;" is more than initial test at ANC1"&amp;CHAR(10),""),IF(AA195&gt;AA194," * New positive at ANC1 for Age "&amp;Z20&amp;" "&amp;AA21&amp;" is more than initial test at ANC1"&amp;CHAR(10),""),IF(AB195&gt;AB194," * Total New positive at ANC1 is more than Total initial test at ANC1"&amp;CHAR(10),""))</f>
        <v/>
      </c>
      <c r="AD195" s="772"/>
      <c r="AE195" s="83"/>
      <c r="AF195" s="621"/>
      <c r="AG195" s="439">
        <v>194</v>
      </c>
    </row>
    <row r="196" spans="1:34" ht="28.3" x14ac:dyDescent="0.85">
      <c r="A196" s="608"/>
      <c r="B196" s="445" t="s">
        <v>477</v>
      </c>
      <c r="C196" s="146" t="s">
        <v>481</v>
      </c>
      <c r="D196" s="127"/>
      <c r="E196" s="18"/>
      <c r="F196" s="18"/>
      <c r="G196" s="18"/>
      <c r="H196" s="18"/>
      <c r="I196" s="18"/>
      <c r="J196" s="18"/>
      <c r="K196" s="27">
        <f>K194+K193</f>
        <v>0</v>
      </c>
      <c r="L196" s="18"/>
      <c r="M196" s="27">
        <f>M194+M193</f>
        <v>0</v>
      </c>
      <c r="N196" s="18"/>
      <c r="O196" s="27">
        <f>O194+O193</f>
        <v>0</v>
      </c>
      <c r="P196" s="18"/>
      <c r="Q196" s="27">
        <f>Q194+Q193</f>
        <v>0</v>
      </c>
      <c r="R196" s="18"/>
      <c r="S196" s="27">
        <f>S194+S193</f>
        <v>0</v>
      </c>
      <c r="T196" s="18"/>
      <c r="U196" s="27">
        <f>U194+U193</f>
        <v>0</v>
      </c>
      <c r="V196" s="18"/>
      <c r="W196" s="27">
        <f>W194+W193</f>
        <v>0</v>
      </c>
      <c r="X196" s="18"/>
      <c r="Y196" s="27">
        <f>Y194+Y193</f>
        <v>0</v>
      </c>
      <c r="Z196" s="18"/>
      <c r="AA196" s="18"/>
      <c r="AB196" s="59">
        <f t="shared" si="96"/>
        <v>0</v>
      </c>
      <c r="AC196" s="85"/>
      <c r="AD196" s="772"/>
      <c r="AE196" s="83"/>
      <c r="AF196" s="621"/>
      <c r="AG196" s="439">
        <v>195</v>
      </c>
    </row>
    <row r="197" spans="1:34" ht="28.75" thickBot="1" x14ac:dyDescent="0.9">
      <c r="A197" s="609"/>
      <c r="B197" s="446" t="s">
        <v>482</v>
      </c>
      <c r="C197" s="147" t="s">
        <v>498</v>
      </c>
      <c r="D197" s="143"/>
      <c r="E197" s="38"/>
      <c r="F197" s="38"/>
      <c r="G197" s="38"/>
      <c r="H197" s="38"/>
      <c r="I197" s="38"/>
      <c r="J197" s="38"/>
      <c r="K197" s="60">
        <f>K195+K193</f>
        <v>0</v>
      </c>
      <c r="L197" s="38"/>
      <c r="M197" s="60">
        <f>M195+M193</f>
        <v>0</v>
      </c>
      <c r="N197" s="38"/>
      <c r="O197" s="60">
        <f>O195+O193</f>
        <v>0</v>
      </c>
      <c r="P197" s="38"/>
      <c r="Q197" s="60">
        <f>Q195+Q193</f>
        <v>0</v>
      </c>
      <c r="R197" s="38"/>
      <c r="S197" s="60">
        <f>S195+S193</f>
        <v>0</v>
      </c>
      <c r="T197" s="38"/>
      <c r="U197" s="60">
        <f>U195+U193</f>
        <v>0</v>
      </c>
      <c r="V197" s="38"/>
      <c r="W197" s="60">
        <f>W195+W193</f>
        <v>0</v>
      </c>
      <c r="X197" s="38"/>
      <c r="Y197" s="60">
        <f>Y195+Y193</f>
        <v>0</v>
      </c>
      <c r="Z197" s="38"/>
      <c r="AA197" s="38"/>
      <c r="AB197" s="61">
        <f t="shared" si="96"/>
        <v>0</v>
      </c>
      <c r="AC197" s="85"/>
      <c r="AD197" s="772"/>
      <c r="AE197" s="83"/>
      <c r="AF197" s="621"/>
      <c r="AG197" s="439">
        <v>196</v>
      </c>
    </row>
    <row r="198" spans="1:34" x14ac:dyDescent="1.05">
      <c r="A198" s="565" t="s">
        <v>1029</v>
      </c>
      <c r="B198" s="304" t="s">
        <v>706</v>
      </c>
      <c r="C198" s="164" t="s">
        <v>282</v>
      </c>
      <c r="D198" s="141"/>
      <c r="E198" s="34"/>
      <c r="F198" s="34"/>
      <c r="G198" s="34"/>
      <c r="H198" s="34"/>
      <c r="I198" s="34"/>
      <c r="J198" s="34"/>
      <c r="K198" s="35"/>
      <c r="L198" s="34"/>
      <c r="M198" s="35"/>
      <c r="N198" s="34"/>
      <c r="O198" s="35"/>
      <c r="P198" s="34"/>
      <c r="Q198" s="35"/>
      <c r="R198" s="34"/>
      <c r="S198" s="35"/>
      <c r="T198" s="34"/>
      <c r="U198" s="35"/>
      <c r="V198" s="34"/>
      <c r="W198" s="35"/>
      <c r="X198" s="34"/>
      <c r="Y198" s="35"/>
      <c r="Z198" s="34"/>
      <c r="AA198" s="34"/>
      <c r="AB198" s="62">
        <f t="shared" si="96"/>
        <v>0</v>
      </c>
      <c r="AC198" s="634" t="str">
        <f>CONCATENATE(IF(D199&gt;D198," * Initial positive results at ANC 2 and above for Age "&amp;D20&amp;" "&amp;D21&amp;" is more than Initial test at ANC 2 and above"&amp;CHAR(10),""),IF(E199&gt;E198," * Initial positive results at ANC 2 and above for Age "&amp;D20&amp;" "&amp;E21&amp;" is more than Initial test at ANC 2 and above"&amp;CHAR(10),""),IF(F199&gt;F198," * Initial positive results at ANC 2 and above for Age "&amp;F20&amp;" "&amp;F21&amp;" is more than Initial test at ANC 2 and above"&amp;CHAR(10),""),IF(G199&gt;G198," * Initial positive results at ANC 2 and above for Age "&amp;F20&amp;" "&amp;G21&amp;" is more than Initial test at ANC 2 and above"&amp;CHAR(10),""),IF(H199&gt;H198," * Initial positive results at ANC 2 and above for Age "&amp;H20&amp;" "&amp;H21&amp;" is more than Initial test at ANC 2 and above"&amp;CHAR(10),""),IF(I199&gt;I198," * Initial positive results at ANC 2 and above for Age "&amp;H20&amp;" "&amp;I21&amp;" is more than Initial test at ANC 2 and above"&amp;CHAR(10),""),IF(J199&gt;J198," * Initial positive results at ANC 2 and above for Age "&amp;J20&amp;" "&amp;J21&amp;" is more than Initial test at ANC 2 and above"&amp;CHAR(10),""),IF(K199&gt;K198," * Initial positive results at ANC 2 and above for Age "&amp;J20&amp;" "&amp;K21&amp;" is more than Initial test at ANC 2 and above"&amp;CHAR(10),""),IF(L199&gt;L198," * Initial positive results at ANC 2 and above for Age "&amp;L20&amp;" "&amp;L21&amp;" is more than Initial test at ANC 2 and above"&amp;CHAR(10),""),IF(M199&gt;M198," * Initial positive results at ANC 2 and above for Age "&amp;L20&amp;" "&amp;M21&amp;" is more than Initial test at ANC 2 and above"&amp;CHAR(10),""),IF(N199&gt;N198," * Initial positive results at ANC 2 and above for Age "&amp;N20&amp;" "&amp;N21&amp;" is more than Initial test at ANC 2 and above"&amp;CHAR(10),""),IF(O199&gt;O198," * Initial positive results at ANC 2 and above for Age "&amp;N20&amp;" "&amp;O21&amp;" is more than Initial test at ANC 2 and above"&amp;CHAR(10),""),IF(P199&gt;P198," * Initial positive results at ANC 2 and above for Age "&amp;P20&amp;" "&amp;P21&amp;" is more than Initial test at ANC 2 and above"&amp;CHAR(10),""),IF(Q199&gt;Q198," * Initial positive results at ANC 2 and above for Age "&amp;P20&amp;" "&amp;Q21&amp;" is more than Initial test at ANC 2 and above"&amp;CHAR(10),""),IF(R199&gt;R198," * Initial positive results at ANC 2 and above for Age "&amp;R20&amp;" "&amp;R21&amp;" is more than Initial test at ANC 2 and above"&amp;CHAR(10),""),IF(S199&gt;S198," * Initial positive results at ANC 2 and above for Age "&amp;R20&amp;" "&amp;S21&amp;" is more than Initial test at ANC 2 and above"&amp;CHAR(10),""),IF(T199&gt;T198," * Initial positive results at ANC 2 and above for Age "&amp;T20&amp;" "&amp;T21&amp;" is more than Initial test at ANC 2 and above"&amp;CHAR(10),""),IF(U199&gt;U198," * Initial positive results at ANC 2 and above for Age "&amp;T20&amp;" "&amp;U21&amp;" is more than Initial test at ANC 2 and above"&amp;CHAR(10),""),IF(V199&gt;V198," * Initial positive results at ANC 2 and above for Age "&amp;V20&amp;" "&amp;V21&amp;" is more than Initial test at ANC 2 and above"&amp;CHAR(10),""),IF(W199&gt;W198," * Initial positive results at ANC 2 and above for Age "&amp;V20&amp;" "&amp;W21&amp;" is more than Initial test at ANC 2 and above"&amp;CHAR(10),""),IF(X199&gt;X198," * Initial positive results at ANC 2 and above for Age "&amp;X20&amp;" "&amp;X21&amp;" is more than Initial test at ANC 2 and above"&amp;CHAR(10),""),IF(Y199&gt;Y198," * Initial positive results at ANC 2 and above for Age "&amp;X20&amp;" "&amp;Y21&amp;" is more than Initial test at ANC 2 and above"&amp;CHAR(10),""),IF(Z199&gt;Z198," * Initial positive results at ANC 2 and above for Age "&amp;Z20&amp;" "&amp;Z21&amp;" is more than Initial test at ANC 2 and above"&amp;CHAR(10),""),IF(AA199&gt;AA198," * Initial positive results at ANC 2 and above for Age "&amp;Z20&amp;" "&amp;AA21&amp;" is more than Initial test at ANC 2 and above"&amp;CHAR(10),""))</f>
        <v/>
      </c>
      <c r="AD198" s="772"/>
      <c r="AE198" s="83"/>
      <c r="AF198" s="621"/>
      <c r="AG198" s="439">
        <v>197</v>
      </c>
    </row>
    <row r="199" spans="1:34" ht="31.75" x14ac:dyDescent="0.85">
      <c r="A199" s="566"/>
      <c r="B199" s="328" t="s">
        <v>479</v>
      </c>
      <c r="C199" s="166" t="s">
        <v>283</v>
      </c>
      <c r="D199" s="127"/>
      <c r="E199" s="18"/>
      <c r="F199" s="18"/>
      <c r="G199" s="18"/>
      <c r="H199" s="18"/>
      <c r="I199" s="18"/>
      <c r="J199" s="18"/>
      <c r="K199" s="200"/>
      <c r="L199" s="202"/>
      <c r="M199" s="200"/>
      <c r="N199" s="202"/>
      <c r="O199" s="200"/>
      <c r="P199" s="202"/>
      <c r="Q199" s="200"/>
      <c r="R199" s="202"/>
      <c r="S199" s="200"/>
      <c r="T199" s="202"/>
      <c r="U199" s="200"/>
      <c r="V199" s="202"/>
      <c r="W199" s="200"/>
      <c r="X199" s="202"/>
      <c r="Y199" s="200"/>
      <c r="Z199" s="18"/>
      <c r="AA199" s="18"/>
      <c r="AB199" s="59">
        <f t="shared" si="96"/>
        <v>0</v>
      </c>
      <c r="AC199" s="634"/>
      <c r="AD199" s="772"/>
      <c r="AE199" s="83"/>
      <c r="AF199" s="621"/>
      <c r="AG199" s="439">
        <v>198</v>
      </c>
    </row>
    <row r="200" spans="1:34" ht="31.2" customHeight="1" x14ac:dyDescent="0.85">
      <c r="A200" s="566"/>
      <c r="B200" s="303" t="s">
        <v>484</v>
      </c>
      <c r="C200" s="146" t="s">
        <v>486</v>
      </c>
      <c r="D200" s="127"/>
      <c r="E200" s="18"/>
      <c r="F200" s="18"/>
      <c r="G200" s="18"/>
      <c r="H200" s="18"/>
      <c r="I200" s="18"/>
      <c r="J200" s="18"/>
      <c r="K200" s="19"/>
      <c r="L200" s="18"/>
      <c r="M200" s="19"/>
      <c r="N200" s="18"/>
      <c r="O200" s="19"/>
      <c r="P200" s="18"/>
      <c r="Q200" s="19"/>
      <c r="R200" s="18"/>
      <c r="S200" s="19"/>
      <c r="T200" s="18"/>
      <c r="U200" s="19"/>
      <c r="V200" s="18"/>
      <c r="W200" s="19"/>
      <c r="X200" s="18"/>
      <c r="Y200" s="19"/>
      <c r="Z200" s="18"/>
      <c r="AA200" s="18"/>
      <c r="AB200" s="59">
        <f t="shared" si="96"/>
        <v>0</v>
      </c>
      <c r="AC200" s="82" t="str">
        <f>CONCATENATE(IF(D201&gt;D200," * Retesting at ANC 2 and above For age "&amp;$D$20&amp;" "&amp;$D$21&amp;" is less than  than Retesting positive result at ANC 2 and above"&amp;CHAR(10),""),IF(E201&gt;E200," * Retesting at ANC 2 and above For age "&amp;$D$20&amp;" "&amp;$E$21&amp;" is less than  than Retesting positive result at ANC 2 and above"&amp;CHAR(10),""),IF(F201&gt;F200," * Retesting at ANC 2 and above For age "&amp;$F$20&amp;" "&amp;$F$21&amp;" is less than  than Retesting positive result at ANC 2 and above"&amp;CHAR(10),""),IF(G201&gt;G200," * Retesting at ANC 2 and above For age "&amp;$F$20&amp;" "&amp;$G$21&amp;" is less than  than Retesting positive result at ANC 2 and above"&amp;CHAR(10),""),IF(H201&gt;H200," * Retesting at ANC 2 and above For age "&amp;$H$20&amp;" "&amp;$H$21&amp;" is less than  than Retesting positive result at ANC 2 and above"&amp;CHAR(10),""),IF(I201&gt;I200," * Retesting at ANC 2 and above For age "&amp;$H$20&amp;" "&amp;$I$21&amp;" is less than  than Retesting positive result at ANC 2 and above"&amp;CHAR(10),""),IF(J201&gt;J200," * Retesting at ANC 2 and above For age "&amp;$J$20&amp;" "&amp;$J$21&amp;" is less than  than Retesting positive result at ANC 2 and above"&amp;CHAR(10),""),IF(K201&gt;K200," * Retesting at ANC 2 and above For age "&amp;$J$20&amp;" "&amp;$K$21&amp;" is less than  than Retesting positive result at ANC 2 and above"&amp;CHAR(10),""),IF(L201&gt;L200," * Retesting at ANC 2 and above For age "&amp;$L$20&amp;" "&amp;$L$21&amp;" is less than  than Retesting positive result at ANC 2 and above"&amp;CHAR(10),""),IF(M201&gt;M200," * Retesting at ANC 2 and above For age "&amp;$L$20&amp;" "&amp;$M$21&amp;" is less than  than Retesting positive result at ANC 2 and above"&amp;CHAR(10),""),IF(N201&gt;N200," * Retesting at ANC 2 and above For age "&amp;$N$20&amp;" "&amp;$N$21&amp;" is less than  than Retesting positive result at ANC 2 and above"&amp;CHAR(10),""),IF(O201&gt;O200," * Retesting at ANC 2 and above For age "&amp;$N$20&amp;" "&amp;$O$21&amp;" is less than  than Retesting positive result at ANC 2 and above"&amp;CHAR(10),""),IF(P201&gt;P200," * Retesting at ANC 2 and above For age "&amp;$P$20&amp;" "&amp;$P$21&amp;" is less than  than Retesting positive result at ANC 2 and above"&amp;CHAR(10),""),IF(Q201&gt;Q200," * Retesting at ANC 2 and above For age "&amp;$P$20&amp;" "&amp;$Q$21&amp;" is less than  than Retesting positive result at ANC 2 and above"&amp;CHAR(10),""),IF(R201&gt;R200," * Retesting at ANC 2 and above For age "&amp;$R$20&amp;" "&amp;$R$21&amp;" is less than  than Retesting positive result at ANC 2 and above"&amp;CHAR(10),""),IF(S201&gt;S200," * Retesting at ANC 2 and above For age "&amp;$R$20&amp;" "&amp;$S$21&amp;" is less than  than Retesting positive result at ANC 2 and above"&amp;CHAR(10),""),IF(T201&gt;T200," * Retesting at ANC 2 and above For age "&amp;$T$20&amp;" "&amp;$T$21&amp;" is less than  than Retesting positive result at ANC 2 and above"&amp;CHAR(10),""),IF(U201&gt;U200," * Retesting at ANC 2 and above For age "&amp;$T$20&amp;" "&amp;$U$21&amp;" is less than  than Retesting positive result at ANC 2 and above"&amp;CHAR(10),""),IF(V201&gt;V200," * Retesting at ANC 2 and above For age "&amp;$V$20&amp;" "&amp;$V$21&amp;" is less than  than Retesting positive result at ANC 2 and above"&amp;CHAR(10),""),IF(W201&gt;W200," * Retesting at ANC 2 and above For age "&amp;$V$20&amp;" "&amp;$W$21&amp;" is less than  than Retesting positive result at ANC 2 and above"&amp;CHAR(10),""),IF(X201&gt;X200," * Retesting at ANC 2 and above For age "&amp;$X$20&amp;" "&amp;$X$21&amp;" is less than  than Retesting positive result at ANC 2 and above"&amp;CHAR(10),""),IF(Y201&gt;Y200," * Retesting at ANC 2 and above For age "&amp;$X$20&amp;" "&amp;$Y$21&amp;" is less than  than Retesting positive result at ANC 2 and above"&amp;CHAR(10),""),IF(Z201&gt;Z200," * Retesting at ANC 2 and above For age "&amp;$Z$20&amp;" "&amp;$Z$21&amp;" is less than  than Retesting positive result at ANC 2 and above"&amp;CHAR(10),""),IF(AA201&gt;AA200," * Retesting at ANC 2 and above For age "&amp;$Z$20&amp;" "&amp;$AA$21&amp;" is less than  than Retesting positive result at ANC 2 and above"&amp;CHAR(10),""))</f>
        <v/>
      </c>
      <c r="AD200" s="772"/>
      <c r="AE200" s="83"/>
      <c r="AF200" s="621"/>
      <c r="AG200" s="439">
        <v>199</v>
      </c>
    </row>
    <row r="201" spans="1:34" ht="32.15" thickBot="1" x14ac:dyDescent="0.9">
      <c r="A201" s="567"/>
      <c r="B201" s="329" t="s">
        <v>485</v>
      </c>
      <c r="C201" s="147" t="s">
        <v>487</v>
      </c>
      <c r="D201" s="143"/>
      <c r="E201" s="38"/>
      <c r="F201" s="38"/>
      <c r="G201" s="38"/>
      <c r="H201" s="38"/>
      <c r="I201" s="38"/>
      <c r="J201" s="206"/>
      <c r="K201" s="207"/>
      <c r="L201" s="206"/>
      <c r="M201" s="207"/>
      <c r="N201" s="206"/>
      <c r="O201" s="207"/>
      <c r="P201" s="206"/>
      <c r="Q201" s="207"/>
      <c r="R201" s="206"/>
      <c r="S201" s="207"/>
      <c r="T201" s="206"/>
      <c r="U201" s="207"/>
      <c r="V201" s="206"/>
      <c r="W201" s="207"/>
      <c r="X201" s="206"/>
      <c r="Y201" s="207"/>
      <c r="Z201" s="38"/>
      <c r="AA201" s="38"/>
      <c r="AB201" s="61">
        <f t="shared" si="96"/>
        <v>0</v>
      </c>
      <c r="AC201" s="94"/>
      <c r="AD201" s="772"/>
      <c r="AE201" s="83"/>
      <c r="AF201" s="621"/>
      <c r="AG201" s="439">
        <v>200</v>
      </c>
    </row>
    <row r="202" spans="1:34" x14ac:dyDescent="0.85">
      <c r="A202" s="604" t="s">
        <v>488</v>
      </c>
      <c r="B202" s="306" t="s">
        <v>707</v>
      </c>
      <c r="C202" s="134" t="s">
        <v>371</v>
      </c>
      <c r="D202" s="141"/>
      <c r="E202" s="34"/>
      <c r="F202" s="34"/>
      <c r="G202" s="34"/>
      <c r="H202" s="34"/>
      <c r="I202" s="34"/>
      <c r="J202" s="34"/>
      <c r="K202" s="35"/>
      <c r="L202" s="34"/>
      <c r="M202" s="35"/>
      <c r="N202" s="34"/>
      <c r="O202" s="35"/>
      <c r="P202" s="34"/>
      <c r="Q202" s="35"/>
      <c r="R202" s="34"/>
      <c r="S202" s="35"/>
      <c r="T202" s="34"/>
      <c r="U202" s="35"/>
      <c r="V202" s="34"/>
      <c r="W202" s="35"/>
      <c r="X202" s="34"/>
      <c r="Y202" s="35"/>
      <c r="Z202" s="34"/>
      <c r="AA202" s="34"/>
      <c r="AB202" s="62">
        <f t="shared" si="96"/>
        <v>0</v>
      </c>
      <c r="AC202" s="634" t="str">
        <f>CONCATENATE(IF(D203&gt;D202," * F06-08 for Age "&amp;D20&amp;" "&amp;D21&amp;" is more than F06-07"&amp;CHAR(10),""),IF(E203&gt;E202," * F06-08 for Age "&amp;D20&amp;" "&amp;E21&amp;" is more than F06-07"&amp;CHAR(10),""),IF(F203&gt;F202," * F06-08 for Age "&amp;F20&amp;" "&amp;F21&amp;" is more than F06-07"&amp;CHAR(10),""),IF(G203&gt;G202," * F06-08 for Age "&amp;F20&amp;" "&amp;G21&amp;" is more than F06-07"&amp;CHAR(10),""),IF(H203&gt;H202," * F06-08 for Age "&amp;H20&amp;" "&amp;H21&amp;" is more than F06-07"&amp;CHAR(10),""),IF(I203&gt;I202," * F06-08 for Age "&amp;H20&amp;" "&amp;I21&amp;" is more than F06-07"&amp;CHAR(10),""),IF(J203&gt;J202," * F06-08 for Age "&amp;J20&amp;" "&amp;J21&amp;" is more than F06-07"&amp;CHAR(10),""),IF(K203&gt;K202," * F06-08 for Age "&amp;J20&amp;" "&amp;K21&amp;" is more than F06-07"&amp;CHAR(10),""),IF(L203&gt;L202," * F06-08 for Age "&amp;L20&amp;" "&amp;L21&amp;" is more than F06-07"&amp;CHAR(10),""),IF(M203&gt;M202," * F06-08 for Age "&amp;L20&amp;" "&amp;M21&amp;" is more than F06-07"&amp;CHAR(10),""),IF(N203&gt;N202," * F06-08 for Age "&amp;N20&amp;" "&amp;N21&amp;" is more than F06-07"&amp;CHAR(10),""),IF(O203&gt;O202," * F06-08 for Age "&amp;N20&amp;" "&amp;O21&amp;" is more than F06-07"&amp;CHAR(10),""),IF(P203&gt;P202," * F06-08 for Age "&amp;P20&amp;" "&amp;P21&amp;" is more than F06-07"&amp;CHAR(10),""),IF(Q203&gt;Q202," * F06-08 for Age "&amp;P20&amp;" "&amp;Q21&amp;" is more than F06-07"&amp;CHAR(10),""),IF(R203&gt;R202," * F06-08 for Age "&amp;R20&amp;" "&amp;R21&amp;" is more than F06-07"&amp;CHAR(10),""),IF(S203&gt;S202," * F06-08 for Age "&amp;R20&amp;" "&amp;S21&amp;" is more than F06-07"&amp;CHAR(10),""),IF(T203&gt;T202," * F06-08 for Age "&amp;T20&amp;" "&amp;T21&amp;" is more than F06-07"&amp;CHAR(10),""),IF(U203&gt;U202," * F06-08 for Age "&amp;T20&amp;" "&amp;U21&amp;" is more than F06-07"&amp;CHAR(10),""),IF(V203&gt;V202," * F06-08 for Age "&amp;V20&amp;" "&amp;V21&amp;" is more than F06-07"&amp;CHAR(10),""),IF(W203&gt;W202," * F06-08 for Age "&amp;V20&amp;" "&amp;W21&amp;" is more than F06-07"&amp;CHAR(10),""),IF(X203&gt;X202," * F06-08 for Age "&amp;X20&amp;" "&amp;X21&amp;" is more than F06-07"&amp;CHAR(10),""),IF(Y203&gt;Y202," * F06-08 for Age "&amp;X20&amp;" "&amp;Y21&amp;" is more than F06-07"&amp;CHAR(10),""),IF(Z203&gt;Z202," * F06-08 for Age "&amp;Z20&amp;" "&amp;Z21&amp;" is more than F06-07"&amp;CHAR(10),""),IF(AA203&gt;AA202," * F06-08 for Age "&amp;Z20&amp;" "&amp;AA21&amp;" is more than F06-07"&amp;CHAR(10),""),IF(AB203&gt;AB202," * Total F06-08 is more than Total F06-07"&amp;CHAR(10),""))</f>
        <v/>
      </c>
      <c r="AD202" s="772"/>
      <c r="AE202" s="83"/>
      <c r="AF202" s="621"/>
      <c r="AG202" s="439">
        <v>201</v>
      </c>
    </row>
    <row r="203" spans="1:34" ht="31.75" x14ac:dyDescent="0.85">
      <c r="A203" s="605"/>
      <c r="B203" s="328" t="s">
        <v>708</v>
      </c>
      <c r="C203" s="166" t="s">
        <v>372</v>
      </c>
      <c r="D203" s="127"/>
      <c r="E203" s="18"/>
      <c r="F203" s="18"/>
      <c r="G203" s="18"/>
      <c r="H203" s="18"/>
      <c r="I203" s="18"/>
      <c r="J203" s="18"/>
      <c r="K203" s="201"/>
      <c r="L203" s="203"/>
      <c r="M203" s="201"/>
      <c r="N203" s="203"/>
      <c r="O203" s="201"/>
      <c r="P203" s="203"/>
      <c r="Q203" s="201"/>
      <c r="R203" s="203"/>
      <c r="S203" s="201"/>
      <c r="T203" s="203"/>
      <c r="U203" s="201"/>
      <c r="V203" s="203"/>
      <c r="W203" s="201"/>
      <c r="X203" s="203"/>
      <c r="Y203" s="201"/>
      <c r="Z203" s="203"/>
      <c r="AA203" s="18"/>
      <c r="AB203" s="59">
        <f t="shared" si="96"/>
        <v>0</v>
      </c>
      <c r="AC203" s="634"/>
      <c r="AD203" s="772"/>
      <c r="AE203" s="83"/>
      <c r="AF203" s="621"/>
      <c r="AG203" s="439">
        <v>202</v>
      </c>
    </row>
    <row r="204" spans="1:34" x14ac:dyDescent="0.85">
      <c r="A204" s="605"/>
      <c r="B204" s="303" t="s">
        <v>709</v>
      </c>
      <c r="C204" s="146" t="s">
        <v>651</v>
      </c>
      <c r="D204" s="127"/>
      <c r="E204" s="18"/>
      <c r="F204" s="18"/>
      <c r="G204" s="18"/>
      <c r="H204" s="18"/>
      <c r="I204" s="18"/>
      <c r="J204" s="18"/>
      <c r="K204" s="19"/>
      <c r="L204" s="18"/>
      <c r="M204" s="19"/>
      <c r="N204" s="18"/>
      <c r="O204" s="19"/>
      <c r="P204" s="18"/>
      <c r="Q204" s="19"/>
      <c r="R204" s="18"/>
      <c r="S204" s="19"/>
      <c r="T204" s="18"/>
      <c r="U204" s="19"/>
      <c r="V204" s="18"/>
      <c r="W204" s="19"/>
      <c r="X204" s="18"/>
      <c r="Y204" s="19"/>
      <c r="Z204" s="18"/>
      <c r="AA204" s="18"/>
      <c r="AB204" s="249">
        <f t="shared" si="96"/>
        <v>0</v>
      </c>
      <c r="AC204" s="82" t="str">
        <f>CONCATENATE(IF(D205&gt;D204," * Retesting at L&amp;D For age "&amp;$D$20&amp;" "&amp;$D$21&amp;" is less than  than Retesting positive result at L&amp;D"&amp;CHAR(10),""),IF(E205&gt;E204," * Retesting at L&amp;D For age "&amp;$D$20&amp;" "&amp;$E$21&amp;" is less than  than Retesting positive result at L&amp;D"&amp;CHAR(10),""),IF(F205&gt;F204," * Retesting at L&amp;D For age "&amp;$F$20&amp;" "&amp;$F$21&amp;" is less than  than Retesting positive result at L&amp;D"&amp;CHAR(10),""),IF(G205&gt;G204," * Retesting at L&amp;D For age "&amp;$F$20&amp;" "&amp;$G$21&amp;" is less than  than Retesting positive result at L&amp;D"&amp;CHAR(10),""),IF(H205&gt;H204," * Retesting at L&amp;D For age "&amp;$H$20&amp;" "&amp;$H$21&amp;" is less than  than Retesting positive result at L&amp;D"&amp;CHAR(10),""),IF(I205&gt;I204," * Retesting at L&amp;D For age "&amp;$H$20&amp;" "&amp;$I$21&amp;" is less than  than Retesting positive result at L&amp;D"&amp;CHAR(10),""),IF(J205&gt;J204," * Retesting at L&amp;D For age "&amp;$J$20&amp;" "&amp;$J$21&amp;" is less than  than Retesting positive result at L&amp;D"&amp;CHAR(10),""),IF(K205&gt;K204," * Retesting at L&amp;D For age "&amp;$J$20&amp;" "&amp;$K$21&amp;" is less than  than Retesting positive result at L&amp;D"&amp;CHAR(10),""),IF(L205&gt;L204," * Retesting at L&amp;D For age "&amp;$L$20&amp;" "&amp;$L$21&amp;" is less than  than Retesting positive result at L&amp;D"&amp;CHAR(10),""),IF(M205&gt;M204," * Retesting at L&amp;D For age "&amp;$L$20&amp;" "&amp;$M$21&amp;" is less than  than Retesting positive result at L&amp;D"&amp;CHAR(10),""),IF(N205&gt;N204," * Retesting at L&amp;D For age "&amp;$N$20&amp;" "&amp;$N$21&amp;" is less than  than Retesting positive result at L&amp;D"&amp;CHAR(10),""),IF(O205&gt;O204," * Retesting at L&amp;D For age "&amp;$N$20&amp;" "&amp;$O$21&amp;" is less than  than Retesting positive result at L&amp;D"&amp;CHAR(10),""),IF(P205&gt;P204," * Retesting at L&amp;D For age "&amp;$P$20&amp;" "&amp;$P$21&amp;" is less than  than Retesting positive result at L&amp;D"&amp;CHAR(10),""),IF(Q205&gt;Q204," * Retesting at L&amp;D For age "&amp;$P$20&amp;" "&amp;$Q$21&amp;" is less than  than Retesting positive result at L&amp;D"&amp;CHAR(10),""),IF(R205&gt;R204," * Retesting at L&amp;D For age "&amp;$R$20&amp;" "&amp;$R$21&amp;" is less than  than Retesting positive result at L&amp;D"&amp;CHAR(10),""),IF(S205&gt;S204," * Retesting at L&amp;D For age "&amp;$R$20&amp;" "&amp;$S$21&amp;" is less than  than Retesting positive result at L&amp;D"&amp;CHAR(10),""),IF(T205&gt;T204," * Retesting at L&amp;D For age "&amp;$T$20&amp;" "&amp;$T$21&amp;" is less than  than Retesting positive result at L&amp;D"&amp;CHAR(10),""),IF(U205&gt;U204," * Retesting at L&amp;D For age "&amp;$T$20&amp;" "&amp;$U$21&amp;" is less than  than Retesting positive result at L&amp;D"&amp;CHAR(10),""),IF(V205&gt;V204," * Retesting at L&amp;D For age "&amp;$V$20&amp;" "&amp;$V$21&amp;" is less than  than Retesting positive result at L&amp;D"&amp;CHAR(10),""),IF(W205&gt;W204," * Retesting at L&amp;D For age "&amp;$V$20&amp;" "&amp;$W$21&amp;" is less than  than Retesting positive result at L&amp;D"&amp;CHAR(10),""),IF(X205&gt;X204," * Retesting at L&amp;D For age "&amp;$X$20&amp;" "&amp;$X$21&amp;" is less than  than Retesting positive result at L&amp;D"&amp;CHAR(10),""),IF(Y205&gt;Y204," * Retesting at L&amp;D For age "&amp;$X$20&amp;" "&amp;$Y$21&amp;" is less than  than Retesting positive result at L&amp;D"&amp;CHAR(10),""),IF(Z205&gt;Z204," * Retesting at L&amp;D For age "&amp;$Z$20&amp;" "&amp;$Z$21&amp;" is less than  than Retesting positive result at L&amp;D"&amp;CHAR(10),""),IF(AA205&gt;AA204," * Retesting at L&amp;D For age "&amp;$Z$20&amp;" "&amp;$AA$21&amp;" is less than  than Retesting positive result at L&amp;D"&amp;CHAR(10),""))</f>
        <v/>
      </c>
      <c r="AD204" s="772"/>
      <c r="AE204" s="83"/>
      <c r="AF204" s="621"/>
      <c r="AG204" s="439">
        <v>203</v>
      </c>
    </row>
    <row r="205" spans="1:34" ht="32.15" thickBot="1" x14ac:dyDescent="0.9">
      <c r="A205" s="688"/>
      <c r="B205" s="329" t="s">
        <v>710</v>
      </c>
      <c r="C205" s="147" t="s">
        <v>652</v>
      </c>
      <c r="D205" s="143"/>
      <c r="E205" s="38"/>
      <c r="F205" s="38"/>
      <c r="G205" s="38"/>
      <c r="H205" s="38"/>
      <c r="I205" s="38"/>
      <c r="J205" s="38"/>
      <c r="K205" s="207"/>
      <c r="L205" s="206"/>
      <c r="M205" s="207"/>
      <c r="N205" s="206"/>
      <c r="O205" s="207"/>
      <c r="P205" s="206"/>
      <c r="Q205" s="207"/>
      <c r="R205" s="206"/>
      <c r="S205" s="207"/>
      <c r="T205" s="206"/>
      <c r="U205" s="207"/>
      <c r="V205" s="206"/>
      <c r="W205" s="207"/>
      <c r="X205" s="206"/>
      <c r="Y205" s="207"/>
      <c r="Z205" s="206"/>
      <c r="AA205" s="38"/>
      <c r="AB205" s="249">
        <f t="shared" si="96"/>
        <v>0</v>
      </c>
      <c r="AC205" s="85"/>
      <c r="AD205" s="772"/>
      <c r="AE205" s="83"/>
      <c r="AF205" s="621"/>
      <c r="AG205" s="439">
        <v>204</v>
      </c>
    </row>
    <row r="206" spans="1:34" x14ac:dyDescent="0.85">
      <c r="A206" s="616" t="s">
        <v>493</v>
      </c>
      <c r="B206" s="306" t="s">
        <v>711</v>
      </c>
      <c r="C206" s="164" t="s">
        <v>284</v>
      </c>
      <c r="D206" s="141"/>
      <c r="E206" s="34"/>
      <c r="F206" s="34"/>
      <c r="G206" s="34"/>
      <c r="H206" s="34"/>
      <c r="I206" s="34"/>
      <c r="J206" s="34"/>
      <c r="K206" s="35"/>
      <c r="L206" s="34"/>
      <c r="M206" s="35"/>
      <c r="N206" s="34"/>
      <c r="O206" s="35"/>
      <c r="P206" s="34"/>
      <c r="Q206" s="35"/>
      <c r="R206" s="34"/>
      <c r="S206" s="35"/>
      <c r="T206" s="34"/>
      <c r="U206" s="35"/>
      <c r="V206" s="34"/>
      <c r="W206" s="35"/>
      <c r="X206" s="34"/>
      <c r="Y206" s="35"/>
      <c r="Z206" s="34"/>
      <c r="AA206" s="34"/>
      <c r="AB206" s="62">
        <f t="shared" si="96"/>
        <v>0</v>
      </c>
      <c r="AC206" s="634" t="str">
        <f>CONCATENATE(IF(D207&gt;D206," * Positive at PNC &lt;=6wks for Age "&amp;D20&amp;" "&amp;D21&amp;" is more than Initial test at PNC &lt;= 6wks"&amp;CHAR(10),""),IF(E207&gt;E206," * Positive at PNC &lt;=6wks for Age "&amp;D20&amp;" "&amp;E21&amp;" is more than Initial test at PNC &lt;= 6wks"&amp;CHAR(10),""),IF(F207&gt;F206," * Positive at PNC &lt;=6wks for Age "&amp;F20&amp;" "&amp;F21&amp;" is more than Initial test at PNC &lt;= 6wks"&amp;CHAR(10),""),IF(G207&gt;G206," * Positive at PNC &lt;=6wks for Age "&amp;F20&amp;" "&amp;G21&amp;" is more than Initial test at PNC &lt;= 6wks"&amp;CHAR(10),""),IF(H207&gt;H206," * Positive at PNC &lt;=6wks for Age "&amp;H20&amp;" "&amp;H21&amp;" is more than Initial test at PNC &lt;= 6wks"&amp;CHAR(10),""),IF(I207&gt;I206," * Positive at PNC &lt;=6wks for Age "&amp;H20&amp;" "&amp;I21&amp;" is more than Initial test at PNC &lt;= 6wks"&amp;CHAR(10),""),IF(J207&gt;J206," * Positive at PNC &lt;=6wks for Age "&amp;J20&amp;" "&amp;J21&amp;" is more than Initial test at PNC &lt;= 6wks"&amp;CHAR(10),""),IF(K207&gt;K206," * Positive at PNC &lt;=6wks for Age "&amp;J20&amp;" "&amp;K21&amp;" is more than Initial test at PNC &lt;= 6wks"&amp;CHAR(10),""),IF(L207&gt;L206," * Positive at PNC &lt;=6wks for Age "&amp;L20&amp;" "&amp;L21&amp;" is more than Initial test at PNC &lt;= 6wks"&amp;CHAR(10),""),IF(M207&gt;M206," * Positive at PNC &lt;=6wks for Age "&amp;L20&amp;" "&amp;M21&amp;" is more than Initial test at PNC &lt;= 6wks"&amp;CHAR(10),""),IF(N207&gt;N206," * Positive at PNC &lt;=6wks for Age "&amp;N20&amp;" "&amp;N21&amp;" is more than Initial test at PNC &lt;= 6wks"&amp;CHAR(10),""),IF(O207&gt;O206," * Positive at PNC &lt;=6wks for Age "&amp;N20&amp;" "&amp;O21&amp;" is more than Initial test at PNC &lt;= 6wks"&amp;CHAR(10),""),IF(P207&gt;P206," * Positive at PNC &lt;=6wks for Age "&amp;P20&amp;" "&amp;P21&amp;" is more than Initial test at PNC &lt;= 6wks"&amp;CHAR(10),""),IF(Q207&gt;Q206," * Positive at PNC &lt;=6wks for Age "&amp;P20&amp;" "&amp;Q21&amp;" is more than Initial test at PNC &lt;= 6wks"&amp;CHAR(10),""),IF(R207&gt;R206," * Positive at PNC &lt;=6wks for Age "&amp;R20&amp;" "&amp;R21&amp;" is more than Initial test at PNC &lt;= 6wks"&amp;CHAR(10),""),IF(S207&gt;S206," * Positive at PNC &lt;=6wks for Age "&amp;R20&amp;" "&amp;S21&amp;" is more than Initial test at PNC &lt;= 6wks"&amp;CHAR(10),""),IF(T207&gt;T206," * Positive at PNC &lt;=6wks for Age "&amp;T20&amp;" "&amp;T21&amp;" is more than Initial test at PNC &lt;= 6wks"&amp;CHAR(10),""),IF(U207&gt;U206," * Positive at PNC &lt;=6wks for Age "&amp;T20&amp;" "&amp;U21&amp;" is more than Initial test at PNC &lt;= 6wks"&amp;CHAR(10),""),IF(V207&gt;V206," * Positive at PNC &lt;=6wks for Age "&amp;V20&amp;" "&amp;V21&amp;" is more than Initial test at PNC &lt;= 6wks"&amp;CHAR(10),""),IF(W207&gt;W206," * Positive at PNC &lt;=6wks for Age "&amp;V20&amp;" "&amp;W21&amp;" is more than Initial test at PNC &lt;= 6wks"&amp;CHAR(10),""),IF(X207&gt;X206," * Positive at PNC &lt;=6wks for Age "&amp;X20&amp;" "&amp;X21&amp;" is more than Initial test at PNC &lt;= 6wks"&amp;CHAR(10),""),IF(Y207&gt;Y206," * Positive at PNC &lt;=6wks for Age "&amp;X20&amp;" "&amp;Y21&amp;" is more than Initial test at PNC &lt;= 6wks"&amp;CHAR(10),""),IF(Z207&gt;Z206," * Positive at PNC &lt;=6wks for Age "&amp;Z20&amp;" "&amp;Z21&amp;" is more than Initial test at PNC &lt;= 6wks"&amp;CHAR(10),""),IF(AA207&gt;AA206," * Positive at PNC &lt;=6wks for Age "&amp;Z20&amp;" "&amp;AA21&amp;" is more than Initial test at PNC &lt;= 6wks"&amp;CHAR(10),""))</f>
        <v/>
      </c>
      <c r="AD206" s="772"/>
      <c r="AE206" s="83"/>
      <c r="AF206" s="621"/>
      <c r="AG206" s="439">
        <v>205</v>
      </c>
    </row>
    <row r="207" spans="1:34" ht="31.75" x14ac:dyDescent="0.85">
      <c r="A207" s="614"/>
      <c r="B207" s="328" t="s">
        <v>712</v>
      </c>
      <c r="C207" s="208" t="s">
        <v>286</v>
      </c>
      <c r="D207" s="209"/>
      <c r="E207" s="210"/>
      <c r="F207" s="210"/>
      <c r="G207" s="210"/>
      <c r="H207" s="210"/>
      <c r="I207" s="210"/>
      <c r="J207" s="203"/>
      <c r="K207" s="201"/>
      <c r="L207" s="203"/>
      <c r="M207" s="201"/>
      <c r="N207" s="203"/>
      <c r="O207" s="201"/>
      <c r="P207" s="203"/>
      <c r="Q207" s="201"/>
      <c r="R207" s="203"/>
      <c r="S207" s="201"/>
      <c r="T207" s="203"/>
      <c r="U207" s="201"/>
      <c r="V207" s="203"/>
      <c r="W207" s="201"/>
      <c r="X207" s="203"/>
      <c r="Y207" s="201"/>
      <c r="Z207" s="203"/>
      <c r="AA207" s="18"/>
      <c r="AB207" s="59">
        <f t="shared" si="96"/>
        <v>0</v>
      </c>
      <c r="AC207" s="634"/>
      <c r="AD207" s="772"/>
      <c r="AE207" s="83"/>
      <c r="AF207" s="621"/>
      <c r="AG207" s="439">
        <v>206</v>
      </c>
    </row>
    <row r="208" spans="1:34" s="9" customFormat="1" x14ac:dyDescent="0.85">
      <c r="A208" s="614"/>
      <c r="B208" s="303" t="s">
        <v>489</v>
      </c>
      <c r="C208" s="130" t="s">
        <v>494</v>
      </c>
      <c r="D208" s="127"/>
      <c r="E208" s="18"/>
      <c r="F208" s="18"/>
      <c r="G208" s="18"/>
      <c r="H208" s="18"/>
      <c r="I208" s="18"/>
      <c r="J208" s="18"/>
      <c r="K208" s="19"/>
      <c r="L208" s="18"/>
      <c r="M208" s="19"/>
      <c r="N208" s="18"/>
      <c r="O208" s="19"/>
      <c r="P208" s="18"/>
      <c r="Q208" s="19"/>
      <c r="R208" s="18"/>
      <c r="S208" s="19"/>
      <c r="T208" s="18"/>
      <c r="U208" s="19"/>
      <c r="V208" s="18"/>
      <c r="W208" s="19"/>
      <c r="X208" s="18"/>
      <c r="Y208" s="19"/>
      <c r="Z208" s="18"/>
      <c r="AA208" s="18"/>
      <c r="AB208" s="59">
        <f t="shared" si="96"/>
        <v>0</v>
      </c>
      <c r="AC208" s="82" t="str">
        <f>CONCATENATE(IF(D209&gt;D208," * Retesting at PNC &lt; = 6 weeks For age "&amp;$D$20&amp;" "&amp;$D$21&amp;" is less than  than Retesting positive result at PNC &lt; = 6 weeks"&amp;CHAR(10),""),IF(E209&gt;E208," * Retesting at PNC &lt; = 6 weeks For age "&amp;$D$20&amp;" "&amp;$E$21&amp;" is less than  than Retesting positive result at PNC &lt; = 6 weeks"&amp;CHAR(10),""),IF(F209&gt;F208," * Retesting at PNC &lt; = 6 weeks For age "&amp;$F$20&amp;" "&amp;$F$21&amp;" is less than  than Retesting positive result at PNC &lt; = 6 weeks"&amp;CHAR(10),""),IF(G209&gt;G208," * Retesting at PNC &lt; = 6 weeks For age "&amp;$F$20&amp;" "&amp;$G$21&amp;" is less than  than Retesting positive result at PNC &lt; = 6 weeks"&amp;CHAR(10),""),IF(H209&gt;H208," * Retesting at PNC &lt; = 6 weeks For age "&amp;$H$20&amp;" "&amp;$H$21&amp;" is less than  than Retesting positive result at PNC &lt; = 6 weeks"&amp;CHAR(10),""),IF(I209&gt;I208," * Retesting at PNC &lt; = 6 weeks For age "&amp;$H$20&amp;" "&amp;$I$21&amp;" is less than  than Retesting positive result at PNC &lt; = 6 weeks"&amp;CHAR(10),""),IF(J209&gt;J208," * Retesting at PNC &lt; = 6 weeks For age "&amp;$J$20&amp;" "&amp;$J$21&amp;" is less than  than Retesting positive result at PNC &lt; = 6 weeks"&amp;CHAR(10),""),IF(K209&gt;K208," * Retesting at PNC &lt; = 6 weeks For age "&amp;$J$20&amp;" "&amp;$K$21&amp;" is less than  than Retesting positive result at PNC &lt; = 6 weeks"&amp;CHAR(10),""),IF(L209&gt;L208," * Retesting at PNC &lt; = 6 weeks For age "&amp;$L$20&amp;" "&amp;$L$21&amp;" is less than  than Retesting positive result at PNC &lt; = 6 weeks"&amp;CHAR(10),""),IF(M209&gt;M208," * Retesting at PNC &lt; = 6 weeks For age "&amp;$L$20&amp;" "&amp;$M$21&amp;" is less than  than Retesting positive result at PNC &lt; = 6 weeks"&amp;CHAR(10),""),IF(N209&gt;N208," * Retesting at PNC &lt; = 6 weeks For age "&amp;$N$20&amp;" "&amp;$N$21&amp;" is less than  than Retesting positive result at PNC &lt; = 6 weeks"&amp;CHAR(10),""),IF(O209&gt;O208," * Retesting at PNC &lt; = 6 weeks For age "&amp;$N$20&amp;" "&amp;$O$21&amp;" is less than  than Retesting positive result at PNC &lt; = 6 weeks"&amp;CHAR(10),""),IF(P209&gt;P208," * Retesting at PNC &lt; = 6 weeks For age "&amp;$P$20&amp;" "&amp;$P$21&amp;" is less than  than Retesting positive result at PNC &lt; = 6 weeks"&amp;CHAR(10),""),IF(Q209&gt;Q208," * Retesting at PNC &lt; = 6 weeks For age "&amp;$P$20&amp;" "&amp;$Q$21&amp;" is less than  than Retesting positive result at PNC &lt; = 6 weeks"&amp;CHAR(10),""),IF(R209&gt;R208," * Retesting at PNC &lt; = 6 weeks For age "&amp;$R$20&amp;" "&amp;$R$21&amp;" is less than  than Retesting positive result at PNC &lt; = 6 weeks"&amp;CHAR(10),""),IF(S209&gt;S208," * Retesting at PNC &lt; = 6 weeks For age "&amp;$R$20&amp;" "&amp;$S$21&amp;" is less than  than Retesting positive result at PNC &lt; = 6 weeks"&amp;CHAR(10),""),IF(T209&gt;T208," * Retesting at PNC &lt; = 6 weeks For age "&amp;$T$20&amp;" "&amp;$T$21&amp;" is less than  than Retesting positive result at PNC &lt; = 6 weeks"&amp;CHAR(10),""),IF(U209&gt;U208," * Retesting at PNC &lt; = 6 weeks For age "&amp;$T$20&amp;" "&amp;$U$21&amp;" is less than  than Retesting positive result at PNC &lt; = 6 weeks"&amp;CHAR(10),""),IF(V209&gt;V208," * Retesting at PNC &lt; = 6 weeks For age "&amp;$V$20&amp;" "&amp;$V$21&amp;" is less than  than Retesting positive result at PNC &lt; = 6 weeks"&amp;CHAR(10),""),IF(W209&gt;W208," * Retesting at PNC &lt; = 6 weeks For age "&amp;$V$20&amp;" "&amp;$W$21&amp;" is less than  than Retesting positive result at PNC &lt; = 6 weeks"&amp;CHAR(10),""),IF(X209&gt;X208," * Retesting at PNC &lt; = 6 weeks For age "&amp;$X$20&amp;" "&amp;$X$21&amp;" is less than  than Retesting positive result at PNC &lt; = 6 weeks"&amp;CHAR(10),""),IF(Y209&gt;Y208," * Retesting at PNC &lt; = 6 weeks For age "&amp;$X$20&amp;" "&amp;$Y$21&amp;" is less than  than Retesting positive result at PNC &lt; = 6 weeks"&amp;CHAR(10),""),IF(Z209&gt;Z208," * Retesting at PNC &lt; = 6 weeks For age "&amp;$Z$20&amp;" "&amp;$Z$21&amp;" is less than  than Retesting positive result at PNC &lt; = 6 weeks"&amp;CHAR(10),""),IF(AA209&gt;AA208," * Retesting at PNC &lt; = 6 weeks For age "&amp;$Z$20&amp;" "&amp;$AA$21&amp;" is less than  than Retesting positive result at PNC &lt; = 6 weeks"&amp;CHAR(10),""))</f>
        <v/>
      </c>
      <c r="AD208" s="772"/>
      <c r="AE208" s="84"/>
      <c r="AF208" s="621"/>
      <c r="AG208" s="439">
        <v>207</v>
      </c>
      <c r="AH208" s="334"/>
    </row>
    <row r="209" spans="1:34" ht="31.75" x14ac:dyDescent="0.85">
      <c r="A209" s="614"/>
      <c r="B209" s="328" t="s">
        <v>490</v>
      </c>
      <c r="C209" s="146" t="s">
        <v>495</v>
      </c>
      <c r="D209" s="127"/>
      <c r="E209" s="18"/>
      <c r="F209" s="18"/>
      <c r="G209" s="18"/>
      <c r="H209" s="202"/>
      <c r="I209" s="202"/>
      <c r="J209" s="202"/>
      <c r="K209" s="200"/>
      <c r="L209" s="202"/>
      <c r="M209" s="200"/>
      <c r="N209" s="202"/>
      <c r="O209" s="200"/>
      <c r="P209" s="202"/>
      <c r="Q209" s="200"/>
      <c r="R209" s="202"/>
      <c r="S209" s="200"/>
      <c r="T209" s="202"/>
      <c r="U209" s="200"/>
      <c r="V209" s="202"/>
      <c r="W209" s="200"/>
      <c r="X209" s="202"/>
      <c r="Y209" s="200"/>
      <c r="Z209" s="202"/>
      <c r="AA209" s="18"/>
      <c r="AB209" s="59">
        <f t="shared" si="96"/>
        <v>0</v>
      </c>
      <c r="AC209" s="85"/>
      <c r="AD209" s="772"/>
      <c r="AE209" s="83"/>
      <c r="AF209" s="621"/>
      <c r="AG209" s="439">
        <v>208</v>
      </c>
    </row>
    <row r="210" spans="1:34" x14ac:dyDescent="0.85">
      <c r="A210" s="614"/>
      <c r="B210" s="303" t="s">
        <v>491</v>
      </c>
      <c r="C210" s="146" t="s">
        <v>496</v>
      </c>
      <c r="D210" s="127"/>
      <c r="E210" s="18"/>
      <c r="F210" s="18"/>
      <c r="G210" s="18"/>
      <c r="H210" s="18"/>
      <c r="I210" s="18"/>
      <c r="J210" s="18"/>
      <c r="K210" s="19"/>
      <c r="L210" s="18"/>
      <c r="M210" s="19"/>
      <c r="N210" s="18"/>
      <c r="O210" s="19"/>
      <c r="P210" s="18"/>
      <c r="Q210" s="19"/>
      <c r="R210" s="18"/>
      <c r="S210" s="19"/>
      <c r="T210" s="18"/>
      <c r="U210" s="19"/>
      <c r="V210" s="18"/>
      <c r="W210" s="19"/>
      <c r="X210" s="18"/>
      <c r="Y210" s="19"/>
      <c r="Z210" s="18"/>
      <c r="AA210" s="18"/>
      <c r="AB210" s="59">
        <f t="shared" si="96"/>
        <v>0</v>
      </c>
      <c r="AC210" s="82" t="str">
        <f>CONCATENATE(IF(D211&gt;D210," * Testing at PNC &gt; 6 weeks For age "&amp;$D$20&amp;" "&amp;$D$21&amp;" is less than Positive result at PNC &gt; 6 weeks"&amp;CHAR(10),""),IF(E211&gt;E210," * Testing at PNC &gt; 6 weeks For age "&amp;$D$20&amp;" "&amp;$E$21&amp;" is less than Positive result at PNC &gt; 6 weeks"&amp;CHAR(10),""),IF(F211&gt;F210," * Testing at PNC &gt; 6 weeks For age "&amp;$F$20&amp;" "&amp;$F$21&amp;" is less than Positive result at PNC &gt; 6 weeks"&amp;CHAR(10),""),IF(G211&gt;G210," * Testing at PNC &gt; 6 weeks For age "&amp;$F$20&amp;" "&amp;$G$21&amp;" is less than Positive result at PNC &gt; 6 weeks"&amp;CHAR(10),""),IF(H211&gt;H210," * Testing at PNC &gt; 6 weeks For age "&amp;$H$20&amp;" "&amp;$H$21&amp;" is less than Positive result at PNC &gt; 6 weeks"&amp;CHAR(10),""),IF(I211&gt;I210," * Testing at PNC &gt; 6 weeks For age "&amp;$H$20&amp;" "&amp;$I$21&amp;" is less than Positive result at PNC &gt; 6 weeks"&amp;CHAR(10),""),IF(J211&gt;J210," * Testing at PNC &gt; 6 weeks For age "&amp;$J$20&amp;" "&amp;$J$21&amp;" is less than Positive result at PNC &gt; 6 weeks"&amp;CHAR(10),""),IF(K211&gt;K210," * Testing at PNC &gt; 6 weeks For age "&amp;$J$20&amp;" "&amp;$K$21&amp;" is less than Positive result at PNC &gt; 6 weeks"&amp;CHAR(10),""),IF(L211&gt;L210," * Testing at PNC &gt; 6 weeks For age "&amp;$L$20&amp;" "&amp;$L$21&amp;" is less than Positive result at PNC &gt; 6 weeks"&amp;CHAR(10),""),IF(M211&gt;M210," * Testing at PNC &gt; 6 weeks For age "&amp;$L$20&amp;" "&amp;$M$21&amp;" is less than Positive result at PNC &gt; 6 weeks"&amp;CHAR(10),""),IF(N211&gt;N210," * Testing at PNC &gt; 6 weeks For age "&amp;$N$20&amp;" "&amp;$N$21&amp;" is less than Positive result at PNC &gt; 6 weeks"&amp;CHAR(10),""),IF(O211&gt;O210," * Testing at PNC &gt; 6 weeks For age "&amp;$N$20&amp;" "&amp;$O$21&amp;" is less than Positive result at PNC &gt; 6 weeks"&amp;CHAR(10),""),IF(P211&gt;P210," * Testing at PNC &gt; 6 weeks For age "&amp;$P$20&amp;" "&amp;$P$21&amp;" is less than Positive result at PNC &gt; 6 weeks"&amp;CHAR(10),""),IF(Q211&gt;Q210," * Testing at PNC &gt; 6 weeks For age "&amp;$P$20&amp;" "&amp;$Q$21&amp;" is less than Positive result at PNC &gt; 6 weeks"&amp;CHAR(10),""),IF(R211&gt;R210," * Testing at PNC &gt; 6 weeks For age "&amp;$R$20&amp;" "&amp;$R$21&amp;" is less than Positive result at PNC &gt; 6 weeks"&amp;CHAR(10),""),IF(S211&gt;S210," * Testing at PNC &gt; 6 weeks For age "&amp;$R$20&amp;" "&amp;$S$21&amp;" is less than Positive result at PNC &gt; 6 weeks"&amp;CHAR(10),""),IF(T211&gt;T210," * Testing at PNC &gt; 6 weeks For age "&amp;$T$20&amp;" "&amp;$T$21&amp;" is less than Positive result at PNC &gt; 6 weeks"&amp;CHAR(10),""),IF(U211&gt;U210," * Testing at PNC &gt; 6 weeks For age "&amp;$T$20&amp;" "&amp;$U$21&amp;" is less than Positive result at PNC &gt; 6 weeks"&amp;CHAR(10),""),IF(V211&gt;V210," * Testing at PNC &gt; 6 weeks For age "&amp;$V$20&amp;" "&amp;$V$21&amp;" is less than Positive result at PNC &gt; 6 weeks"&amp;CHAR(10),""),IF(W211&gt;W210," * Testing at PNC &gt; 6 weeks For age "&amp;$V$20&amp;" "&amp;$W$21&amp;" is less than Positive result at PNC &gt; 6 weeks"&amp;CHAR(10),""),IF(X211&gt;X210," * Testing at PNC &gt; 6 weeks For age "&amp;$X$20&amp;" "&amp;$X$21&amp;" is less than Positive result at PNC &gt; 6 weeks"&amp;CHAR(10),""),IF(Y211&gt;Y210," * Testing at PNC &gt; 6 weeks For age "&amp;$X$20&amp;" "&amp;$Y$21&amp;" is less than Positive result at PNC &gt; 6 weeks"&amp;CHAR(10),""),IF(Z211&gt;Z210," * Testing at PNC &gt; 6 weeks For age "&amp;$Z$20&amp;" "&amp;$Z$21&amp;" is less than Positive result at PNC &gt; 6 weeks"&amp;CHAR(10),""),IF(AA211&gt;AA210," * Testing at PNC &gt; 6 weeks For age "&amp;$Z$20&amp;" "&amp;$AA$21&amp;" is less than Positive result at PNC &gt; 6 weeks"&amp;CHAR(10),""))</f>
        <v/>
      </c>
      <c r="AD210" s="772"/>
      <c r="AE210" s="83"/>
      <c r="AF210" s="621"/>
      <c r="AG210" s="439">
        <v>209</v>
      </c>
    </row>
    <row r="211" spans="1:34" ht="31.3" thickBot="1" x14ac:dyDescent="0.9">
      <c r="A211" s="615"/>
      <c r="B211" s="305" t="s">
        <v>492</v>
      </c>
      <c r="C211" s="147" t="s">
        <v>497</v>
      </c>
      <c r="D211" s="143"/>
      <c r="E211" s="38"/>
      <c r="F211" s="38"/>
      <c r="G211" s="38"/>
      <c r="H211" s="204"/>
      <c r="I211" s="204"/>
      <c r="J211" s="204"/>
      <c r="K211" s="205"/>
      <c r="L211" s="204"/>
      <c r="M211" s="205"/>
      <c r="N211" s="204"/>
      <c r="O211" s="205"/>
      <c r="P211" s="204"/>
      <c r="Q211" s="205"/>
      <c r="R211" s="204"/>
      <c r="S211" s="205"/>
      <c r="T211" s="204"/>
      <c r="U211" s="205"/>
      <c r="V211" s="204"/>
      <c r="W211" s="205"/>
      <c r="X211" s="204"/>
      <c r="Y211" s="205"/>
      <c r="Z211" s="204"/>
      <c r="AA211" s="204"/>
      <c r="AB211" s="61">
        <f t="shared" si="96"/>
        <v>0</v>
      </c>
      <c r="AC211" s="85"/>
      <c r="AD211" s="772"/>
      <c r="AE211" s="83"/>
      <c r="AF211" s="621"/>
      <c r="AG211" s="439">
        <v>210</v>
      </c>
    </row>
    <row r="212" spans="1:34" x14ac:dyDescent="0.85">
      <c r="A212" s="607" t="s">
        <v>124</v>
      </c>
      <c r="B212" s="306" t="s">
        <v>713</v>
      </c>
      <c r="C212" s="134" t="s">
        <v>287</v>
      </c>
      <c r="D212" s="141"/>
      <c r="E212" s="34"/>
      <c r="F212" s="34"/>
      <c r="G212" s="34"/>
      <c r="H212" s="34"/>
      <c r="I212" s="34"/>
      <c r="J212" s="35"/>
      <c r="K212" s="34"/>
      <c r="L212" s="35"/>
      <c r="M212" s="34"/>
      <c r="N212" s="35"/>
      <c r="O212" s="34"/>
      <c r="P212" s="35"/>
      <c r="Q212" s="34"/>
      <c r="R212" s="35"/>
      <c r="S212" s="34"/>
      <c r="T212" s="35"/>
      <c r="U212" s="34"/>
      <c r="V212" s="35"/>
      <c r="W212" s="34"/>
      <c r="X212" s="35"/>
      <c r="Y212" s="34"/>
      <c r="Z212" s="35"/>
      <c r="AA212" s="34"/>
      <c r="AB212" s="62">
        <f t="shared" si="96"/>
        <v>0</v>
      </c>
      <c r="AC212" s="634" t="str">
        <f>CONCATENATE(IF(D213&gt;D212," * Male Partners Tested Positive for Age "&amp;D20&amp;" "&amp;D21&amp;" is more than Male Partners Tested"&amp;CHAR(10),""),IF(E213&gt;E212," * Male Partners Tested Positive for Age "&amp;D20&amp;" "&amp;E21&amp;" is more than Male Partners Tested"&amp;CHAR(10),""),IF(F213&gt;F212," * Male Partners Tested Positive for Age "&amp;F20&amp;" "&amp;F21&amp;" is more than Male Partners Tested"&amp;CHAR(10),""),IF(G213&gt;G212," * Male Partners Tested Positive for Age "&amp;F20&amp;" "&amp;G21&amp;" is more than Male Partners Tested"&amp;CHAR(10),""),IF(H213&gt;H212," * Male Partners Tested Positive for Age "&amp;H20&amp;" "&amp;H21&amp;" is more than Male Partners Tested"&amp;CHAR(10),""),IF(I213&gt;I212," * Male Partners Tested Positive for Age "&amp;H20&amp;" "&amp;I21&amp;" is more than Male Partners Tested"&amp;CHAR(10),""),IF(J213&gt;J212," * Male Partners Tested Positive for Age "&amp;J20&amp;" "&amp;J21&amp;" is more than Male Partners Tested"&amp;CHAR(10),""),IF(K213&gt;K212," * Male Partners Tested Positive for Age "&amp;J20&amp;" "&amp;K21&amp;" is more than Male Partners Tested"&amp;CHAR(10),""),IF(L213&gt;L212," * Male Partners Tested Positive for Age "&amp;L20&amp;" "&amp;L21&amp;" is more than Male Partners Tested"&amp;CHAR(10),""),IF(M213&gt;M212," * Male Partners Tested Positive for Age "&amp;L20&amp;" "&amp;M21&amp;" is more than Male Partners Tested"&amp;CHAR(10),""),IF(N213&gt;N212," * Male Partners Tested Positive for Age "&amp;N20&amp;" "&amp;N21&amp;" is more than Male Partners Tested"&amp;CHAR(10),""),IF(O213&gt;O212," * Male Partners Tested Positive for Age "&amp;N20&amp;" "&amp;O21&amp;" is more than Male Partners Tested"&amp;CHAR(10),""),IF(P213&gt;P212," * Male Partners Tested Positive for Age "&amp;P20&amp;" "&amp;P21&amp;" is more than Male Partners Tested"&amp;CHAR(10),""),IF(Q213&gt;Q212," * Male Partners Tested Positive for Age "&amp;P20&amp;" "&amp;Q21&amp;" is more than Male Partners Tested"&amp;CHAR(10),""),IF(R213&gt;R212," * Male Partners Tested Positive for Age "&amp;R20&amp;" "&amp;R21&amp;" is more than Male Partners Tested"&amp;CHAR(10),""),IF(S213&gt;S212," * Male Partners Tested Positive for Age "&amp;R20&amp;" "&amp;S21&amp;" is more than Male Partners Tested"&amp;CHAR(10),""),IF(T213&gt;T212," * Male Partners Tested Positive for Age "&amp;T20&amp;" "&amp;T21&amp;" is more than Male Partners Tested"&amp;CHAR(10),""),IF(U213&gt;U212," * Male Partners Tested Positive for Age "&amp;T20&amp;" "&amp;U21&amp;" is more than Male Partners Tested"&amp;CHAR(10),""),IF(V213&gt;V212," * Male Partners Tested Positive for Age "&amp;V20&amp;" "&amp;V21&amp;" is more than Male Partners Tested"&amp;CHAR(10),""),IF(W213&gt;W212," * Male Partners Tested Positive for Age "&amp;V20&amp;" "&amp;W21&amp;" is more than Male Partners Tested"&amp;CHAR(10),""),IF(X213&gt;X212," * Male Partners Tested Positive for Age "&amp;X20&amp;" "&amp;X21&amp;" is more than Male Partners Tested"&amp;CHAR(10),""),IF(Y213&gt;Y212," * Male Partners Tested Positive for Age "&amp;X20&amp;" "&amp;Y21&amp;" is more than Male Partners Tested"&amp;CHAR(10),""),IF(Z213&gt;Z212," * Male Partners Tested Positive for Age "&amp;Z20&amp;" "&amp;Z21&amp;" is more than Male Partners Tested"&amp;CHAR(10),""),IF(AA213&gt;AA212," * Male Partners Tested Positive for Age "&amp;Z20&amp;" "&amp;AA21&amp;" is more than Male Partners Tested"&amp;CHAR(10),""))</f>
        <v/>
      </c>
      <c r="AD212" s="772"/>
      <c r="AE212" s="83"/>
      <c r="AF212" s="621"/>
      <c r="AG212" s="439">
        <v>211</v>
      </c>
    </row>
    <row r="213" spans="1:34" ht="31.3" thickBot="1" x14ac:dyDescent="0.9">
      <c r="A213" s="609"/>
      <c r="B213" s="305" t="s">
        <v>714</v>
      </c>
      <c r="C213" s="138" t="s">
        <v>288</v>
      </c>
      <c r="D213" s="143"/>
      <c r="E213" s="38"/>
      <c r="F213" s="38"/>
      <c r="G213" s="38"/>
      <c r="H213" s="38"/>
      <c r="I213" s="38"/>
      <c r="J213" s="55"/>
      <c r="K213" s="38"/>
      <c r="L213" s="55"/>
      <c r="M213" s="38"/>
      <c r="N213" s="55"/>
      <c r="O213" s="38"/>
      <c r="P213" s="55"/>
      <c r="Q213" s="38"/>
      <c r="R213" s="55"/>
      <c r="S213" s="38"/>
      <c r="T213" s="55"/>
      <c r="U213" s="38"/>
      <c r="V213" s="55"/>
      <c r="W213" s="38"/>
      <c r="X213" s="55"/>
      <c r="Y213" s="38"/>
      <c r="Z213" s="55"/>
      <c r="AA213" s="38"/>
      <c r="AB213" s="61">
        <f t="shared" si="96"/>
        <v>0</v>
      </c>
      <c r="AC213" s="634"/>
      <c r="AD213" s="773"/>
      <c r="AE213" s="83"/>
      <c r="AF213" s="770"/>
      <c r="AG213" s="439">
        <v>212</v>
      </c>
    </row>
    <row r="214" spans="1:34" x14ac:dyDescent="0.85">
      <c r="A214" s="607" t="s">
        <v>513</v>
      </c>
      <c r="B214" s="306" t="s">
        <v>716</v>
      </c>
      <c r="C214" s="129" t="s">
        <v>530</v>
      </c>
      <c r="D214" s="154"/>
      <c r="E214" s="48"/>
      <c r="F214" s="34"/>
      <c r="G214" s="34"/>
      <c r="H214" s="34"/>
      <c r="I214" s="34"/>
      <c r="J214" s="34"/>
      <c r="K214" s="34"/>
      <c r="L214" s="34"/>
      <c r="M214" s="34"/>
      <c r="N214" s="34"/>
      <c r="O214" s="34"/>
      <c r="P214" s="34"/>
      <c r="Q214" s="34"/>
      <c r="R214" s="34"/>
      <c r="S214" s="34"/>
      <c r="T214" s="34"/>
      <c r="U214" s="34"/>
      <c r="V214" s="34"/>
      <c r="W214" s="34"/>
      <c r="X214" s="34"/>
      <c r="Y214" s="34"/>
      <c r="Z214" s="34"/>
      <c r="AA214" s="34"/>
      <c r="AB214" s="62">
        <f t="shared" si="96"/>
        <v>0</v>
      </c>
      <c r="AC214" s="85" t="str">
        <f>CONCATENATE(IF(D217&gt;D214," * EID Tested Positive 0-2 Months for Age "&amp;$D$20&amp;" "&amp;$D$21&amp;" is more than EID Tested 0-2 Months"&amp;CHAR(10),""),IF(E217&gt;E214," * EID Tested Positive 0-2 Months for Age "&amp;$D$20&amp;" "&amp;$E$21&amp;" is more than EID Tested 0-2 Months"&amp;CHAR(10),""))</f>
        <v/>
      </c>
      <c r="AD214" s="774" t="str">
        <f>CONCATENATE(AC216,AC217,AC218,AC219,AC220,AC221,AC222,AC200,AC214,AC215)</f>
        <v/>
      </c>
      <c r="AE214" s="83"/>
      <c r="AF214" s="620" t="str">
        <f>CONCATENATE(AE214,AE215,AE216,AE217,AE218,AE219,AE220,AE221,AE222)</f>
        <v/>
      </c>
      <c r="AG214" s="439">
        <v>213</v>
      </c>
    </row>
    <row r="215" spans="1:34" s="9" customFormat="1" x14ac:dyDescent="0.85">
      <c r="A215" s="608"/>
      <c r="B215" s="303" t="s">
        <v>715</v>
      </c>
      <c r="C215" s="130" t="s">
        <v>531</v>
      </c>
      <c r="D215" s="163"/>
      <c r="E215" s="24"/>
      <c r="F215" s="18"/>
      <c r="G215" s="18"/>
      <c r="H215" s="18"/>
      <c r="I215" s="18"/>
      <c r="J215" s="18"/>
      <c r="K215" s="18"/>
      <c r="L215" s="18"/>
      <c r="M215" s="18"/>
      <c r="N215" s="18"/>
      <c r="O215" s="18"/>
      <c r="P215" s="18"/>
      <c r="Q215" s="18"/>
      <c r="R215" s="18"/>
      <c r="S215" s="18"/>
      <c r="T215" s="18"/>
      <c r="U215" s="18"/>
      <c r="V215" s="18"/>
      <c r="W215" s="18"/>
      <c r="X215" s="18"/>
      <c r="Y215" s="18"/>
      <c r="Z215" s="18"/>
      <c r="AA215" s="18"/>
      <c r="AB215" s="59">
        <f t="shared" si="96"/>
        <v>0</v>
      </c>
      <c r="AC215" s="85" t="str">
        <f>CONCATENATE(IF(D218&gt;D215," * EID Tested Positive 2-12 Months for Age "&amp;$D$20&amp;" "&amp;$D$21&amp;" is more than EID Tested 2-12 Months"&amp;CHAR(10),""),IF(E218&gt;E215," * EID Tested Positive 2-12 Months for Age "&amp;$D$20&amp;" "&amp;$E$21&amp;" is more than EID Tested 2-12 Months"&amp;CHAR(10),""))</f>
        <v/>
      </c>
      <c r="AD215" s="772"/>
      <c r="AE215" s="84"/>
      <c r="AF215" s="621"/>
      <c r="AG215" s="439">
        <v>214</v>
      </c>
      <c r="AH215" s="334"/>
    </row>
    <row r="216" spans="1:34" ht="32.15" thickBot="1" x14ac:dyDescent="0.9">
      <c r="A216" s="609"/>
      <c r="B216" s="447" t="s">
        <v>516</v>
      </c>
      <c r="C216" s="147" t="s">
        <v>532</v>
      </c>
      <c r="D216" s="167">
        <f>D214+D215</f>
        <v>0</v>
      </c>
      <c r="E216" s="60">
        <f>E214+E215</f>
        <v>0</v>
      </c>
      <c r="F216" s="38"/>
      <c r="G216" s="38"/>
      <c r="H216" s="38"/>
      <c r="I216" s="38"/>
      <c r="J216" s="38"/>
      <c r="K216" s="38"/>
      <c r="L216" s="38"/>
      <c r="M216" s="38"/>
      <c r="N216" s="38"/>
      <c r="O216" s="38"/>
      <c r="P216" s="38"/>
      <c r="Q216" s="38"/>
      <c r="R216" s="38"/>
      <c r="S216" s="38"/>
      <c r="T216" s="38"/>
      <c r="U216" s="38"/>
      <c r="V216" s="38"/>
      <c r="W216" s="38"/>
      <c r="X216" s="38"/>
      <c r="Y216" s="38"/>
      <c r="Z216" s="38"/>
      <c r="AA216" s="38"/>
      <c r="AB216" s="61">
        <f t="shared" si="96"/>
        <v>0</v>
      </c>
      <c r="AC216" s="85" t="str">
        <f>IF(AB216&gt;SUM(AB209,AB207,AB205,AB203,AB201,AB199,AB195,AB193)," EID Testing cannot be more than PMTCT HIV Positive Mothers (ANC 1 Other ANC, L&amp;D and PNC","")</f>
        <v/>
      </c>
      <c r="AD216" s="772"/>
      <c r="AE216" s="83"/>
      <c r="AF216" s="621"/>
      <c r="AG216" s="439">
        <v>215</v>
      </c>
    </row>
    <row r="217" spans="1:34" x14ac:dyDescent="0.85">
      <c r="A217" s="607" t="s">
        <v>517</v>
      </c>
      <c r="B217" s="306" t="s">
        <v>521</v>
      </c>
      <c r="C217" s="129" t="s">
        <v>533</v>
      </c>
      <c r="D217" s="211"/>
      <c r="E217" s="212"/>
      <c r="F217" s="34"/>
      <c r="G217" s="34"/>
      <c r="H217" s="34"/>
      <c r="I217" s="34"/>
      <c r="J217" s="34"/>
      <c r="K217" s="34"/>
      <c r="L217" s="34"/>
      <c r="M217" s="34"/>
      <c r="N217" s="34"/>
      <c r="O217" s="34"/>
      <c r="P217" s="34"/>
      <c r="Q217" s="34"/>
      <c r="R217" s="34"/>
      <c r="S217" s="34"/>
      <c r="T217" s="34"/>
      <c r="U217" s="34"/>
      <c r="V217" s="34"/>
      <c r="W217" s="34"/>
      <c r="X217" s="34"/>
      <c r="Y217" s="34"/>
      <c r="Z217" s="34"/>
      <c r="AA217" s="34"/>
      <c r="AB217" s="62">
        <f t="shared" si="96"/>
        <v>0</v>
      </c>
      <c r="AC217" s="85" t="str">
        <f>CONCATENATE(IF(D220&gt;D217," * EID initiated on ART 0-2 Months for Age "&amp;$D$20&amp;" "&amp;$D$21&amp;" is more than EID Positive 0-2 Months"&amp;CHAR(10),""),IF(E220&gt;E217," * EID initiated on ART 0-2 Months for Age "&amp;$D$20&amp;" "&amp;$E$21&amp;" is more than EID Positive 0-2 Months"&amp;CHAR(10),""))</f>
        <v/>
      </c>
      <c r="AD217" s="772"/>
      <c r="AE217" s="85" t="str">
        <f>CONCATENATE(IF(D220&lt;D217," * EID initiated on ART 0-2 Months for Age "&amp;$D$20&amp;" "&amp;$D$21&amp;" is less than EID Positive 0-2 Months"&amp;CHAR(10),""),IF(E220&lt;E217," * EID initiated on ART 0-2 Months for Age "&amp;$D$20&amp;" "&amp;$E$21&amp;" is less than EID Positive 0-2 Months"&amp;CHAR(10),""))</f>
        <v/>
      </c>
      <c r="AF217" s="621"/>
      <c r="AG217" s="439">
        <v>216</v>
      </c>
    </row>
    <row r="218" spans="1:34" s="9" customFormat="1" x14ac:dyDescent="0.85">
      <c r="A218" s="608"/>
      <c r="B218" s="303" t="s">
        <v>518</v>
      </c>
      <c r="C218" s="130" t="s">
        <v>534</v>
      </c>
      <c r="D218" s="213"/>
      <c r="E218" s="214"/>
      <c r="F218" s="18"/>
      <c r="G218" s="18"/>
      <c r="H218" s="18"/>
      <c r="I218" s="18"/>
      <c r="J218" s="18"/>
      <c r="K218" s="18"/>
      <c r="L218" s="18"/>
      <c r="M218" s="18"/>
      <c r="N218" s="18"/>
      <c r="O218" s="18"/>
      <c r="P218" s="18"/>
      <c r="Q218" s="18"/>
      <c r="R218" s="18"/>
      <c r="S218" s="18"/>
      <c r="T218" s="18"/>
      <c r="U218" s="18"/>
      <c r="V218" s="18"/>
      <c r="W218" s="18"/>
      <c r="X218" s="18"/>
      <c r="Y218" s="18"/>
      <c r="Z218" s="18"/>
      <c r="AA218" s="18"/>
      <c r="AB218" s="59">
        <f t="shared" si="96"/>
        <v>0</v>
      </c>
      <c r="AC218" s="85" t="str">
        <f>CONCATENATE(IF(D221&gt;D218," * EID initiated on ART 2-12 Months for Age "&amp;$D$20&amp;" "&amp;$D$21&amp;" is more than EID Positive 2-12 Months"&amp;CHAR(10),""),IF(E221&gt;E218," * EID initiated on ART 2-12 Months for Age "&amp;$D$20&amp;" "&amp;$E$21&amp;" is more than EID Positive 2-12 Months"&amp;CHAR(10),""))</f>
        <v/>
      </c>
      <c r="AD218" s="772"/>
      <c r="AE218" s="85" t="str">
        <f>CONCATENATE(IF(D221&lt;D218," * EID initiated on ART 2-12 Months for Age "&amp;$D$20&amp;" "&amp;$D$21&amp;" is less than EID Positive 2-12 Months"&amp;CHAR(10),""),IF(E221&lt;E218," * EID initiated on ART 2-12 Months for Age "&amp;$D$20&amp;" "&amp;$E$21&amp;" is less than EID Positive 2-12 Months"&amp;CHAR(10),""))</f>
        <v/>
      </c>
      <c r="AF218" s="621"/>
      <c r="AG218" s="439">
        <v>217</v>
      </c>
      <c r="AH218" s="334"/>
    </row>
    <row r="219" spans="1:34" ht="32.15" thickBot="1" x14ac:dyDescent="0.9">
      <c r="A219" s="609"/>
      <c r="B219" s="447" t="s">
        <v>519</v>
      </c>
      <c r="C219" s="147" t="s">
        <v>535</v>
      </c>
      <c r="D219" s="167">
        <f>D217+D218</f>
        <v>0</v>
      </c>
      <c r="E219" s="60">
        <f>E217+E218</f>
        <v>0</v>
      </c>
      <c r="F219" s="38"/>
      <c r="G219" s="38"/>
      <c r="H219" s="38"/>
      <c r="I219" s="38"/>
      <c r="J219" s="38"/>
      <c r="K219" s="38"/>
      <c r="L219" s="38"/>
      <c r="M219" s="38"/>
      <c r="N219" s="38"/>
      <c r="O219" s="38"/>
      <c r="P219" s="38"/>
      <c r="Q219" s="38"/>
      <c r="R219" s="38"/>
      <c r="S219" s="38"/>
      <c r="T219" s="38"/>
      <c r="U219" s="38"/>
      <c r="V219" s="38"/>
      <c r="W219" s="38"/>
      <c r="X219" s="38"/>
      <c r="Y219" s="38"/>
      <c r="Z219" s="38"/>
      <c r="AA219" s="38"/>
      <c r="AB219" s="61">
        <f t="shared" si="96"/>
        <v>0</v>
      </c>
      <c r="AC219" s="85" t="str">
        <f>CONCATENATE(IF(D222&gt;D219," * EID initiated on ART 0-12 Months for Age "&amp;$D$20&amp;" "&amp;$D$21&amp;" is more than EID Positive 0-12 Months"&amp;CHAR(10),""),IF(E222&gt;E219," * EID initiated on ART 0-12 Months for Age "&amp;$D$20&amp;" "&amp;$E$21&amp;" is more than EID Positive 0-12 Months"&amp;CHAR(10),""))</f>
        <v/>
      </c>
      <c r="AD219" s="772"/>
      <c r="AE219" s="85" t="str">
        <f>CONCATENATE(IF(D222&lt;D219," * EID initiated on ART 0-12 Months for Age "&amp;$D$20&amp;" "&amp;$D$21&amp;" is less than EID Positive 0-12 Months"&amp;CHAR(10),""),IF(E222&lt;E219," * EID initiated on ART 0-12 Months for Age "&amp;$D$20&amp;" "&amp;$E$21&amp;" is less than EID Positive 0-12 Months"&amp;CHAR(10),""))</f>
        <v/>
      </c>
      <c r="AF219" s="621"/>
      <c r="AG219" s="439">
        <v>218</v>
      </c>
    </row>
    <row r="220" spans="1:34" x14ac:dyDescent="0.85">
      <c r="A220" s="607" t="s">
        <v>514</v>
      </c>
      <c r="B220" s="306" t="s">
        <v>955</v>
      </c>
      <c r="C220" s="129" t="s">
        <v>536</v>
      </c>
      <c r="D220" s="154"/>
      <c r="E220" s="48"/>
      <c r="F220" s="34"/>
      <c r="G220" s="34"/>
      <c r="H220" s="34"/>
      <c r="I220" s="34"/>
      <c r="J220" s="34"/>
      <c r="K220" s="34"/>
      <c r="L220" s="34"/>
      <c r="M220" s="34"/>
      <c r="N220" s="34"/>
      <c r="O220" s="34"/>
      <c r="P220" s="34"/>
      <c r="Q220" s="34"/>
      <c r="R220" s="34"/>
      <c r="S220" s="34"/>
      <c r="T220" s="34"/>
      <c r="U220" s="34"/>
      <c r="V220" s="34"/>
      <c r="W220" s="34"/>
      <c r="X220" s="34"/>
      <c r="Y220" s="34"/>
      <c r="Z220" s="34"/>
      <c r="AA220" s="34"/>
      <c r="AB220" s="62">
        <f t="shared" si="96"/>
        <v>0</v>
      </c>
      <c r="AC220" s="85"/>
      <c r="AD220" s="772"/>
      <c r="AE220" s="83"/>
      <c r="AF220" s="621"/>
      <c r="AG220" s="439">
        <v>219</v>
      </c>
    </row>
    <row r="221" spans="1:34" x14ac:dyDescent="0.85">
      <c r="A221" s="608"/>
      <c r="B221" s="303" t="s">
        <v>956</v>
      </c>
      <c r="C221" s="146" t="s">
        <v>537</v>
      </c>
      <c r="D221" s="163"/>
      <c r="E221" s="24"/>
      <c r="F221" s="18"/>
      <c r="G221" s="18"/>
      <c r="H221" s="18"/>
      <c r="I221" s="18"/>
      <c r="J221" s="18"/>
      <c r="K221" s="18"/>
      <c r="L221" s="18"/>
      <c r="M221" s="18"/>
      <c r="N221" s="18"/>
      <c r="O221" s="18"/>
      <c r="P221" s="18"/>
      <c r="Q221" s="18"/>
      <c r="R221" s="18"/>
      <c r="S221" s="18"/>
      <c r="T221" s="18"/>
      <c r="U221" s="18"/>
      <c r="V221" s="18"/>
      <c r="W221" s="18"/>
      <c r="X221" s="18"/>
      <c r="Y221" s="18"/>
      <c r="Z221" s="18"/>
      <c r="AA221" s="18"/>
      <c r="AB221" s="59">
        <f t="shared" si="96"/>
        <v>0</v>
      </c>
      <c r="AC221" s="85"/>
      <c r="AD221" s="772"/>
      <c r="AE221" s="83"/>
      <c r="AF221" s="621"/>
      <c r="AG221" s="439">
        <v>220</v>
      </c>
    </row>
    <row r="222" spans="1:34" ht="32.15" thickBot="1" x14ac:dyDescent="0.9">
      <c r="A222" s="610"/>
      <c r="B222" s="448" t="s">
        <v>977</v>
      </c>
      <c r="C222" s="147" t="s">
        <v>538</v>
      </c>
      <c r="D222" s="168">
        <f>D220+D221</f>
        <v>0</v>
      </c>
      <c r="E222" s="307">
        <f>E220+E221</f>
        <v>0</v>
      </c>
      <c r="F222" s="50"/>
      <c r="G222" s="50"/>
      <c r="H222" s="50"/>
      <c r="I222" s="50"/>
      <c r="J222" s="50"/>
      <c r="K222" s="50"/>
      <c r="L222" s="50"/>
      <c r="M222" s="50"/>
      <c r="N222" s="50"/>
      <c r="O222" s="50"/>
      <c r="P222" s="50"/>
      <c r="Q222" s="50"/>
      <c r="R222" s="50"/>
      <c r="S222" s="50"/>
      <c r="T222" s="50"/>
      <c r="U222" s="50"/>
      <c r="V222" s="50"/>
      <c r="W222" s="50"/>
      <c r="X222" s="50"/>
      <c r="Y222" s="50"/>
      <c r="Z222" s="50"/>
      <c r="AA222" s="50"/>
      <c r="AB222" s="107">
        <f t="shared" ref="AB222" si="97">SUM(D222:AA222)</f>
        <v>0</v>
      </c>
      <c r="AC222" s="194" t="str">
        <f>CONCATENATE(IF(D222&lt;&gt;D243,"*Starting ART &lt; 1 M  Must be equals to Infants 0-12 Months HIV +ve started on ART"&amp;CHAR(10),""),IF(E222&lt;&gt;E243,"*Starting ART &lt; 1 F  Must be equals to Infants 0-12 Months +ve started on ART"&amp;CHAR(10),""))</f>
        <v/>
      </c>
      <c r="AD222" s="775"/>
      <c r="AE222" s="97"/>
      <c r="AF222" s="622"/>
      <c r="AG222" s="439">
        <v>221</v>
      </c>
    </row>
    <row r="223" spans="1:34" ht="35.15" thickBot="1" x14ac:dyDescent="0.9">
      <c r="A223" s="578" t="s">
        <v>129</v>
      </c>
      <c r="B223" s="579"/>
      <c r="C223" s="579"/>
      <c r="D223" s="579"/>
      <c r="E223" s="579"/>
      <c r="F223" s="579"/>
      <c r="G223" s="579"/>
      <c r="H223" s="579"/>
      <c r="I223" s="579"/>
      <c r="J223" s="579"/>
      <c r="K223" s="579"/>
      <c r="L223" s="579"/>
      <c r="M223" s="579"/>
      <c r="N223" s="579"/>
      <c r="O223" s="579"/>
      <c r="P223" s="579"/>
      <c r="Q223" s="579"/>
      <c r="R223" s="579"/>
      <c r="S223" s="579"/>
      <c r="T223" s="579"/>
      <c r="U223" s="579"/>
      <c r="V223" s="579"/>
      <c r="W223" s="579"/>
      <c r="X223" s="579"/>
      <c r="Y223" s="579"/>
      <c r="Z223" s="579"/>
      <c r="AA223" s="579"/>
      <c r="AB223" s="579"/>
      <c r="AC223" s="579"/>
      <c r="AD223" s="579"/>
      <c r="AE223" s="579"/>
      <c r="AF223" s="580"/>
      <c r="AG223" s="439">
        <v>222</v>
      </c>
    </row>
    <row r="224" spans="1:34" ht="26.15" x14ac:dyDescent="0.85">
      <c r="A224" s="588" t="s">
        <v>37</v>
      </c>
      <c r="B224" s="611" t="s">
        <v>347</v>
      </c>
      <c r="C224" s="666" t="s">
        <v>328</v>
      </c>
      <c r="D224" s="603" t="s">
        <v>0</v>
      </c>
      <c r="E224" s="602"/>
      <c r="F224" s="602" t="s">
        <v>1</v>
      </c>
      <c r="G224" s="602"/>
      <c r="H224" s="602" t="s">
        <v>2</v>
      </c>
      <c r="I224" s="602"/>
      <c r="J224" s="602" t="s">
        <v>3</v>
      </c>
      <c r="K224" s="602"/>
      <c r="L224" s="602" t="s">
        <v>4</v>
      </c>
      <c r="M224" s="602"/>
      <c r="N224" s="602" t="s">
        <v>5</v>
      </c>
      <c r="O224" s="602"/>
      <c r="P224" s="602" t="s">
        <v>6</v>
      </c>
      <c r="Q224" s="602"/>
      <c r="R224" s="602" t="s">
        <v>7</v>
      </c>
      <c r="S224" s="602"/>
      <c r="T224" s="602" t="s">
        <v>8</v>
      </c>
      <c r="U224" s="602"/>
      <c r="V224" s="602" t="s">
        <v>23</v>
      </c>
      <c r="W224" s="602"/>
      <c r="X224" s="602" t="s">
        <v>24</v>
      </c>
      <c r="Y224" s="602"/>
      <c r="Z224" s="602" t="s">
        <v>9</v>
      </c>
      <c r="AA224" s="602"/>
      <c r="AB224" s="649" t="s">
        <v>19</v>
      </c>
      <c r="AC224" s="637" t="s">
        <v>381</v>
      </c>
      <c r="AD224" s="583" t="s">
        <v>387</v>
      </c>
      <c r="AE224" s="582" t="s">
        <v>388</v>
      </c>
      <c r="AF224" s="630" t="s">
        <v>388</v>
      </c>
      <c r="AG224" s="439">
        <v>223</v>
      </c>
    </row>
    <row r="225" spans="1:34" ht="26.6" thickBot="1" x14ac:dyDescent="0.9">
      <c r="A225" s="589"/>
      <c r="B225" s="612"/>
      <c r="C225" s="667"/>
      <c r="D225" s="116" t="s">
        <v>10</v>
      </c>
      <c r="E225" s="81" t="s">
        <v>11</v>
      </c>
      <c r="F225" s="81" t="s">
        <v>10</v>
      </c>
      <c r="G225" s="81" t="s">
        <v>11</v>
      </c>
      <c r="H225" s="81" t="s">
        <v>10</v>
      </c>
      <c r="I225" s="81" t="s">
        <v>11</v>
      </c>
      <c r="J225" s="81" t="s">
        <v>10</v>
      </c>
      <c r="K225" s="81" t="s">
        <v>11</v>
      </c>
      <c r="L225" s="81" t="s">
        <v>10</v>
      </c>
      <c r="M225" s="81" t="s">
        <v>11</v>
      </c>
      <c r="N225" s="81" t="s">
        <v>10</v>
      </c>
      <c r="O225" s="81" t="s">
        <v>11</v>
      </c>
      <c r="P225" s="81" t="s">
        <v>10</v>
      </c>
      <c r="Q225" s="81" t="s">
        <v>11</v>
      </c>
      <c r="R225" s="81" t="s">
        <v>10</v>
      </c>
      <c r="S225" s="81" t="s">
        <v>11</v>
      </c>
      <c r="T225" s="81" t="s">
        <v>10</v>
      </c>
      <c r="U225" s="81" t="s">
        <v>11</v>
      </c>
      <c r="V225" s="81" t="s">
        <v>10</v>
      </c>
      <c r="W225" s="81" t="s">
        <v>11</v>
      </c>
      <c r="X225" s="81" t="s">
        <v>10</v>
      </c>
      <c r="Y225" s="81" t="s">
        <v>11</v>
      </c>
      <c r="Z225" s="81" t="s">
        <v>10</v>
      </c>
      <c r="AA225" s="81" t="s">
        <v>11</v>
      </c>
      <c r="AB225" s="650"/>
      <c r="AC225" s="638"/>
      <c r="AD225" s="584"/>
      <c r="AE225" s="582"/>
      <c r="AF225" s="577"/>
      <c r="AG225" s="439">
        <v>224</v>
      </c>
    </row>
    <row r="226" spans="1:34" x14ac:dyDescent="0.85">
      <c r="A226" s="613" t="s">
        <v>483</v>
      </c>
      <c r="B226" s="308" t="s">
        <v>499</v>
      </c>
      <c r="C226" s="164" t="s">
        <v>373</v>
      </c>
      <c r="D226" s="126"/>
      <c r="E226" s="32"/>
      <c r="F226" s="32"/>
      <c r="G226" s="32"/>
      <c r="H226" s="32"/>
      <c r="I226" s="32"/>
      <c r="J226" s="32"/>
      <c r="K226" s="31"/>
      <c r="L226" s="32"/>
      <c r="M226" s="31"/>
      <c r="N226" s="32"/>
      <c r="O226" s="31"/>
      <c r="P226" s="32"/>
      <c r="Q226" s="31"/>
      <c r="R226" s="32"/>
      <c r="S226" s="31"/>
      <c r="T226" s="32"/>
      <c r="U226" s="31"/>
      <c r="V226" s="32"/>
      <c r="W226" s="31"/>
      <c r="X226" s="32"/>
      <c r="Y226" s="31"/>
      <c r="Z226" s="32"/>
      <c r="AA226" s="32"/>
      <c r="AB226" s="89">
        <f>SUM(D226:AA226)</f>
        <v>0</v>
      </c>
      <c r="AC226" s="102"/>
      <c r="AD226" s="599" t="str">
        <f>CONCATENATE(AC226,AC227,AC231,AC233,AC236,AC237,AC238,AC239,AC232,AC234,AC235,AC229,AC228,AC230)</f>
        <v/>
      </c>
      <c r="AE226" s="99" t="str">
        <f>CONCATENATE(IF(D226&lt;D193," * ON HAART at 1st ANC for Age "&amp;D20&amp;" "&amp;D21&amp;" is less than KP at 1st ANC "&amp;CHAR(10),""),IF(E226&lt;E193," * ON HAART at 1st ANC for Age "&amp;D20&amp;" "&amp;E21&amp;" is less than KP at 1st ANC "&amp;CHAR(10),""),IF(F226&lt;F193," * ON HAART at 1st ANC for Age "&amp;F20&amp;" "&amp;F21&amp;" is less than KP at 1st ANC "&amp;CHAR(10),""),IF(G226&lt;G193," * ON HAART at 1st ANC for Age "&amp;F20&amp;" "&amp;G21&amp;" is less than KP at 1st ANC "&amp;CHAR(10),""),IF(H226&lt;H193," * ON HAART at 1st ANC for Age "&amp;H20&amp;" "&amp;H21&amp;" is less than KP at 1st ANC "&amp;CHAR(10),""),IF(I226&lt;I193," * ON HAART at 1st ANC for Age "&amp;H20&amp;" "&amp;I21&amp;" is less than KP at 1st ANC "&amp;CHAR(10),""),IF(J226&lt;J193," * ON HAART at 1st ANC for Age "&amp;J20&amp;" "&amp;J21&amp;" is less than KP at 1st ANC "&amp;CHAR(10),""),IF(K226&lt;K193," * ON HAART at 1st ANC for Age "&amp;J20&amp;" "&amp;K21&amp;" is less than KP at 1st ANC "&amp;CHAR(10),""),IF(L226&lt;L193," * ON HAART at 1st ANC for Age "&amp;L20&amp;" "&amp;L21&amp;" is less than KP at 1st ANC "&amp;CHAR(10),""),IF(M226&lt;M193," * ON HAART at 1st ANC for Age "&amp;L20&amp;" "&amp;M21&amp;" is less than KP at 1st ANC "&amp;CHAR(10),""),IF(N226&lt;N193," * ON HAART at 1st ANC for Age "&amp;N20&amp;" "&amp;N21&amp;" is less than KP at 1st ANC "&amp;CHAR(10),""),IF(O226&lt;O193," * ON HAART at 1st ANC for Age "&amp;N20&amp;" "&amp;O21&amp;" is less than KP at 1st ANC "&amp;CHAR(10),""),IF(P226&lt;P193," * ON HAART at 1st ANC for Age "&amp;P20&amp;" "&amp;P21&amp;" is less than KP at 1st ANC "&amp;CHAR(10),""),IF(Q226&lt;Q193," * ON HAART at 1st ANC for Age "&amp;P20&amp;" "&amp;Q21&amp;" is less than KP at 1st ANC "&amp;CHAR(10),""),IF(R226&lt;R193," * ON HAART at 1st ANC for Age "&amp;R20&amp;" "&amp;R21&amp;" is less than KP at 1st ANC "&amp;CHAR(10),""),IF(S226&lt;S193," * ON HAART at 1st ANC for Age "&amp;R20&amp;" "&amp;S21&amp;" is less than KP at 1st ANC "&amp;CHAR(10),""),IF(T226&lt;T193," * ON HAART at 1st ANC for Age "&amp;T20&amp;" "&amp;T21&amp;" is less than KP at 1st ANC "&amp;CHAR(10),""),IF(U226&lt;U193," * ON HAART at 1st ANC for Age "&amp;T20&amp;" "&amp;U21&amp;" is less than KP at 1st ANC "&amp;CHAR(10),""),IF(V226&lt;V193," * ON HAART at 1st ANC for Age "&amp;V20&amp;" "&amp;V21&amp;" is less than KP at 1st ANC "&amp;CHAR(10),""),IF(W226&lt;W193," * ON HAART at 1st ANC for Age "&amp;V20&amp;" "&amp;W21&amp;" is less than KP at 1st ANC "&amp;CHAR(10),""),IF(X226&lt;X193," * ON HAART at 1st ANC for Age "&amp;X20&amp;" "&amp;X21&amp;" is less than KP at 1st ANC "&amp;CHAR(10),""),IF(Y226&lt;Y193," * ON HAART at 1st ANC for Age "&amp;X20&amp;" "&amp;Y21&amp;" is less than KP at 1st ANC "&amp;CHAR(10),""),IF(Z226&lt;Z193," * ON HAART at 1st ANC for Age "&amp;Z20&amp;" "&amp;Z21&amp;" is less than KP at 1st ANC "&amp;CHAR(10),""),IF(AA226&lt;AA193," * ON HAART at 1st ANC for Age "&amp;Z20&amp;" "&amp;AA21&amp;" is less than KP at 1st ANC "&amp;CHAR(10),""))</f>
        <v/>
      </c>
      <c r="AF226" s="596" t="str">
        <f>CONCATENATE(AE226,AE227,AE231,AE233,AE236,AE237,AE238,AE239,AE228,AE229,AE230,AE234,AE235)</f>
        <v/>
      </c>
      <c r="AG226" s="439">
        <v>225</v>
      </c>
    </row>
    <row r="227" spans="1:34" x14ac:dyDescent="0.85">
      <c r="A227" s="614"/>
      <c r="B227" s="303" t="s">
        <v>500</v>
      </c>
      <c r="C227" s="166" t="s">
        <v>374</v>
      </c>
      <c r="D227" s="127"/>
      <c r="E227" s="18"/>
      <c r="F227" s="18"/>
      <c r="G227" s="18"/>
      <c r="H227" s="18"/>
      <c r="I227" s="18"/>
      <c r="J227" s="18"/>
      <c r="K227" s="19"/>
      <c r="L227" s="18"/>
      <c r="M227" s="19"/>
      <c r="N227" s="18"/>
      <c r="O227" s="19"/>
      <c r="P227" s="18"/>
      <c r="Q227" s="19"/>
      <c r="R227" s="18"/>
      <c r="S227" s="19"/>
      <c r="T227" s="18"/>
      <c r="U227" s="19"/>
      <c r="V227" s="18"/>
      <c r="W227" s="19"/>
      <c r="X227" s="18"/>
      <c r="Y227" s="19"/>
      <c r="Z227" s="18"/>
      <c r="AA227" s="18"/>
      <c r="AB227" s="37">
        <f t="shared" ref="AB227:AB239" si="98">SUM(D227:AA227)</f>
        <v>0</v>
      </c>
      <c r="AC227" s="85" t="str">
        <f>CONCATENATE(IF(D227&gt;SUM(D195)," * Start HAART at ANC 1 for Age "&amp;D20&amp;" "&amp;D21&amp;" is more than Positive Test at ANC 1"&amp;CHAR(10),""),IF(E227&gt;SUM(E195)," * Start HAART at ANC 1  for Age "&amp;D20&amp;" "&amp;E21&amp;" is more than Positive Test at ANC 1"&amp;CHAR(10),""),IF(F227&gt;SUM(F195)," * Start HAART at ANC 1  for Age "&amp;F20&amp;" "&amp;F21&amp;" is more than Positive Test at ANC 1"&amp;CHAR(10),""),IF(G227&gt;SUM(G195)," * Start HAART at ANC 1  for Age "&amp;F20&amp;" "&amp;G21&amp;" is more than Positive Test at ANC 1"&amp;CHAR(10),""),IF(H227&gt;SUM(H195)," * Start HAART at ANC 1  for Age "&amp;H20&amp;" "&amp;H21&amp;" is more than Positive Test at ANC 1"&amp;CHAR(10),""),IF(I227&gt;SUM(I195)," * Start HAART at ANC 1  for Age "&amp;H20&amp;" "&amp;I21&amp;" is more than Positive Test at ANC 1"&amp;CHAR(10),""),IF(J227&gt;SUM(J195)," * Start HAART at ANC 1  for Age "&amp;J20&amp;" "&amp;J21&amp;" is more than Positive Test at ANC 1"&amp;CHAR(10),""),IF(K227&gt;SUM(K195)," * Start HAART at ANC 1  for Age "&amp;J20&amp;" "&amp;K21&amp;" is more than Positive Test at ANC 1"&amp;CHAR(10),""),IF(L227&gt;SUM(L195)," * Start HAART at ANC 1  for Age "&amp;L20&amp;" "&amp;L21&amp;" is more than Positive Test at ANC 1"&amp;CHAR(10),""),IF(M227&gt;SUM(M195)," * Start HAART at ANC 1  for Age "&amp;L20&amp;" "&amp;M21&amp;" is more than Positive Test at ANC 1"&amp;CHAR(10),""),IF(N227&gt;SUM(N195)," * Start HAART at ANC 1  for Age "&amp;N20&amp;" "&amp;N21&amp;" is more than Positive Test at ANC 1"&amp;CHAR(10),""),IF(O227&gt;SUM(O195)," * Start HAART at ANC 1  for Age "&amp;N20&amp;" "&amp;O21&amp;" is more than Positive Test at ANC 1"&amp;CHAR(10),""),IF(P227&gt;SUM(P195)," * Start HAART at ANC 1  for Age "&amp;P20&amp;" "&amp;P21&amp;" is more than Positive Test at ANC 1"&amp;CHAR(10),""),IF(Q227&gt;SUM(Q195)," * Start HAART at ANC 1  for Age "&amp;P20&amp;" "&amp;Q21&amp;" is more than Positive Test at ANC 1"&amp;CHAR(10),""),IF(R227&gt;SUM(R195)," * Start HAART at ANC 1  for Age "&amp;R20&amp;" "&amp;R21&amp;" is more than Positive Test at ANC 1"&amp;CHAR(10),""),IF(S227&gt;SUM(S195)," * Start HAART at ANC 1  for Age "&amp;R20&amp;" "&amp;S21&amp;" is more than Positive Test at ANC 1"&amp;CHAR(10),""),IF(T227&gt;SUM(T195)," * Start HAART at ANC 1  for Age "&amp;T20&amp;" "&amp;T21&amp;" is more than Positive Test at ANC 1"&amp;CHAR(10),""),IF(U227&gt;SUM(U195)," * Start HAART at ANC 1  for Age "&amp;T20&amp;" "&amp;U21&amp;" is more than Positive Test at ANC 1"&amp;CHAR(10),""),IF(V227&gt;SUM(V195)," * Start HAART at ANC 1  for Age "&amp;V20&amp;" "&amp;V21&amp;" is more than Positive Test at ANC 1"&amp;CHAR(10),""),IF(W227&gt;SUM(W195)," * Start HAART at ANC 1  for Age "&amp;V20&amp;" "&amp;W21&amp;" is more than Positive Test at ANC 1"&amp;CHAR(10),""),IF(X227&gt;SUM(X195)," * Start HAART at ANC 1  for Age "&amp;X20&amp;" "&amp;X21&amp;" is more than Positive Test at ANC 1"&amp;CHAR(10),""),IF(Y227&gt;SUM(Y195)," * Start HAART at ANC 1  for Age "&amp;X20&amp;" "&amp;Y21&amp;" is more than Positive Test at ANC 1"&amp;CHAR(10),""),IF(Z227&gt;SUM(Z195)," * Start HAART at ANC 1  for Age "&amp;Z20&amp;" "&amp;Z21&amp;" is more than Positive Test at ANC 1"&amp;CHAR(10),""),IF(AA227&gt;SUM(AA195)," * Start HAART at ANC 1  for Age "&amp;Z20&amp;" "&amp;AA21&amp;" is more than Positive Test at ANC 1"&amp;CHAR(10),""),IF(AB227&gt;SUM(AB195)," * Total Start HAART at ANC 1  is more than Positive Test at ANC 1"&amp;CHAR(10),""))</f>
        <v/>
      </c>
      <c r="AD227" s="600"/>
      <c r="AE227" s="83" t="str">
        <f>CONCATENATE(IF(D227&lt;SUM(D195)," * New positive at ANC1 for Age "&amp;D20&amp;" "&amp;D21&amp;" is greater than Start HAART ANC1"&amp;CHAR(10),""),IF(E227&lt;SUM(E195)," * New positive at ANC1 for Age "&amp;D20&amp;" "&amp;E21&amp;" is greater than Start HAART ANC1"&amp;CHAR(10),""),IF(F227&lt;SUM(F195)," * New positive at ANC1 for Age "&amp;F20&amp;" "&amp;F21&amp;" is greater than Start HAART ANC1"&amp;CHAR(10),""),IF(G227&lt;SUM(G195)," * New positive at ANC1 for Age "&amp;F20&amp;" "&amp;G21&amp;" is greater than Start HAART ANC1"&amp;CHAR(10),""),IF(H227&lt;SUM(H195)," * New positive at ANC1 for Age "&amp;H20&amp;" "&amp;H21&amp;" is greater than Start HAART ANC1"&amp;CHAR(10),""),IF(I227&lt;SUM(I195)," * New positive at ANC1 for Age "&amp;H20&amp;" "&amp;I21&amp;" is greater than Start HAART ANC1"&amp;CHAR(10),""),IF(J227&lt;SUM(J195)," * New positive at ANC1 for Age "&amp;J20&amp;" "&amp;J21&amp;" is greater than Start HAART ANC1"&amp;CHAR(10),""),IF(K227&lt;SUM(K195)," * New positive at ANC1 for Age "&amp;J20&amp;" "&amp;K21&amp;" is greater than Start HAART ANC1"&amp;CHAR(10),""),IF(L227&lt;SUM(L195)," * New positive at ANC1 for Age "&amp;L20&amp;" "&amp;L21&amp;" is greater than Start HAART ANC1"&amp;CHAR(10),""),IF(M227&lt;SUM(M195)," * New positive at ANC1 for Age "&amp;L20&amp;" "&amp;M21&amp;" is greater than Start HAART ANC1"&amp;CHAR(10),""),IF(N227&lt;SUM(N195)," * New positive at ANC1 for Age "&amp;N20&amp;" "&amp;N21&amp;" is greater than Start HAART ANC1"&amp;CHAR(10),""),IF(O227&lt;SUM(O195)," * New positive at ANC1 for Age "&amp;N20&amp;" "&amp;O21&amp;" is greater than Start HAART ANC1"&amp;CHAR(10),""),IF(P227&lt;SUM(P195)," * New positive at ANC1 for Age "&amp;P20&amp;" "&amp;P21&amp;" is greater than Start HAART ANC1"&amp;CHAR(10),""),IF(Q227&lt;SUM(Q195)," * New positive at ANC1 for Age "&amp;P20&amp;" "&amp;Q21&amp;" is greater than Start HAART ANC1"&amp;CHAR(10),""),IF(R227&lt;SUM(R195)," * New positive at ANC1 for Age "&amp;R20&amp;" "&amp;R21&amp;" is greater than Start HAART ANC1"&amp;CHAR(10),""),IF(S227&lt;SUM(S195)," * New positive at ANC1 for Age "&amp;R20&amp;" "&amp;S21&amp;" is greater than Start HAART ANC1"&amp;CHAR(10),""),IF(T227&lt;SUM(T195)," * New positive at ANC1 for Age "&amp;T20&amp;" "&amp;T21&amp;" is greater than Start HAART ANC1"&amp;CHAR(10),""),IF(U227&lt;SUM(U195)," * New positive at ANC1 for Age "&amp;T20&amp;" "&amp;U21&amp;" is greater than Start HAART ANC1"&amp;CHAR(10),""),IF(V227&lt;SUM(V195)," * New positive at ANC1 for Age "&amp;V20&amp;" "&amp;V21&amp;" is greater than Start HAART ANC1"&amp;CHAR(10),""),IF(W227&lt;SUM(W195)," * New positive at ANC1 for Age "&amp;V20&amp;" "&amp;W21&amp;" is greater than Start HAART ANC1"&amp;CHAR(10),""),IF(X227&lt;SUM(X195)," * New positive at ANC1 for Age "&amp;X20&amp;" "&amp;X21&amp;" is greater than Start HAART ANC1"&amp;CHAR(10),""),IF(Y227&lt;SUM(Y195)," * New positive at ANC1 for Age "&amp;X20&amp;" "&amp;Y21&amp;" is greater than Start HAART ANC1"&amp;CHAR(10),""),IF(Z227&lt;SUM(Z195)," * New positive at ANC1 for Age "&amp;Z20&amp;" "&amp;Z21&amp;" is greater than Start HAART ANC1"&amp;CHAR(10),""),IF(AA227&lt;SUM(AA195)," * New positive at ANC1 for Age "&amp;Z20&amp;" "&amp;AA21&amp;" is greater than Start HAART ANC1"&amp;CHAR(10),""))</f>
        <v/>
      </c>
      <c r="AF227" s="597"/>
      <c r="AG227" s="439">
        <v>226</v>
      </c>
    </row>
    <row r="228" spans="1:34" ht="32.15" thickBot="1" x14ac:dyDescent="0.9">
      <c r="A228" s="615"/>
      <c r="B228" s="448" t="s">
        <v>501</v>
      </c>
      <c r="C228" s="326" t="s">
        <v>508</v>
      </c>
      <c r="D228" s="278"/>
      <c r="E228" s="246"/>
      <c r="F228" s="246"/>
      <c r="G228" s="246"/>
      <c r="H228" s="246"/>
      <c r="I228" s="246"/>
      <c r="J228" s="246"/>
      <c r="K228" s="261">
        <f>SUM(K226:K227)</f>
        <v>0</v>
      </c>
      <c r="L228" s="246"/>
      <c r="M228" s="261">
        <f>SUM(M226:M227)</f>
        <v>0</v>
      </c>
      <c r="N228" s="246"/>
      <c r="O228" s="261">
        <f>SUM(O226:O227)</f>
        <v>0</v>
      </c>
      <c r="P228" s="246"/>
      <c r="Q228" s="261">
        <f>SUM(Q226:Q227)</f>
        <v>0</v>
      </c>
      <c r="R228" s="246"/>
      <c r="S228" s="261">
        <f>SUM(S226:S227)</f>
        <v>0</v>
      </c>
      <c r="T228" s="246"/>
      <c r="U228" s="261">
        <f>SUM(U226:U227)</f>
        <v>0</v>
      </c>
      <c r="V228" s="246"/>
      <c r="W228" s="261">
        <f>SUM(W226:W227)</f>
        <v>0</v>
      </c>
      <c r="X228" s="246"/>
      <c r="Y228" s="261">
        <f>SUM(Y226:Y227)</f>
        <v>0</v>
      </c>
      <c r="Z228" s="246"/>
      <c r="AA228" s="246"/>
      <c r="AB228" s="258">
        <f t="shared" si="98"/>
        <v>0</v>
      </c>
      <c r="AC228" s="85"/>
      <c r="AD228" s="600"/>
      <c r="AE228" s="83"/>
      <c r="AF228" s="597"/>
      <c r="AG228" s="439">
        <v>227</v>
      </c>
    </row>
    <row r="229" spans="1:34" x14ac:dyDescent="0.85">
      <c r="A229" s="565" t="s">
        <v>1030</v>
      </c>
      <c r="B229" s="319" t="s">
        <v>717</v>
      </c>
      <c r="C229" s="279" t="s">
        <v>509</v>
      </c>
      <c r="D229" s="285"/>
      <c r="E229" s="239"/>
      <c r="F229" s="239"/>
      <c r="G229" s="239"/>
      <c r="H229" s="239"/>
      <c r="I229" s="239"/>
      <c r="J229" s="239"/>
      <c r="K229" s="240"/>
      <c r="L229" s="239"/>
      <c r="M229" s="240"/>
      <c r="N229" s="239"/>
      <c r="O229" s="240"/>
      <c r="P229" s="239"/>
      <c r="Q229" s="240"/>
      <c r="R229" s="239"/>
      <c r="S229" s="240"/>
      <c r="T229" s="239"/>
      <c r="U229" s="240"/>
      <c r="V229" s="239"/>
      <c r="W229" s="240"/>
      <c r="X229" s="239"/>
      <c r="Y229" s="240"/>
      <c r="Z229" s="239"/>
      <c r="AA229" s="239"/>
      <c r="AB229" s="241">
        <f t="shared" si="98"/>
        <v>0</v>
      </c>
      <c r="AC229" s="85"/>
      <c r="AD229" s="600"/>
      <c r="AE229" s="84" t="str">
        <f>CONCATENATE(IF(D229&lt;&gt;SUM(D201)," * Initial test Positive Result at ANC 2 and above for Age "&amp;D20&amp;" "&amp;D21&amp;" is not equal to Initial start HAART at ANC2 and above"&amp;CHAR(10),""),IF(E229&lt;&gt;SUM(E201)," * Initial test Positive Result at ANC 2 and above for Age "&amp;D20&amp;" "&amp;E21&amp;" is not equal to Initial start HAART at ANC2 and above"&amp;CHAR(10),""),IF(F229&lt;&gt;SUM(F201)," * Initial test Positive Result at ANC 2 and above for Age "&amp;F20&amp;" "&amp;F21&amp;" is not equal to Initial start HAART at ANC2 and above"&amp;CHAR(10),""),IF(G229&lt;&gt;SUM(G201)," * Initial test Positive Result at ANC 2 and above for Age "&amp;F20&amp;" "&amp;G21&amp;" is not equal to Initial start HAART at ANC2 and above"&amp;CHAR(10),""),IF(H229&lt;&gt;SUM(H201)," * Initial test Positive Result at ANC 2 and above for Age "&amp;H20&amp;" "&amp;H21&amp;" is not equal to Initial start HAART at ANC2 and above"&amp;CHAR(10),""),IF(I229&lt;&gt;SUM(I201)," * Initial test Positive Result at ANC 2 and above for Age "&amp;H20&amp;" "&amp;I21&amp;" is not equal to Initial start HAART at ANC2 and above"&amp;CHAR(10),""),IF(J229&lt;&gt;SUM(J201)," * Initial test Positive Result at ANC 2 and above for Age "&amp;J20&amp;" "&amp;J21&amp;" is not equal to Initial start HAART at ANC2 and above"&amp;CHAR(10),""),IF(K229&lt;&gt;K201," * Initial test Positive Result at ANC 2 and above for Age "&amp;J20&amp;" "&amp;K21&amp;" is not equal to Initial start HAART at ANC2 and above"&amp;CHAR(10),""),IF(L229&lt;&gt;SUM(L201)," * Initial test Positive Result at ANC 2 and above for Age "&amp;L20&amp;" "&amp;L21&amp;" is not equal to Initial start HAART at ANC2 and above"&amp;CHAR(10),""),IF(M229&lt;&gt;SUM(M201)," * Initial test Positive Result at ANC 2 and above for Age "&amp;L20&amp;" "&amp;M21&amp;" is not equal to Initial start HAART at ANC2 and above"&amp;CHAR(10),""),IF(N229&lt;&gt;SUM(N201)," * Initial test Positive Result at ANC 2 and above for Age "&amp;N20&amp;" "&amp;N21&amp;" is not equal to Initial start HAART at ANC2 and above"&amp;CHAR(10),""),IF(O229&lt;&gt;SUM(O201)," * Initial test Positive Result at ANC 2 and above for Age "&amp;N20&amp;" "&amp;O21&amp;" is not equal to Initial start HAART at ANC2 and above"&amp;CHAR(10),""),IF(P229&lt;&gt;SUM(P201)," * Initial test Positive Result at ANC 2 and above for Age "&amp;P20&amp;" "&amp;P21&amp;" is not equal to Initial start HAART at ANC2 and above"&amp;CHAR(10),""),IF(Q229&lt;&gt;SUM(Q201)," * Initial test Positive Result at ANC 2 and above for Age "&amp;P20&amp;" "&amp;Q21&amp;" is not equal to Initial start HAART at ANC2 and above"&amp;CHAR(10),""),IF(R229&lt;&gt;SUM(R201)," * Initial test Positive Result at ANC 2 and above for Age "&amp;R20&amp;" "&amp;R21&amp;" is not equal to Initial start HAART at ANC2 and above"&amp;CHAR(10),""),IF(S229&lt;&gt;SUM(S201)," * Initial test Positive Result at ANC 2 and above for Age "&amp;R20&amp;" "&amp;S21&amp;" is not equal to Initial start HAART at ANC2 and above"&amp;CHAR(10),""),IF(T229&lt;&gt;SUM(T201)," * Initial test Positive Result at ANC 2 and above for Age "&amp;T20&amp;" "&amp;T21&amp;" is not equal to Initial start HAART at ANC2 and above"&amp;CHAR(10),""),IF(U229&lt;&gt;SUM(U201)," * Initial test Positive Result at ANC 2 and above for Age "&amp;T20&amp;" "&amp;U21&amp;" is not equal to Initial start HAART at ANC2 and above"&amp;CHAR(10),""),IF(V229&lt;&gt;SUM(V201)," * Initial test Positive Result at ANC 2 and above for Age "&amp;V20&amp;" "&amp;V21&amp;" is not equal to Initial start HAART at ANC2 and above"&amp;CHAR(10),""),IF(W229&lt;&gt;SUM(W201)," * Initial test Positive Result at ANC 2 and above for Age "&amp;V20&amp;" "&amp;W21&amp;" is not equal to Initial start HAART at ANC2 and above"&amp;CHAR(10),""),IF(X229&lt;&gt;SUM(X201)," * Initial test Positive Result at ANC 2 and above for Age "&amp;X20&amp;" "&amp;X21&amp;" is not equal to Initial start HAART at ANC2 and above"&amp;CHAR(10),""),IF(Y229&lt;&gt;SUM(Y201)," * Initial test Positive Result at ANC 2 and above for Age "&amp;X20&amp;" "&amp;Y21&amp;" is not equal to Initial start HAART at ANC2 and above"&amp;CHAR(10),""),IF(Z229&lt;&gt;SUM(Z201)," * Initial test Positive Result at ANC 2 and above for Age "&amp;Z20&amp;" "&amp;Z21&amp;" is not equal to Initial start HAART at ANC2 and above"&amp;CHAR(10),""),IF(AA229&lt;&gt;SUM(AA201)," * Initial test Positive Result at ANC 2 and above for Age "&amp;Z20&amp;" "&amp;AA21&amp;" is not equal to Initial start HAART at ANC2 and above"&amp;CHAR(10),""))</f>
        <v/>
      </c>
      <c r="AF229" s="597"/>
      <c r="AG229" s="439">
        <v>228</v>
      </c>
    </row>
    <row r="230" spans="1:34" ht="31.3" thickBot="1" x14ac:dyDescent="0.9">
      <c r="A230" s="567"/>
      <c r="B230" s="437" t="s">
        <v>503</v>
      </c>
      <c r="C230" s="289" t="s">
        <v>510</v>
      </c>
      <c r="D230" s="286"/>
      <c r="E230" s="243"/>
      <c r="F230" s="243"/>
      <c r="G230" s="243"/>
      <c r="H230" s="243"/>
      <c r="I230" s="243"/>
      <c r="J230" s="243"/>
      <c r="K230" s="244"/>
      <c r="L230" s="243"/>
      <c r="M230" s="244"/>
      <c r="N230" s="243"/>
      <c r="O230" s="244"/>
      <c r="P230" s="243"/>
      <c r="Q230" s="244"/>
      <c r="R230" s="243"/>
      <c r="S230" s="244"/>
      <c r="T230" s="243"/>
      <c r="U230" s="244"/>
      <c r="V230" s="243"/>
      <c r="W230" s="244"/>
      <c r="X230" s="243"/>
      <c r="Y230" s="244"/>
      <c r="Z230" s="243"/>
      <c r="AA230" s="243"/>
      <c r="AB230" s="245">
        <f t="shared" si="98"/>
        <v>0</v>
      </c>
      <c r="AC230" s="85"/>
      <c r="AD230" s="600"/>
      <c r="AE230" s="84" t="str">
        <f>CONCATENATE(IF(D230&lt;&gt;SUM(D201)," * Retest Positive Result at ANC 2 and above for Age "&amp;D20&amp;" "&amp;D21&amp;" is not equal to Retest start HAART at ANC2 and above"&amp;CHAR(10),""),IF(E230&lt;&gt;SUM(E201)," * Retest Positive Result at ANC 2 and above for Age "&amp;D20&amp;" "&amp;E21&amp;" is not equal to Retest start HAART at ANC2 and above"&amp;CHAR(10),""),IF(F230&lt;&gt;SUM(F201)," * Retest Positive Result at ANC 2 and above for Age "&amp;F20&amp;" "&amp;F21&amp;" is not equal to Retest start HAART at ANC2 and above"&amp;CHAR(10),""),IF(G230&lt;&gt;SUM(G201)," * Retest Positive Result at ANC 2 and above for Age "&amp;F20&amp;" "&amp;G21&amp;" is not equal to Retest start HAART at ANC2 and above"&amp;CHAR(10),""),IF(H230&lt;&gt;SUM(H201)," * Retest Positive Result at ANC 2 and above for Age "&amp;H20&amp;" "&amp;H21&amp;" is not equal to Retest start HAART at ANC2 and above"&amp;CHAR(10),""),IF(I230&lt;&gt;SUM(I201)," * Retest Positive Result at ANC 2 and above for Age "&amp;H20&amp;" "&amp;I21&amp;" is not equal to Retest start HAART at ANC2 and above"&amp;CHAR(10),""),IF(J230&lt;&gt;SUM(J201)," * Retest Positive Result at ANC 2 and above for Age "&amp;J20&amp;" "&amp;J21&amp;" is not equal to Retest start HAART at ANC2 and above"&amp;CHAR(10),""),IF(K230&lt;&gt;K201," * Retest Positive Result at ANC 2 and above for Age "&amp;J20&amp;" "&amp;K21&amp;" is not equal to Retest start HAART at ANC2 and above"&amp;CHAR(10),""),IF(L230&lt;&gt;SUM(L201)," * Retest Positive Result at ANC 2 and above for Age "&amp;L20&amp;" "&amp;L21&amp;" is not equal to Retest start HAART at ANC2 and above"&amp;CHAR(10),""),IF(M230&lt;&gt;SUM(M201)," * Retest Positive Result at ANC 2 and above for Age "&amp;L20&amp;" "&amp;M21&amp;" is not equal to Retest start HAART at ANC2 and above"&amp;CHAR(10),""),IF(N230&lt;&gt;SUM(N201)," * Retest Positive Result at ANC 2 and above for Age "&amp;N20&amp;" "&amp;N21&amp;" is not equal to Retest start HAART at ANC2 and above"&amp;CHAR(10),""),IF(O230&lt;&gt;SUM(O201)," * Retest Positive Result at ANC 2 and above for Age "&amp;N20&amp;" "&amp;O21&amp;" is not equal to Retest start HAART at ANC2 and above"&amp;CHAR(10),""),IF(P230&lt;&gt;SUM(P201)," * Retest Positive Result at ANC 2 and above for Age "&amp;P20&amp;" "&amp;P21&amp;" is not equal to Retest start HAART at ANC2 and above"&amp;CHAR(10),""),IF(Q230&lt;&gt;SUM(Q201)," * Retest Positive Result at ANC 2 and above for Age "&amp;P20&amp;" "&amp;Q21&amp;" is not equal to Retest start HAART at ANC2 and above"&amp;CHAR(10),""),IF(R230&lt;&gt;SUM(R201)," * Retest Positive Result at ANC 2 and above for Age "&amp;R20&amp;" "&amp;R21&amp;" is not equal to Retest start HAART at ANC2 and above"&amp;CHAR(10),""),IF(S230&lt;&gt;SUM(S201)," * Retest Positive Result at ANC 2 and above for Age "&amp;R20&amp;" "&amp;S21&amp;" is not equal to Retest start HAART at ANC2 and above"&amp;CHAR(10),""),IF(T230&lt;&gt;SUM(T201)," * Retest Positive Result at ANC 2 and above for Age "&amp;T20&amp;" "&amp;T21&amp;" is not equal to Retest start HAART at ANC2 and above"&amp;CHAR(10),""),IF(U230&lt;&gt;SUM(U201)," * Retest Positive Result at ANC 2 and above for Age "&amp;T20&amp;" "&amp;U21&amp;" is not equal to Retest start HAART at ANC2 and above"&amp;CHAR(10),""),IF(V230&lt;&gt;SUM(V201)," * Retest Positive Result at ANC 2 and above for Age "&amp;V20&amp;" "&amp;V21&amp;" is not equal to Retest start HAART at ANC2 and above"&amp;CHAR(10),""),IF(W230&lt;&gt;SUM(W201)," * Retest Positive Result at ANC 2 and above for Age "&amp;V20&amp;" "&amp;W21&amp;" is not equal to Retest start HAART at ANC2 and above"&amp;CHAR(10),""),IF(X230&lt;&gt;SUM(X201)," * Retest Positive Result at ANC 2 and above for Age "&amp;X20&amp;" "&amp;X21&amp;" is not equal to Retest start HAART at ANC2 and above"&amp;CHAR(10),""),IF(Y230&lt;&gt;SUM(Y201)," * Retest Positive Result at ANC 2 and above for Age "&amp;X20&amp;" "&amp;Y21&amp;" is not equal to Retest start HAART at ANC2 and above"&amp;CHAR(10),""),IF(Z230&lt;&gt;SUM(Z201)," * Retest Positive Result at ANC 2 and above for Age "&amp;Z20&amp;" "&amp;Z21&amp;" is not equal to Retest start HAART at ANC2 and above"&amp;CHAR(10),""),IF(AA230&lt;&gt;SUM(AA201)," * Retest Positive Result at ANC 2 and above for Age "&amp;Z20&amp;" "&amp;AA21&amp;" is not equal to Retest start HAART at ANC2 and above"&amp;CHAR(10),""))</f>
        <v/>
      </c>
      <c r="AF230" s="597"/>
      <c r="AG230" s="439">
        <v>229</v>
      </c>
    </row>
    <row r="231" spans="1:34" s="9" customFormat="1" x14ac:dyDescent="0.85">
      <c r="A231" s="604" t="s">
        <v>488</v>
      </c>
      <c r="B231" s="308" t="s">
        <v>504</v>
      </c>
      <c r="C231" s="436" t="s">
        <v>375</v>
      </c>
      <c r="D231" s="277"/>
      <c r="E231" s="238"/>
      <c r="F231" s="238"/>
      <c r="G231" s="238"/>
      <c r="H231" s="238"/>
      <c r="I231" s="238"/>
      <c r="J231" s="238"/>
      <c r="K231" s="237"/>
      <c r="L231" s="238"/>
      <c r="M231" s="237"/>
      <c r="N231" s="238"/>
      <c r="O231" s="237"/>
      <c r="P231" s="238"/>
      <c r="Q231" s="237"/>
      <c r="R231" s="238"/>
      <c r="S231" s="237"/>
      <c r="T231" s="238"/>
      <c r="U231" s="237"/>
      <c r="V231" s="238"/>
      <c r="W231" s="237"/>
      <c r="X231" s="238"/>
      <c r="Y231" s="237"/>
      <c r="Z231" s="238"/>
      <c r="AA231" s="238"/>
      <c r="AB231" s="256">
        <f t="shared" si="98"/>
        <v>0</v>
      </c>
      <c r="AC231" s="96" t="str">
        <f>CONCATENATE(IF(D231&gt;D203," * start HAART L&amp;D  for Age "&amp;D20&amp;" "&amp;D21&amp;" is more than Positive Result L&amp;D "&amp;CHAR(10),""),IF(E231&gt;E203," * start HAART L&amp;D  for Age "&amp;D20&amp;" "&amp;E21&amp;" is more than Positive Result L&amp;D "&amp;CHAR(10),""),IF(F231&gt;F203," * start HAART L&amp;D  for Age "&amp;F20&amp;" "&amp;F21&amp;" is more than Positive Result L&amp;D "&amp;CHAR(10),""),IF(G231&gt;G203," * start HAART L&amp;D  for Age "&amp;F20&amp;" "&amp;G21&amp;" is more than Positive Result L&amp;D "&amp;CHAR(10),""),IF(H231&gt;H203," * start HAART L&amp;D  for Age "&amp;H20&amp;" "&amp;H21&amp;" is more than Positive Result L&amp;D "&amp;CHAR(10),""),IF(I231&gt;I203," * start HAART L&amp;D  for Age "&amp;H20&amp;" "&amp;I21&amp;" is more than Positive Result L&amp;D "&amp;CHAR(10),""),IF(J231&gt;J203," * start HAART L&amp;D  for Age "&amp;J20&amp;" "&amp;J21&amp;" is more than Positive Result L&amp;D "&amp;CHAR(10),""),IF(K231&gt;K203," * start HAART L&amp;D  for Age "&amp;J20&amp;" "&amp;K21&amp;" is more than Positive Result L&amp;D "&amp;CHAR(10),""),IF(L231&gt;L203," * start HAART L&amp;D  for Age "&amp;L20&amp;" "&amp;L21&amp;" is more than Positive Result L&amp;D "&amp;CHAR(10),""),IF(M231&gt;M203," * start HAART L&amp;D  for Age "&amp;L20&amp;" "&amp;M21&amp;" is more than Positive Result L&amp;D "&amp;CHAR(10),""),IF(N231&gt;N203," * start HAART L&amp;D  for Age "&amp;N20&amp;" "&amp;N21&amp;" is more than Positive Result L&amp;D "&amp;CHAR(10),""),IF(O231&gt;O203," * start HAART L&amp;D  for Age "&amp;N20&amp;" "&amp;O21&amp;" is more than Positive Result L&amp;D "&amp;CHAR(10),""),IF(P231&gt;P203," * start HAART L&amp;D  for Age "&amp;P20&amp;" "&amp;P21&amp;" is more than Positive Result L&amp;D "&amp;CHAR(10),""),IF(Q231&gt;Q203," * start HAART L&amp;D  for Age "&amp;P20&amp;" "&amp;Q21&amp;" is more than Positive Result L&amp;D "&amp;CHAR(10),""),IF(R231&gt;R203," * start HAART L&amp;D  for Age "&amp;R20&amp;" "&amp;R21&amp;" is more than Positive Result L&amp;D "&amp;CHAR(10),""),IF(S231&gt;S203," * start HAART L&amp;D  for Age "&amp;R20&amp;" "&amp;S21&amp;" is more than Positive Result L&amp;D "&amp;CHAR(10),""),IF(T231&gt;T203," * start HAART L&amp;D  for Age "&amp;T20&amp;" "&amp;T21&amp;" is more than Positive Result L&amp;D "&amp;CHAR(10),""),IF(U231&gt;U203," * start HAART L&amp;D  for Age "&amp;T20&amp;" "&amp;U21&amp;" is more than Positive Result L&amp;D "&amp;CHAR(10),""),IF(V231&gt;V203," * start HAART L&amp;D  for Age "&amp;V20&amp;" "&amp;V21&amp;" is more than Positive Result L&amp;D "&amp;CHAR(10),""),IF(W231&gt;W203," * start HAART L&amp;D  for Age "&amp;V20&amp;" "&amp;W21&amp;" is more than Positive Result L&amp;D "&amp;CHAR(10),""),IF(X231&gt;X203," * start HAART L&amp;D  for Age "&amp;X20&amp;" "&amp;X21&amp;" is more than Positive Result L&amp;D "&amp;CHAR(10),""),IF(Y231&gt;Y203," * start HAART L&amp;D  for Age "&amp;X20&amp;" "&amp;Y21&amp;" is more than Positive Result L&amp;D "&amp;CHAR(10),""),IF(Z231&gt;Z203," * start HAART L&amp;D  for Age "&amp;Z20&amp;" "&amp;Z21&amp;" is more than Positive Result L&amp;D "&amp;CHAR(10),""),IF(AA231&gt;AA203," * start HAART L&amp;D  for Age "&amp;Z20&amp;" "&amp;AA21&amp;" is more than Positive Result L&amp;D "&amp;CHAR(10),"")
)</f>
        <v/>
      </c>
      <c r="AD231" s="600"/>
      <c r="AE231" s="84" t="str">
        <f>CONCATENATE(IF(D231&lt;D203," * start HAART L&amp;D  for Age "&amp;D20&amp;" "&amp;D21&amp;" is less than Positive Result L&amp;D "&amp;CHAR(10),""),IF(E231&lt;E203," * start HAART L&amp;D  for Age "&amp;D20&amp;" "&amp;E21&amp;" is less than Positive Result L&amp;D "&amp;CHAR(10),""),IF(F231&lt;F203," * start HAART L&amp;D  for Age "&amp;F20&amp;" "&amp;F21&amp;" is less than Positive Result L&amp;D "&amp;CHAR(10),""),IF(G231&lt;G203," * start HAART L&amp;D  for Age "&amp;F20&amp;" "&amp;G21&amp;" is less than Positive Result L&amp;D "&amp;CHAR(10),""),IF(H231&lt;H203," * start HAART L&amp;D  for Age "&amp;H20&amp;" "&amp;H21&amp;" is less than Positive Result L&amp;D "&amp;CHAR(10),""),IF(I231&lt;I203," * start HAART L&amp;D  for Age "&amp;H20&amp;" "&amp;I21&amp;" is less than Positive Result L&amp;D "&amp;CHAR(10),""),IF(J231&lt;J203," * start HAART L&amp;D  for Age "&amp;J20&amp;" "&amp;J21&amp;" is less than Positive Result L&amp;D "&amp;CHAR(10),""),IF(K231&lt;K203," * start HAART L&amp;D  for Age "&amp;J20&amp;" "&amp;K21&amp;" is less than Positive Result L&amp;D "&amp;CHAR(10),""),IF(L231&lt;L203," * start HAART L&amp;D  for Age "&amp;L20&amp;" "&amp;L21&amp;" is less than Positive Result L&amp;D "&amp;CHAR(10),""),IF(M231&lt;M203," * start HAART L&amp;D  for Age "&amp;L20&amp;" "&amp;M21&amp;" is less than Positive Result L&amp;D "&amp;CHAR(10),""),IF(N231&lt;N203," * start HAART L&amp;D  for Age "&amp;N20&amp;" "&amp;N21&amp;" is less than Positive Result L&amp;D "&amp;CHAR(10),""),IF(O231&lt;O203," * start HAART L&amp;D  for Age "&amp;N20&amp;" "&amp;O21&amp;" is less than Positive Result L&amp;D "&amp;CHAR(10),""),IF(P231&lt;P203," * start HAART L&amp;D  for Age "&amp;P20&amp;" "&amp;P21&amp;" is less than Positive Result L&amp;D "&amp;CHAR(10),""),IF(Q231&lt;Q203," * start HAART L&amp;D  for Age "&amp;P20&amp;" "&amp;Q21&amp;" is less than Positive Result L&amp;D "&amp;CHAR(10),""),IF(R231&lt;R203," * start HAART L&amp;D  for Age "&amp;R20&amp;" "&amp;R21&amp;" is less than Positive Result L&amp;D "&amp;CHAR(10),""),IF(S231&lt;S203," * start HAART L&amp;D  for Age "&amp;R20&amp;" "&amp;S21&amp;" is less than Positive Result L&amp;D "&amp;CHAR(10),""),IF(T231&lt;T203," * start HAART L&amp;D  for Age "&amp;T20&amp;" "&amp;T21&amp;" is less than Positive Result L&amp;D "&amp;CHAR(10),""),IF(U231&lt;U203," * start HAART L&amp;D  for Age "&amp;T20&amp;" "&amp;U21&amp;" is less than Positive Result L&amp;D "&amp;CHAR(10),""),IF(V231&lt;V203," * start HAART L&amp;D  for Age "&amp;V20&amp;" "&amp;V21&amp;" is less than Positive Result L&amp;D "&amp;CHAR(10),""),IF(W231&lt;W203," * start HAART L&amp;D  for Age "&amp;V20&amp;" "&amp;W21&amp;" is less than Positive Result L&amp;D "&amp;CHAR(10),""),IF(X231&lt;X203," * start HAART L&amp;D  for Age "&amp;X20&amp;" "&amp;X21&amp;" is less than Positive Result L&amp;D "&amp;CHAR(10),""),IF(Y231&lt;Y203," * start HAART L&amp;D  for Age "&amp;X20&amp;" "&amp;Y21&amp;" is less than Positive Result L&amp;D "&amp;CHAR(10),""),IF(Z231&lt;Z203," * start HAART L&amp;D  for Age "&amp;Z20&amp;" "&amp;Z21&amp;" is less than Positive Result L&amp;D "&amp;CHAR(10),""),IF(AA231&lt;AA203," * start HAART L&amp;D  for Age "&amp;Z20&amp;" "&amp;AA21&amp;" is less than Positive Result L&amp;D "&amp;CHAR(10),""))</f>
        <v/>
      </c>
      <c r="AF231" s="597"/>
      <c r="AG231" s="439">
        <v>230</v>
      </c>
      <c r="AH231" s="334"/>
    </row>
    <row r="232" spans="1:34" s="9" customFormat="1" ht="31.3" thickBot="1" x14ac:dyDescent="0.9">
      <c r="A232" s="688"/>
      <c r="B232" s="305" t="s">
        <v>648</v>
      </c>
      <c r="C232" s="145" t="s">
        <v>649</v>
      </c>
      <c r="D232" s="143"/>
      <c r="E232" s="38"/>
      <c r="F232" s="38"/>
      <c r="G232" s="38"/>
      <c r="H232" s="38"/>
      <c r="I232" s="38"/>
      <c r="J232" s="38"/>
      <c r="K232" s="39"/>
      <c r="L232" s="38"/>
      <c r="M232" s="39"/>
      <c r="N232" s="38"/>
      <c r="O232" s="39"/>
      <c r="P232" s="38"/>
      <c r="Q232" s="39"/>
      <c r="R232" s="38"/>
      <c r="S232" s="39"/>
      <c r="T232" s="38"/>
      <c r="U232" s="39"/>
      <c r="V232" s="38"/>
      <c r="W232" s="39"/>
      <c r="X232" s="38"/>
      <c r="Y232" s="39"/>
      <c r="Z232" s="38"/>
      <c r="AA232" s="38"/>
      <c r="AB232" s="242">
        <f t="shared" si="98"/>
        <v>0</v>
      </c>
      <c r="AC232" s="96" t="str">
        <f>CONCATENATE(IF(D232&gt;D205," * Retested start HAART L&amp;D  for Age "&amp;D20&amp;" "&amp;D21&amp;" is more than Retested Positive Result L&amp;D "&amp;CHAR(10),""),IF(E232&gt;E205," * Retested start HAART L&amp;D  for Age "&amp;D20&amp;" "&amp;E21&amp;" is more than Retested Positive Result L&amp;D "&amp;CHAR(10),""),IF(F232&gt;F205," * Retested start HAART L&amp;D  for Age "&amp;F20&amp;" "&amp;F21&amp;" is more than Retested Positive Result L&amp;D "&amp;CHAR(10),""),IF(G232&gt;G205," * Retested start HAART L&amp;D  for Age "&amp;F20&amp;" "&amp;G21&amp;" is more than Retested Positive Result L&amp;D "&amp;CHAR(10),""),IF(H232&gt;H205," * Retested start HAART L&amp;D  for Age "&amp;H20&amp;" "&amp;H21&amp;" is more than Retested Positive Result L&amp;D "&amp;CHAR(10),""),IF(I232&gt;I205," * Retested start HAART L&amp;D  for Age "&amp;H20&amp;" "&amp;I21&amp;" is more than Retested Positive Result L&amp;D "&amp;CHAR(10),""),IF(J232&gt;J205," * Retested start HAART L&amp;D  for Age "&amp;J20&amp;" "&amp;J21&amp;" is more than Retested Positive Result L&amp;D "&amp;CHAR(10),""),IF(K232&gt;K205," * Retested start HAART L&amp;D  for Age "&amp;J20&amp;" "&amp;K21&amp;" is more than Retested Positive Result L&amp;D "&amp;CHAR(10),""),IF(L232&gt;L205," * Retested start HAART L&amp;D  for Age "&amp;L20&amp;" "&amp;L21&amp;" is more than Retested Positive Result L&amp;D "&amp;CHAR(10),""),IF(M232&gt;M205," * Retested start HAART L&amp;D  for Age "&amp;L20&amp;" "&amp;M21&amp;" is more than Retested Positive Result L&amp;D "&amp;CHAR(10),""),IF(N232&gt;N205," * Retested start HAART L&amp;D  for Age "&amp;N20&amp;" "&amp;N21&amp;" is more than Retested Positive Result L&amp;D "&amp;CHAR(10),""),IF(O232&gt;O205," * Retested start HAART L&amp;D  for Age "&amp;N20&amp;" "&amp;O21&amp;" is more than Retested Positive Result L&amp;D "&amp;CHAR(10),""),IF(P232&gt;P205," * Retested start HAART L&amp;D  for Age "&amp;P20&amp;" "&amp;P21&amp;" is more than Retested Positive Result L&amp;D "&amp;CHAR(10),""),IF(Q232&gt;Q205," * Retested start HAART L&amp;D  for Age "&amp;P20&amp;" "&amp;Q21&amp;" is more than Retested Positive Result L&amp;D "&amp;CHAR(10),""),IF(R232&gt;R205," * Retested start HAART L&amp;D  for Age "&amp;R20&amp;" "&amp;R21&amp;" is more than Retested Positive Result L&amp;D "&amp;CHAR(10),""),IF(S232&gt;S205," * Retested start HAART L&amp;D  for Age "&amp;R20&amp;" "&amp;S21&amp;" is more than Retested Positive Result L&amp;D "&amp;CHAR(10),""),IF(T232&gt;T205," * Retested start HAART L&amp;D  for Age "&amp;T20&amp;" "&amp;T21&amp;" is more than Retested Positive Result L&amp;D "&amp;CHAR(10),""),IF(U232&gt;U205," * Retested start HAART L&amp;D  for Age "&amp;T20&amp;" "&amp;U21&amp;" is more than Retested Positive Result L&amp;D "&amp;CHAR(10),""),IF(V232&gt;V205," * Retested start HAART L&amp;D  for Age "&amp;V20&amp;" "&amp;V21&amp;" is more than Retested Positive Result L&amp;D "&amp;CHAR(10),""),IF(W232&gt;W205," * Retested start HAART L&amp;D  for Age "&amp;V20&amp;" "&amp;W21&amp;" is more than Retested Positive Result L&amp;D "&amp;CHAR(10),""),IF(X232&gt;X205," * Retested start HAART L&amp;D  for Age "&amp;X20&amp;" "&amp;X21&amp;" is more than Retested Positive Result L&amp;D "&amp;CHAR(10),""),IF(Y232&gt;Y205," * Retested start HAART L&amp;D  for Age "&amp;X20&amp;" "&amp;Y21&amp;" is more than Retested Positive Result L&amp;D "&amp;CHAR(10),""),IF(Z232&gt;Z205," * Retested start HAART L&amp;D  for Age "&amp;Z20&amp;" "&amp;Z21&amp;" is more than Retested Positive Result L&amp;D "&amp;CHAR(10),""),IF(AA232&gt;AA205," * Retested start HAART L&amp;D  for Age "&amp;Z20&amp;" "&amp;AA21&amp;" is more than Retested Positive Result L&amp;D "&amp;CHAR(10),"")
)</f>
        <v/>
      </c>
      <c r="AD232" s="600"/>
      <c r="AE232" s="84"/>
      <c r="AF232" s="597"/>
      <c r="AG232" s="439">
        <v>231</v>
      </c>
      <c r="AH232" s="334"/>
    </row>
    <row r="233" spans="1:34" x14ac:dyDescent="0.85">
      <c r="A233" s="616" t="s">
        <v>493</v>
      </c>
      <c r="B233" s="306" t="s">
        <v>506</v>
      </c>
      <c r="C233" s="164" t="s">
        <v>376</v>
      </c>
      <c r="D233" s="141"/>
      <c r="E233" s="34"/>
      <c r="F233" s="34"/>
      <c r="G233" s="34"/>
      <c r="H233" s="34"/>
      <c r="I233" s="34"/>
      <c r="J233" s="34"/>
      <c r="K233" s="35"/>
      <c r="L233" s="34"/>
      <c r="M233" s="35"/>
      <c r="N233" s="34"/>
      <c r="O233" s="35"/>
      <c r="P233" s="34"/>
      <c r="Q233" s="35"/>
      <c r="R233" s="34"/>
      <c r="S233" s="35"/>
      <c r="T233" s="34"/>
      <c r="U233" s="35"/>
      <c r="V233" s="34"/>
      <c r="W233" s="35"/>
      <c r="X233" s="34"/>
      <c r="Y233" s="35"/>
      <c r="Z233" s="34"/>
      <c r="AA233" s="34"/>
      <c r="AB233" s="36">
        <f t="shared" si="98"/>
        <v>0</v>
      </c>
      <c r="AC233" s="85" t="str">
        <f>CONCATENATE(IF(D233&gt;D207," * F06-16 for Age "&amp;D20&amp;" "&amp;D21&amp;" is more than F06-10"&amp;CHAR(10),""),IF(E233&gt;E207," * F06-16 for Age "&amp;D20&amp;" "&amp;E21&amp;" is more than F06-10"&amp;CHAR(10),""),IF(F233&gt;F207," * F06-16 for Age "&amp;F20&amp;" "&amp;F21&amp;" is more than F06-10"&amp;CHAR(10),""),IF(G233&gt;G207," * F06-16 for Age "&amp;F20&amp;" "&amp;G21&amp;" is more than F06-10"&amp;CHAR(10),""),IF(H233&gt;H207," * F06-16 for Age "&amp;H20&amp;" "&amp;H21&amp;" is more than F06-10"&amp;CHAR(10),""),IF(I233&gt;I207," * F06-16 for Age "&amp;H20&amp;" "&amp;I21&amp;" is more than F06-10"&amp;CHAR(10),""),IF(J233&gt;J207," * F06-16 for Age "&amp;J20&amp;" "&amp;J21&amp;" is more than F06-10"&amp;CHAR(10),""),IF(K233&gt;K207," * F06-16 for Age "&amp;J20&amp;" "&amp;K21&amp;" is more than F06-10"&amp;CHAR(10),""),IF(L233&gt;L207," * F06-16 for Age "&amp;L20&amp;" "&amp;L21&amp;" is more than F06-10"&amp;CHAR(10),""),IF(M233&gt;M207," * F06-16 for Age "&amp;L20&amp;" "&amp;M21&amp;" is more than F06-10"&amp;CHAR(10),""),IF(N233&gt;N207," * F06-16 for Age "&amp;N20&amp;" "&amp;N21&amp;" is more than F06-10"&amp;CHAR(10),""),IF(O233&gt;O207," * F06-16 for Age "&amp;N20&amp;" "&amp;O21&amp;" is more than F06-10"&amp;CHAR(10),""),IF(P233&gt;P207," * F06-16 for Age "&amp;P20&amp;" "&amp;P21&amp;" is more than F06-10"&amp;CHAR(10),""),IF(Q233&gt;Q207," * F06-16 for Age "&amp;P20&amp;" "&amp;Q21&amp;" is more than F06-10"&amp;CHAR(10),""),IF(R233&gt;R207," * F06-16 for Age "&amp;R20&amp;" "&amp;R21&amp;" is more than F06-10"&amp;CHAR(10),""),IF(S233&gt;S207," * F06-16 for Age "&amp;R20&amp;" "&amp;S21&amp;" is more than F06-10"&amp;CHAR(10),""),IF(T233&gt;T207," * F06-16 for Age "&amp;T20&amp;" "&amp;T21&amp;" is more than F06-10"&amp;CHAR(10),""),IF(U233&gt;U207," * F06-16 for Age "&amp;T20&amp;" "&amp;U21&amp;" is more than F06-10"&amp;CHAR(10),""),IF(V233&gt;V207," * F06-16 for Age "&amp;V20&amp;" "&amp;V21&amp;" is more than F06-10"&amp;CHAR(10),""),IF(W233&gt;W207," * F06-16 for Age "&amp;V20&amp;" "&amp;W21&amp;" is more than F06-10"&amp;CHAR(10),""),IF(X233&gt;X207," * F06-16 for Age "&amp;X20&amp;" "&amp;X21&amp;" is more than F06-10"&amp;CHAR(10),""),IF(Y233&gt;Y207," * F06-16 for Age "&amp;X20&amp;" "&amp;Y21&amp;" is more than F06-10"&amp;CHAR(10),""),IF(Z233&gt;Z207," * F06-16 for Age "&amp;Z20&amp;" "&amp;Z21&amp;" is more than F06-10"&amp;CHAR(10),""),IF(AA233&gt;AA207," * F06-16 for Age "&amp;Z20&amp;" "&amp;AA21&amp;" is more than F06-10"&amp;CHAR(10),""),IF(AB233&gt;AB207," * Total F06-16 is more than Total F06-10"&amp;CHAR(10),""))</f>
        <v/>
      </c>
      <c r="AD233" s="600"/>
      <c r="AE233" s="83" t="str">
        <f>CONCATENATE(IF(D233&lt;D207," * F06-16 for Age "&amp;D20&amp;" "&amp;D21&amp;" is less than F06-10"&amp;CHAR(10),""),IF(E233&lt;E207," * F06-16 for Age "&amp;D20&amp;" "&amp;E21&amp;" is less than F06-10"&amp;CHAR(10),""),IF(F233&lt;F207," * F06-16 for Age "&amp;F20&amp;" "&amp;F21&amp;" is less than F06-10"&amp;CHAR(10),""),IF(G233&lt;G207," * F06-16 for Age "&amp;F20&amp;" "&amp;G21&amp;" is less than F06-10"&amp;CHAR(10),""),IF(H233&lt;H207," * F06-16 for Age "&amp;H20&amp;" "&amp;H21&amp;" is less than F06-10"&amp;CHAR(10),""),IF(I233&lt;I207," * F06-16 for Age "&amp;H20&amp;" "&amp;I21&amp;" is less than F06-10"&amp;CHAR(10),""),IF(J233&lt;J207," * F06-16 for Age "&amp;J20&amp;" "&amp;J21&amp;" is less than F06-10"&amp;CHAR(10),""),IF(K233&lt;K207," * F06-16 for Age "&amp;J20&amp;" "&amp;K21&amp;" is less than F06-10"&amp;CHAR(10),""),IF(L233&lt;L207," * F06-16 for Age "&amp;L20&amp;" "&amp;L21&amp;" is less than F06-10"&amp;CHAR(10),""),IF(M233&lt;M207," * F06-16 for Age "&amp;L20&amp;" "&amp;M21&amp;" is less than F06-10"&amp;CHAR(10),""),IF(N233&lt;N207," * F06-16 for Age "&amp;N20&amp;" "&amp;N21&amp;" is less than F06-10"&amp;CHAR(10),""),IF(O233&lt;O207," * F06-16 for Age "&amp;N20&amp;" "&amp;O21&amp;" is less than F06-10"&amp;CHAR(10),""),IF(P233&lt;P207," * F06-16 for Age "&amp;P20&amp;" "&amp;P21&amp;" is less than F06-10"&amp;CHAR(10),""),IF(Q233&lt;Q207," * F06-16 for Age "&amp;P20&amp;" "&amp;Q21&amp;" is less than F06-10"&amp;CHAR(10),""),IF(R233&lt;R207," * F06-16 for Age "&amp;R20&amp;" "&amp;R21&amp;" is less than F06-10"&amp;CHAR(10),""),IF(S233&lt;S207," * F06-16 for Age "&amp;R20&amp;" "&amp;S21&amp;" is less than F06-10"&amp;CHAR(10),""),IF(T233&lt;T207," * F06-16 for Age "&amp;T20&amp;" "&amp;T21&amp;" is less than F06-10"&amp;CHAR(10),""),IF(U233&lt;U207," * F06-16 for Age "&amp;T20&amp;" "&amp;U21&amp;" is less than F06-10"&amp;CHAR(10),""),IF(V233&lt;V207," * F06-16 for Age "&amp;V20&amp;" "&amp;V21&amp;" is less than F06-10"&amp;CHAR(10),""),IF(W233&lt;W207," * F06-16 for Age "&amp;V20&amp;" "&amp;W21&amp;" is less than F06-10"&amp;CHAR(10),""),IF(X233&lt;X207," * F06-16 for Age "&amp;X20&amp;" "&amp;X21&amp;" is less than F06-10"&amp;CHAR(10),""),IF(Y233&lt;Y207," * F06-16 for Age "&amp;X20&amp;" "&amp;Y21&amp;" is less than F06-10"&amp;CHAR(10),""),IF(Z233&lt;Z207," * F06-16 for Age "&amp;Z20&amp;" "&amp;Z21&amp;" is less than F06-10"&amp;CHAR(10),""),IF(AA233&lt;AA207," * F06-16 for Age "&amp;Z20&amp;" "&amp;AA21&amp;" is less than F06-10"&amp;CHAR(10),""),IF(AB233&lt;AB207," * Total F06-16 is less than Total F06-10"&amp;CHAR(10),""))</f>
        <v/>
      </c>
      <c r="AF233" s="597"/>
      <c r="AG233" s="439">
        <v>232</v>
      </c>
    </row>
    <row r="234" spans="1:34" x14ac:dyDescent="0.85">
      <c r="A234" s="614"/>
      <c r="B234" s="303" t="s">
        <v>507</v>
      </c>
      <c r="C234" s="146" t="s">
        <v>511</v>
      </c>
      <c r="D234" s="127"/>
      <c r="E234" s="18"/>
      <c r="F234" s="18"/>
      <c r="G234" s="18"/>
      <c r="H234" s="18"/>
      <c r="I234" s="18"/>
      <c r="J234" s="18"/>
      <c r="K234" s="19"/>
      <c r="L234" s="18"/>
      <c r="M234" s="19"/>
      <c r="N234" s="18"/>
      <c r="O234" s="19"/>
      <c r="P234" s="18"/>
      <c r="Q234" s="19"/>
      <c r="R234" s="18"/>
      <c r="S234" s="19"/>
      <c r="T234" s="18"/>
      <c r="U234" s="19"/>
      <c r="V234" s="18"/>
      <c r="W234" s="19"/>
      <c r="X234" s="18"/>
      <c r="Y234" s="19"/>
      <c r="Z234" s="18"/>
      <c r="AA234" s="18"/>
      <c r="AB234" s="242">
        <f t="shared" si="98"/>
        <v>0</v>
      </c>
      <c r="AC234" s="85" t="str">
        <f>CONCATENATE(IF(D234&gt;D209," * Retest Start HAART at PNC &lt; = 6 weeks for Age "&amp;D20&amp;" "&amp;D21&amp;" is more than Retesting positive result at PNC &lt; = 6 weeks"&amp;CHAR(10),""),IF(E234&gt;E209," * Retest Start HAART at PNC &lt; = 6 weeks for Age "&amp;D20&amp;" "&amp;E21&amp;" is more than Retesting positive result at PNC &lt; = 6 weeks"&amp;CHAR(10),""),IF(F234&gt;F209," * Retest Start HAART at PNC &lt; = 6 weeks for Age "&amp;F20&amp;" "&amp;F21&amp;" is more than Retesting positive result at PNC &lt; = 6 weeks"&amp;CHAR(10),""),IF(G234&gt;G209," * Retest Start HAART at PNC &lt; = 6 weeks for Age "&amp;F20&amp;" "&amp;G21&amp;" is more than Retesting positive result at PNC &lt; = 6 weeks"&amp;CHAR(10),""),IF(H234&gt;H209," * Retest Start HAART at PNC &lt; = 6 weeks for Age "&amp;H20&amp;" "&amp;H21&amp;" is more than Retesting positive result at PNC &lt; = 6 weeks"&amp;CHAR(10),""),IF(I234&gt;I209," * Retest Start HAART at PNC &lt; = 6 weeks for Age "&amp;H20&amp;" "&amp;I21&amp;" is more than Retesting positive result at PNC &lt; = 6 weeks"&amp;CHAR(10),""),IF(J234&gt;J209," * Retest Start HAART at PNC &lt; = 6 weeks for Age "&amp;J20&amp;" "&amp;J21&amp;" is more than Retesting positive result at PNC &lt; = 6 weeks"&amp;CHAR(10),""),IF(K234&gt;K209," * Retest Start HAART at PNC &lt; = 6 weeks for Age "&amp;J20&amp;" "&amp;K21&amp;" is more than Retesting positive result at PNC &lt; = 6 weeks"&amp;CHAR(10),""),IF(L234&gt;L209," * Retest Start HAART at PNC &lt; = 6 weeks for Age "&amp;L20&amp;" "&amp;L21&amp;" is more than Retesting positive result at PNC &lt; = 6 weeks"&amp;CHAR(10),""),IF(M234&gt;M209," * Retest Start HAART at PNC &lt; = 6 weeks for Age "&amp;L20&amp;" "&amp;M21&amp;" is more than Retesting positive result at PNC &lt; = 6 weeks"&amp;CHAR(10),""),IF(N234&gt;N209," * Retest Start HAART at PNC &lt; = 6 weeks for Age "&amp;N20&amp;" "&amp;N21&amp;" is more than Retesting positive result at PNC &lt; = 6 weeks"&amp;CHAR(10),""),IF(O234&gt;O209," * Retest Start HAART at PNC &lt; = 6 weeks for Age "&amp;N20&amp;" "&amp;O21&amp;" is more than Retesting positive result at PNC &lt; = 6 weeks"&amp;CHAR(10),""),IF(P234&gt;P209," * Retest Start HAART at PNC &lt; = 6 weeks for Age "&amp;P20&amp;" "&amp;P21&amp;" is more than Retesting positive result at PNC &lt; = 6 weeks"&amp;CHAR(10),""),IF(Q234&gt;Q209," * Retest Start HAART at PNC &lt; = 6 weeks for Age "&amp;P20&amp;" "&amp;Q21&amp;" is more than Retesting positive result at PNC &lt; = 6 weeks"&amp;CHAR(10),""),IF(R234&gt;R209," * Retest Start HAART at PNC &lt; = 6 weeks for Age "&amp;R20&amp;" "&amp;R21&amp;" is more than Retesting positive result at PNC &lt; = 6 weeks"&amp;CHAR(10),""),IF(S234&gt;S209," * Retest Start HAART at PNC &lt; = 6 weeks for Age "&amp;R20&amp;" "&amp;S21&amp;" is more than Retesting positive result at PNC &lt; = 6 weeks"&amp;CHAR(10),""),IF(T234&gt;T209," * Retest Start HAART at PNC &lt; = 6 weeks for Age "&amp;T20&amp;" "&amp;T21&amp;" is more than Retesting positive result at PNC &lt; = 6 weeks"&amp;CHAR(10),""),IF(U234&gt;U209," * Retest Start HAART at PNC &lt; = 6 weeks for Age "&amp;T20&amp;" "&amp;U21&amp;" is more than Retesting positive result at PNC &lt; = 6 weeks"&amp;CHAR(10),""),IF(V234&gt;V209," * Retest Start HAART at PNC &lt; = 6 weeks for Age "&amp;V20&amp;" "&amp;V21&amp;" is more than Retesting positive result at PNC &lt; = 6 weeks"&amp;CHAR(10),""),IF(W234&gt;W209," * Retest Start HAART at PNC &lt; = 6 weeks for Age "&amp;V20&amp;" "&amp;W21&amp;" is more than Retesting positive result at PNC &lt; = 6 weeks"&amp;CHAR(10),""),IF(X234&gt;X209," * Retest Start HAART at PNC &lt; = 6 weeks for Age "&amp;X20&amp;" "&amp;X21&amp;" is more than Retesting positive result at PNC &lt; = 6 weeks"&amp;CHAR(10),""),IF(Y234&gt;Y209," * Retest Start HAART at PNC &lt; = 6 weeks for Age "&amp;X20&amp;" "&amp;Y21&amp;" is more than Retesting positive result at PNC &lt; = 6 weeks"&amp;CHAR(10),""),IF(Z234&gt;Z209," * Retest Start HAART at PNC &lt; = 6 weeks for Age "&amp;Z20&amp;" "&amp;Z21&amp;" is more than Retesting positive result at PNC &lt; = 6 weeks"&amp;CHAR(10),""),IF(AA234&gt;AA209," * Retest Start HAART at PNC &lt; = 6 weeks for Age "&amp;Z20&amp;" "&amp;AA21&amp;" is more than Retesting positive result at PNC &lt; = 6 weeks"&amp;CHAR(10),""))</f>
        <v/>
      </c>
      <c r="AD234" s="600"/>
      <c r="AE234" s="83"/>
      <c r="AF234" s="597"/>
      <c r="AG234" s="439">
        <v>233</v>
      </c>
    </row>
    <row r="235" spans="1:34" s="9" customFormat="1" ht="31.3" thickBot="1" x14ac:dyDescent="0.9">
      <c r="A235" s="615"/>
      <c r="B235" s="305" t="s">
        <v>505</v>
      </c>
      <c r="C235" s="131" t="s">
        <v>512</v>
      </c>
      <c r="D235" s="143"/>
      <c r="E235" s="38"/>
      <c r="F235" s="38"/>
      <c r="G235" s="38"/>
      <c r="H235" s="38"/>
      <c r="I235" s="38"/>
      <c r="J235" s="38"/>
      <c r="K235" s="39"/>
      <c r="L235" s="38"/>
      <c r="M235" s="39"/>
      <c r="N235" s="38"/>
      <c r="O235" s="39"/>
      <c r="P235" s="38"/>
      <c r="Q235" s="39"/>
      <c r="R235" s="38"/>
      <c r="S235" s="39"/>
      <c r="T235" s="38"/>
      <c r="U235" s="39"/>
      <c r="V235" s="38"/>
      <c r="W235" s="39"/>
      <c r="X235" s="38"/>
      <c r="Y235" s="39"/>
      <c r="Z235" s="38"/>
      <c r="AA235" s="38"/>
      <c r="AB235" s="242">
        <f t="shared" si="98"/>
        <v>0</v>
      </c>
      <c r="AC235" s="85" t="str">
        <f>CONCATENATE(IF(D235&gt;D211," * Start HAART at PNC  &gt; 6 weeks for Age "&amp;D20&amp;" "&amp;D21&amp;" is more than  positive result at PNC  &gt; 6 weeks"&amp;CHAR(10),""),IF(E235&gt;E211," * Start HAART at PNC  &gt; 6 weeks for Age "&amp;D20&amp;" "&amp;E21&amp;" is more than  positive result at PNC  &gt; 6 weeks"&amp;CHAR(10),""),IF(F235&gt;F211," * Start HAART at PNC  &gt; 6 weeks for Age "&amp;F20&amp;" "&amp;F21&amp;" is more than  positive result at PNC  &gt; 6 weeks"&amp;CHAR(10),""),IF(G235&gt;G211," * Start HAART at PNC  &gt; 6 weeks for Age "&amp;F20&amp;" "&amp;G21&amp;" is more than  positive result at PNC  &gt; 6 weeks"&amp;CHAR(10),""),IF(H235&gt;H211," * Start HAART at PNC  &gt; 6 weeks for Age "&amp;H20&amp;" "&amp;H21&amp;" is more than  positive result at PNC  &gt; 6 weeks"&amp;CHAR(10),""),IF(I235&gt;I211," * Start HAART at PNC  &gt; 6 weeks for Age "&amp;H20&amp;" "&amp;I21&amp;" is more than  positive result at PNC  &gt; 6 weeks"&amp;CHAR(10),""),IF(J235&gt;J211," * Start HAART at PNC  &gt; 6 weeks for Age "&amp;J20&amp;" "&amp;J21&amp;" is more than  positive result at PNC  &gt; 6 weeks"&amp;CHAR(10),""),IF(K235&gt;K211," * Start HAART at PNC  &gt; 6 weeks for Age "&amp;J20&amp;" "&amp;K21&amp;" is more than  positive result at PNC  &gt; 6 weeks"&amp;CHAR(10),""),IF(L235&gt;L211," * Start HAART at PNC  &gt; 6 weeks for Age "&amp;L20&amp;" "&amp;L21&amp;" is more than  positive result at PNC  &gt; 6 weeks"&amp;CHAR(10),""),IF(M235&gt;M211," * Start HAART at PNC  &gt; 6 weeks for Age "&amp;L20&amp;" "&amp;M21&amp;" is more than  positive result at PNC  &gt; 6 weeks"&amp;CHAR(10),""),IF(N235&gt;N211," * Start HAART at PNC  &gt; 6 weeks for Age "&amp;N20&amp;" "&amp;N21&amp;" is more than  positive result at PNC  &gt; 6 weeks"&amp;CHAR(10),""),IF(O235&gt;O211," * Start HAART at PNC  &gt; 6 weeks for Age "&amp;N20&amp;" "&amp;O21&amp;" is more than  positive result at PNC  &gt; 6 weeks"&amp;CHAR(10),""),IF(P235&gt;P211," * Start HAART at PNC  &gt; 6 weeks for Age "&amp;P20&amp;" "&amp;P21&amp;" is more than  positive result at PNC  &gt; 6 weeks"&amp;CHAR(10),""),IF(Q235&gt;Q211," * Start HAART at PNC  &gt; 6 weeks for Age "&amp;P20&amp;" "&amp;Q21&amp;" is more than  positive result at PNC  &gt; 6 weeks"&amp;CHAR(10),""),IF(R235&gt;R211," * Start HAART at PNC  &gt; 6 weeks for Age "&amp;R20&amp;" "&amp;R21&amp;" is more than  positive result at PNC  &gt; 6 weeks"&amp;CHAR(10),""),IF(S235&gt;S211," * Start HAART at PNC  &gt; 6 weeks for Age "&amp;R20&amp;" "&amp;S21&amp;" is more than  positive result at PNC  &gt; 6 weeks"&amp;CHAR(10),""),IF(T235&gt;T211," * Start HAART at PNC  &gt; 6 weeks for Age "&amp;T20&amp;" "&amp;T21&amp;" is more than  positive result at PNC  &gt; 6 weeks"&amp;CHAR(10),""),IF(U235&gt;U211," * Start HAART at PNC  &gt; 6 weeks for Age "&amp;T20&amp;" "&amp;U21&amp;" is more than  positive result at PNC  &gt; 6 weeks"&amp;CHAR(10),""),IF(V235&gt;V211," * Start HAART at PNC  &gt; 6 weeks for Age "&amp;V20&amp;" "&amp;V21&amp;" is more than  positive result at PNC  &gt; 6 weeks"&amp;CHAR(10),""),IF(W235&gt;W211," * Start HAART at PNC  &gt; 6 weeks for Age "&amp;V20&amp;" "&amp;W21&amp;" is more than  positive result at PNC  &gt; 6 weeks"&amp;CHAR(10),""),IF(X235&gt;X211," * Start HAART at PNC  &gt; 6 weeks for Age "&amp;X20&amp;" "&amp;X21&amp;" is more than  positive result at PNC  &gt; 6 weeks"&amp;CHAR(10),""),IF(Y235&gt;Y211," * Start HAART at PNC  &gt; 6 weeks for Age "&amp;X20&amp;" "&amp;Y21&amp;" is more than  positive result at PNC  &gt; 6 weeks"&amp;CHAR(10),""),IF(Z235&gt;Z211," * Start HAART at PNC  &gt; 6 weeks for Age "&amp;Z20&amp;" "&amp;Z21&amp;" is more than  positive result at PNC  &gt; 6 weeks"&amp;CHAR(10),""),IF(AA235&gt;AA211," * Start HAART at PNC  &gt; 6 weeks for Age "&amp;Z20&amp;" "&amp;AA21&amp;" is more than  positive result at PNC  &gt; 6 weeks"&amp;CHAR(10),""))</f>
        <v/>
      </c>
      <c r="AD235" s="600"/>
      <c r="AE235" s="84"/>
      <c r="AF235" s="597"/>
      <c r="AG235" s="439">
        <v>234</v>
      </c>
      <c r="AH235" s="334"/>
    </row>
    <row r="236" spans="1:34" ht="32.15" thickBot="1" x14ac:dyDescent="0.9">
      <c r="A236" s="458" t="s">
        <v>290</v>
      </c>
      <c r="B236" s="309" t="s">
        <v>290</v>
      </c>
      <c r="C236" s="170" t="s">
        <v>377</v>
      </c>
      <c r="D236" s="169"/>
      <c r="E236" s="64"/>
      <c r="F236" s="64"/>
      <c r="G236" s="64"/>
      <c r="H236" s="64"/>
      <c r="I236" s="64"/>
      <c r="J236" s="64"/>
      <c r="K236" s="65"/>
      <c r="L236" s="64"/>
      <c r="M236" s="65"/>
      <c r="N236" s="64"/>
      <c r="O236" s="65"/>
      <c r="P236" s="64"/>
      <c r="Q236" s="65"/>
      <c r="R236" s="64"/>
      <c r="S236" s="65"/>
      <c r="T236" s="64"/>
      <c r="U236" s="65"/>
      <c r="V236" s="64"/>
      <c r="W236" s="65"/>
      <c r="X236" s="64"/>
      <c r="Y236" s="65"/>
      <c r="Z236" s="64"/>
      <c r="AA236" s="64"/>
      <c r="AB236" s="66">
        <f t="shared" si="98"/>
        <v>0</v>
      </c>
      <c r="AC236" s="85"/>
      <c r="AD236" s="600"/>
      <c r="AE236" s="83"/>
      <c r="AF236" s="597"/>
      <c r="AG236" s="439">
        <v>235</v>
      </c>
    </row>
    <row r="237" spans="1:34" s="9" customFormat="1" x14ac:dyDescent="0.85">
      <c r="A237" s="616" t="s">
        <v>1031</v>
      </c>
      <c r="B237" s="306" t="s">
        <v>718</v>
      </c>
      <c r="C237" s="158" t="s">
        <v>378</v>
      </c>
      <c r="D237" s="141"/>
      <c r="E237" s="34"/>
      <c r="F237" s="34"/>
      <c r="G237" s="34"/>
      <c r="H237" s="34"/>
      <c r="I237" s="34"/>
      <c r="J237" s="34"/>
      <c r="K237" s="35"/>
      <c r="L237" s="34"/>
      <c r="M237" s="35"/>
      <c r="N237" s="34"/>
      <c r="O237" s="35"/>
      <c r="P237" s="34"/>
      <c r="Q237" s="35"/>
      <c r="R237" s="34"/>
      <c r="S237" s="35"/>
      <c r="T237" s="34"/>
      <c r="U237" s="35"/>
      <c r="V237" s="34"/>
      <c r="W237" s="35"/>
      <c r="X237" s="34"/>
      <c r="Y237" s="35"/>
      <c r="Z237" s="34"/>
      <c r="AA237" s="34"/>
      <c r="AB237" s="36">
        <f t="shared" si="98"/>
        <v>0</v>
      </c>
      <c r="AC237" s="85" t="str">
        <f>CONCATENATE(IF(D237&gt;SUM(D195,D199,D193)," * F06-18 for Age "&amp;D20&amp;" "&amp;D21&amp;" is more than (F06-02+F06-04+F06-06)"&amp;CHAR(10),""),IF(E237&gt;SUM(E195,E199,E193)," * F06-18  for Age "&amp;D20&amp;" "&amp;E21&amp;" is more than (F06-02+F06-04+F06-06)"&amp;CHAR(10),""),IF(F237&gt;SUM(F195,F199,F193)," * F06-18  for Age "&amp;F20&amp;" "&amp;F21&amp;" is more than (F06-02+F06-04+F06-06)"&amp;CHAR(10),""),IF(G237&gt;SUM(G195,G199,G193)," * F06-18  for Age "&amp;F20&amp;" "&amp;G21&amp;" is more than (F06-02+F06-04+F06-06)"&amp;CHAR(10),""),IF(H237&gt;SUM(H195,H199,H193)," * F06-18  for Age "&amp;H20&amp;" "&amp;H21&amp;" is more than (F06-02+F06-04+F06-06)"&amp;CHAR(10),""),IF(I237&gt;SUM(I195,I199,I193)," * F06-18  for Age "&amp;H20&amp;" "&amp;I21&amp;" is more than (F06-02+F06-04+F06-06)"&amp;CHAR(10),""),IF(J237&gt;SUM(J195,J199,J193)," * F06-18  for Age "&amp;J20&amp;" "&amp;J21&amp;" is more than (F06-02+F06-04+F06-06)"&amp;CHAR(10),""),IF(K237&gt;SUM(K195,K199,K193)," * F06-18  for Age "&amp;J20&amp;" "&amp;K21&amp;" is more than (F06-02+F06-04+F06-06)"&amp;CHAR(10),""),IF(L237&gt;SUM(L195,L199,L193)," * F06-18  for Age "&amp;L20&amp;" "&amp;L21&amp;" is more than (F06-02+F06-04+F06-06)"&amp;CHAR(10),""),IF(M237&gt;SUM(M195,M199,M193)," * F06-18  for Age "&amp;L20&amp;" "&amp;M21&amp;" is more than (F06-02+F06-04+F06-06)"&amp;CHAR(10),""),IF(N237&gt;SUM(N195,N199,N193)," * F06-18  for Age "&amp;N20&amp;" "&amp;N21&amp;" is more than (F06-02+F06-04+F06-06)"&amp;CHAR(10),""),IF(O237&gt;SUM(O195,O199,O193)," * F06-18  for Age "&amp;N20&amp;" "&amp;O21&amp;" is more than (F06-02+F06-04+F06-06)"&amp;CHAR(10),""),IF(P237&gt;SUM(P195,P199,P193)," * F06-18  for Age "&amp;P20&amp;" "&amp;P21&amp;" is more than (F06-02+F06-04+F06-06)"&amp;CHAR(10),""),IF(Q237&gt;SUM(Q195,Q199,Q193)," * F06-18  for Age "&amp;P20&amp;" "&amp;Q21&amp;" is more than (F06-02+F06-04+F06-06)"&amp;CHAR(10),""),IF(R237&gt;SUM(R195,R199,R193)," * F06-18  for Age "&amp;R20&amp;" "&amp;R21&amp;" is more than (F06-02+F06-04+F06-06)"&amp;CHAR(10),""),IF(S237&gt;SUM(S195,S199,S193)," * F06-18  for Age "&amp;R20&amp;" "&amp;S21&amp;" is more than (F06-02+F06-04+F06-06)"&amp;CHAR(10),""),IF(T237&gt;SUM(T195,T199,T193)," * F06-18  for Age "&amp;T20&amp;" "&amp;T21&amp;" is more than (F06-02+F06-04+F06-06)"&amp;CHAR(10),""),IF(U237&gt;SUM(U195,U199,U193)," * F06-18  for Age "&amp;T20&amp;" "&amp;U21&amp;" is more than (F06-02+F06-04+F06-06)"&amp;CHAR(10),""),IF(V237&gt;SUM(V195,V199,V193)," * F06-18  for Age "&amp;V20&amp;" "&amp;V21&amp;" is more than (F06-02+F06-04+F06-06)"&amp;CHAR(10),""),IF(W237&gt;SUM(W195,W199,W193)," * F06-18  for Age "&amp;V20&amp;" "&amp;W21&amp;" is more than (F06-02+F06-04+F06-06)"&amp;CHAR(10),""),IF(X237&gt;SUM(X195,X199,X193)," * F06-18  for Age "&amp;X20&amp;" "&amp;X21&amp;" is more than (F06-02+F06-04+F06-06)"&amp;CHAR(10),""),IF(Y237&gt;SUM(Y195,Y199,Y193)," * F06-18  for Age "&amp;X20&amp;" "&amp;Y21&amp;" is more than (F06-02+F06-04+F06-06)"&amp;CHAR(10),""),IF(Z237&gt;SUM(Z195,Z199,Z193)," * F06-18  for Age "&amp;Z20&amp;" "&amp;Z21&amp;" is more than (F06-02+F06-04+F06-06)"&amp;CHAR(10),""),IF(AA237&gt;SUM(AA195,AA199,AA193)," * F06-18  for Age "&amp;Z20&amp;" "&amp;AA21&amp;" is more than (F06-02+F06-04+F06-06)"&amp;CHAR(10),""))</f>
        <v/>
      </c>
      <c r="AD237" s="600"/>
      <c r="AE237" s="84" t="str">
        <f>CONCATENATE(IF(D237&lt;SUM(D195,D193,D199,D201)," * Sum of (KP at 1st ANC +New positive at ANC1 + New positive at ANC2 or More+Retesting positive Result at ANC2 or More) for Age "&amp;D20&amp;" "&amp;D21&amp;" is greater than Infant Prophylaxis ANC"&amp;CHAR(10),""),IF(E237&lt;SUM(E195,E193,E199,E201)," * Sum of (KP at 1st ANC +New positive at ANC1 + New positive at ANC2 or More+Retesting positive Result at ANC2 or More) for Age "&amp;D20&amp;" "&amp;E21&amp;" is greater than Infant Prophylaxis ANC"&amp;CHAR(10),""),IF(F237&lt;SUM(F195,F193,F199,F201)," * Sum of (KP at 1st ANC +New positive at ANC1 + New positive at ANC2 or More+Retesting positive Result at ANC2 or More) for Age "&amp;F20&amp;" "&amp;F21&amp;" is greater than Infant Prophylaxis ANC"&amp;CHAR(10),""),IF(G237&lt;SUM(G195,G193,G199,G201)," * Sum of (KP at 1st ANC +New positive at ANC1 + New positive at ANC2 or More+Retesting positive Result at ANC2 or More) for Age "&amp;F20&amp;" "&amp;G21&amp;" is greater than Infant Prophylaxis ANC"&amp;CHAR(10),""),IF(H237&lt;SUM(H195,H193,H199,H201)," * Sum of (KP at 1st ANC +New positive at ANC1 + New positive at ANC2 or More+Retesting positive Result at ANC2 or More) for Age "&amp;H20&amp;" "&amp;H21&amp;" is greater than Infant Prophylaxis ANC"&amp;CHAR(10),""),IF(I237&lt;SUM(I195,I193,I199,I201)," * Sum of (KP at 1st ANC +New positive at ANC1 + New positive at ANC2 or More+Retesting positive Result at ANC2 or More) for Age "&amp;H20&amp;" "&amp;I21&amp;" is greater than Infant Prophylaxis ANC"&amp;CHAR(10),""),IF(J237&lt;SUM(J195,J193,J199,J201)," * Sum of (KP at 1st ANC +New positive at ANC1 + New positive at ANC2 or More+Retesting positive Result at ANC2 or More) for Age "&amp;J20&amp;" "&amp;J21&amp;" is greater than Infant Prophylaxis ANC"&amp;CHAR(10),""),IF(K237&lt;SUM(K195,K193,K199,K201)," * Sum of (KP at 1st ANC +New positive at ANC1 + New positive at ANC2 or More+Retesting positive Result at ANC2 or More) for Age "&amp;J20&amp;" "&amp;K21&amp;" is greater than Infant Prophylaxis ANC"&amp;CHAR(10),""),IF(L237&lt;SUM(L195,L193,L199,L201)," * Sum of (KP at 1st ANC +New positive at ANC1 + New positive at ANC2 or More+Retesting positive Result at ANC2 or More) for Age "&amp;L20&amp;" "&amp;L21&amp;" is greater than Infant Prophylaxis ANC"&amp;CHAR(10),""),IF(M237&lt;SUM(M195,M193,M199,M201)," * Sum of (KP at 1st ANC +New positive at ANC1 + New positive at ANC2 or More+Retesting positive Result at ANC2 or More) for Age "&amp;L20&amp;" "&amp;M21&amp;" is greater than Infant Prophylaxis ANC"&amp;CHAR(10),""),IF(N237&lt;SUM(N195,N193,N199,N201)," * Sum of (KP at 1st ANC +New positive at ANC1 + New positive at ANC2 or More+Retesting positive Result at ANC2 or More) for Age "&amp;N20&amp;" "&amp;N21&amp;" is greater than Infant Prophylaxis ANC"&amp;CHAR(10),""),IF(O237&lt;SUM(O195,O193,O199,O201)," * Sum of (KP at 1st ANC +New positive at ANC1 + New positive at ANC2 or More+Retesting positive Result at ANC2 or More) for Age "&amp;N20&amp;" "&amp;O21&amp;" is greater than Infant Prophylaxis ANC"&amp;CHAR(10),""),IF(P237&lt;SUM(P195,P193,P199,P201)," * Sum of (KP at 1st ANC +New positive at ANC1 + New positive at ANC2 or More+Retesting positive Result at ANC2 or More) for Age "&amp;P20&amp;" "&amp;P21&amp;" is greater than Infant Prophylaxis ANC"&amp;CHAR(10),""),IF(Q237&lt;SUM(Q195,Q193,Q199,Q201)," * Sum of (KP at 1st ANC +New positive at ANC1 + New positive at ANC2 or More+Retesting positive Result at ANC2 or More) for Age "&amp;P20&amp;" "&amp;Q21&amp;" is greater than Infant Prophylaxis ANC"&amp;CHAR(10),""),IF(R237&lt;SUM(R195,R193,R199,R201)," * Sum of (KP at 1st ANC +New positive at ANC1 + New positive at ANC2 or More+Retesting positive Result at ANC2 or More) for Age "&amp;R20&amp;" "&amp;R21&amp;" is greater than Infant Prophylaxis ANC"&amp;CHAR(10),""),IF(S237&lt;SUM(S195,S193,S199,S201)," * Sum of (KP at 1st ANC +New positive at ANC1 + New positive at ANC2 or More+Retesting positive Result at ANC2 or More) for Age "&amp;R20&amp;" "&amp;S21&amp;" is greater than Infant Prophylaxis ANC"&amp;CHAR(10),""),IF(T237&lt;SUM(T195,T193,T199&lt;T201)," * Sum of (KP at 1st ANC +New positive at ANC1 + New positive at ANC2 or More+Retesting positive Result at ANC2 or More) for Age "&amp;T20&amp;" "&amp;T21&amp;" is greater than Infant Prophylaxis ANC"&amp;CHAR(10),""),IF(U237&lt;SUM(U195,U193,U199,U201)," * Sum of (KP at 1st ANC +New positive at ANC1 + New positive at ANC2 or More+Retesting positive Result at ANC2 or More) for Age "&amp;T20&amp;" "&amp;U21&amp;" is greater than Infant Prophylaxis ANC"&amp;CHAR(10),""),IF(V237&lt;SUM(V195,V193,V199,V201)," * Sum of (KP at 1st ANC +New positive at ANC1 + New positive at ANC2 or More+Retesting positive Result at ANC2 or More) for Age "&amp;V20&amp;" "&amp;V21&amp;" is greater than Infant Prophylaxis ANC"&amp;CHAR(10),""),IF(W237&lt;SUM(W195,W193,W199,W201)," * Sum of (KP at 1st ANC +New positive at ANC1 + New positive at ANC2 or More+Retesting positive Result at ANC2 or More) for Age "&amp;V20&amp;" "&amp;W21&amp;" is greater than Infant Prophylaxis ANC"&amp;CHAR(10),""),IF(X237&lt;SUM(X195,X193,X199,X201)," * Sum of (KP at 1st ANC +New positive at ANC1 + New positive at ANC2 or More+Retesting positive Result at ANC2 or More) for Age "&amp;X20&amp;" "&amp;X21&amp;" is greater than Infant Prophylaxis ANC"&amp;CHAR(10),""),IF(Y237&lt;SUM(Y195,Y193,Y199,Y201)," * Sum of (KP at 1st ANC +New positive at ANC1 + New positive at ANC2 or More+Retesting positive Result at ANC2 or More) for Age "&amp;X20&amp;" "&amp;Y21&amp;" is greater than Infant Prophylaxis ANC"&amp;CHAR(10),""),IF(Z237&lt;SUM(Z195,Z193,Z199,Z201)," * Sum of (KP at 1st ANC +New positive at ANC1 + New positive at ANC2 or More+Retesting positive Result at ANC2 or More) for Age "&amp;Z20&amp;" "&amp;Z21&amp;" is greater than Infant Prophylaxis ANC"&amp;CHAR(10),""),IF(AA237&lt;SUM(AA195,AA193,AA199,AA201)," * Sum of (KP at 1st ANC +New positive at ANC1 + New positive at ANC2 or More+Retesting positive Result at ANC2 or More) for Age "&amp;Z20&amp;" "&amp;AA21&amp;" is greater than Infant Prophylaxis ANC"&amp;CHAR(10),""))</f>
        <v/>
      </c>
      <c r="AF237" s="597"/>
      <c r="AG237" s="439">
        <v>236</v>
      </c>
      <c r="AH237" s="334"/>
    </row>
    <row r="238" spans="1:34" x14ac:dyDescent="0.85">
      <c r="A238" s="614"/>
      <c r="B238" s="303" t="s">
        <v>719</v>
      </c>
      <c r="C238" s="136" t="s">
        <v>379</v>
      </c>
      <c r="D238" s="127"/>
      <c r="E238" s="18"/>
      <c r="F238" s="18"/>
      <c r="G238" s="18"/>
      <c r="H238" s="18"/>
      <c r="I238" s="18"/>
      <c r="J238" s="18"/>
      <c r="K238" s="19"/>
      <c r="L238" s="18"/>
      <c r="M238" s="19"/>
      <c r="N238" s="18"/>
      <c r="O238" s="19"/>
      <c r="P238" s="18"/>
      <c r="Q238" s="19"/>
      <c r="R238" s="18"/>
      <c r="S238" s="19"/>
      <c r="T238" s="18"/>
      <c r="U238" s="19"/>
      <c r="V238" s="18"/>
      <c r="W238" s="19"/>
      <c r="X238" s="18"/>
      <c r="Y238" s="19"/>
      <c r="Z238" s="18"/>
      <c r="AA238" s="18"/>
      <c r="AB238" s="37">
        <f t="shared" si="98"/>
        <v>0</v>
      </c>
      <c r="AC238" s="85" t="str">
        <f>CONCATENATE(IF(D238&gt;D203," * F06-19 for Age "&amp;D20&amp;" "&amp;D21&amp;" is more than F06-08"&amp;CHAR(10),""),IF(E238&gt;E203," * F06-19 for Age "&amp;D20&amp;" "&amp;E21&amp;" is more than F06-08"&amp;CHAR(10),""),IF(F238&gt;F203," * F06-19 for Age "&amp;F20&amp;" "&amp;F21&amp;" is more than F06-08"&amp;CHAR(10),""),IF(G238&gt;G203," * F06-19 for Age "&amp;F20&amp;" "&amp;G21&amp;" is more than F06-08"&amp;CHAR(10),""),IF(H238&gt;H203," * F06-19 for Age "&amp;H20&amp;" "&amp;H21&amp;" is more than F06-08"&amp;CHAR(10),""),IF(I238&gt;I203," * F06-19 for Age "&amp;H20&amp;" "&amp;I21&amp;" is more than F06-08"&amp;CHAR(10),""),IF(J238&gt;J203," * F06-19 for Age "&amp;J20&amp;" "&amp;J21&amp;" is more than F06-08"&amp;CHAR(10),""),IF(K238&gt;K203," * F06-19 for Age "&amp;J20&amp;" "&amp;K21&amp;" is more than F06-08"&amp;CHAR(10),""),IF(L238&gt;L203," * F06-19 for Age "&amp;L20&amp;" "&amp;L21&amp;" is more than F06-08"&amp;CHAR(10),""),IF(M238&gt;M203," * F06-19 for Age "&amp;L20&amp;" "&amp;M21&amp;" is more than F06-08"&amp;CHAR(10),""),IF(N238&gt;N203," * F06-19 for Age "&amp;N20&amp;" "&amp;N21&amp;" is more than F06-08"&amp;CHAR(10),""),IF(O238&gt;O203," * F06-19 for Age "&amp;N20&amp;" "&amp;O21&amp;" is more than F06-08"&amp;CHAR(10),""),IF(P238&gt;P203," * F06-19 for Age "&amp;P20&amp;" "&amp;P21&amp;" is more than F06-08"&amp;CHAR(10),""),IF(Q238&gt;Q203," * F06-19 for Age "&amp;P20&amp;" "&amp;Q21&amp;" is more than F06-08"&amp;CHAR(10),""),IF(R238&gt;R203," * F06-19 for Age "&amp;R20&amp;" "&amp;R21&amp;" is more than F06-08"&amp;CHAR(10),""),IF(S238&gt;S203," * F06-19 for Age "&amp;R20&amp;" "&amp;S21&amp;" is more than F06-08"&amp;CHAR(10),""),IF(T238&gt;T203," * F06-19 for Age "&amp;T20&amp;" "&amp;T21&amp;" is more than F06-08"&amp;CHAR(10),""),IF(U238&gt;U203," * F06-19 for Age "&amp;T20&amp;" "&amp;U21&amp;" is more than F06-08"&amp;CHAR(10),""),IF(V238&gt;V203," * F06-19 for Age "&amp;V20&amp;" "&amp;V21&amp;" is more than F06-08"&amp;CHAR(10),""),IF(W238&gt;W203," * F06-19 for Age "&amp;V20&amp;" "&amp;W21&amp;" is more than F06-08"&amp;CHAR(10),""),IF(X238&gt;X203," * F06-19 for Age "&amp;X20&amp;" "&amp;X21&amp;" is more than F06-08"&amp;CHAR(10),""),IF(Y238&gt;Y203," * F06-19 for Age "&amp;X20&amp;" "&amp;Y21&amp;" is more than F06-08"&amp;CHAR(10),""),IF(Z238&gt;Z203," * F06-19 for Age "&amp;Z20&amp;" "&amp;Z21&amp;" is more than F06-08"&amp;CHAR(10),""),IF(AA238&gt;AA203," * F06-19 for Age "&amp;Z20&amp;" "&amp;AA21&amp;" is more than F06-08"&amp;CHAR(10),""),IF(AB238&gt;AB203," * Total F06-19 is more than Total F06-08"&amp;CHAR(10),""))</f>
        <v/>
      </c>
      <c r="AD238" s="600"/>
      <c r="AE238" s="83" t="str">
        <f>CONCATENATE(IF(D238&lt;D203," * F06-19 for Age "&amp;D20&amp;" "&amp;D21&amp;" is less than F06-08"&amp;CHAR(10),""),IF(E238&lt;E203," * F06-19 for Age "&amp;D20&amp;" "&amp;E21&amp;" is less than F06-08"&amp;CHAR(10),""),IF(F238&lt;F203," * F06-19 for Age "&amp;F20&amp;" "&amp;F21&amp;" is less than F06-08"&amp;CHAR(10),""),IF(G238&lt;G203," * F06-19 for Age "&amp;F20&amp;" "&amp;G21&amp;" is less than F06-08"&amp;CHAR(10),""),IF(H238&lt;H203," * F06-19 for Age "&amp;H20&amp;" "&amp;H21&amp;" is less than F06-08"&amp;CHAR(10),""),IF(I238&lt;I203," * F06-19 for Age "&amp;H20&amp;" "&amp;I21&amp;" is less than F06-08"&amp;CHAR(10),""),IF(J238&lt;J203," * F06-19 for Age "&amp;J20&amp;" "&amp;J21&amp;" is less than F06-08"&amp;CHAR(10),""),IF(K238&lt;K203," * F06-19 for Age "&amp;J20&amp;" "&amp;K21&amp;" is less than F06-08"&amp;CHAR(10),""),IF(L238&lt;L203," * F06-19 for Age "&amp;L20&amp;" "&amp;L21&amp;" is less than F06-08"&amp;CHAR(10),""),IF(M238&lt;M203," * F06-19 for Age "&amp;L20&amp;" "&amp;M21&amp;" is less than F06-08"&amp;CHAR(10),""),IF(N238&lt;N203," * F06-19 for Age "&amp;N20&amp;" "&amp;N21&amp;" is less than F06-08"&amp;CHAR(10),""),IF(O238&lt;O203," * F06-19 for Age "&amp;N20&amp;" "&amp;O21&amp;" is less than F06-08"&amp;CHAR(10),""),IF(P238&lt;P203," * F06-19 for Age "&amp;P20&amp;" "&amp;P21&amp;" is less than F06-08"&amp;CHAR(10),""),IF(Q238&lt;Q203," * F06-19 for Age "&amp;P20&amp;" "&amp;Q21&amp;" is less than F06-08"&amp;CHAR(10),""),IF(R238&lt;R203," * F06-19 for Age "&amp;R20&amp;" "&amp;R21&amp;" is less than F06-08"&amp;CHAR(10),""),IF(S238&lt;S203," * F06-19 for Age "&amp;R20&amp;" "&amp;S21&amp;" is less than F06-08"&amp;CHAR(10),""),IF(T238&lt;T203," * F06-19 for Age "&amp;T20&amp;" "&amp;T21&amp;" is less than F06-08"&amp;CHAR(10),""),IF(U238&lt;U203," * F06-19 for Age "&amp;T20&amp;" "&amp;U21&amp;" is less than F06-08"&amp;CHAR(10),""),IF(V238&lt;V203," * F06-19 for Age "&amp;V20&amp;" "&amp;V21&amp;" is less than F06-08"&amp;CHAR(10),""),IF(W238&lt;W203," * F06-19 for Age "&amp;V20&amp;" "&amp;W21&amp;" is less than F06-08"&amp;CHAR(10),""),IF(X238&lt;X203," * F06-19 for Age "&amp;X20&amp;" "&amp;X21&amp;" is less than F06-08"&amp;CHAR(10),""),IF(Y238&lt;Y203," * F06-19 for Age "&amp;X20&amp;" "&amp;Y21&amp;" is less than F06-08"&amp;CHAR(10),""),IF(Z238&lt;Z203," * F06-19 for Age "&amp;Z20&amp;" "&amp;Z21&amp;" is less than F06-08"&amp;CHAR(10),""),IF(AA238&lt;AA203," * F06-19 for Age "&amp;Z20&amp;" "&amp;AA21&amp;" is less than F06-08"&amp;CHAR(10),""),IF(AB238&lt;AB203," * Total F06-19 is less than Total F06-08"&amp;CHAR(10),""))</f>
        <v/>
      </c>
      <c r="AF238" s="597"/>
      <c r="AG238" s="439">
        <v>237</v>
      </c>
    </row>
    <row r="239" spans="1:34" ht="31.3" thickBot="1" x14ac:dyDescent="0.9">
      <c r="A239" s="623"/>
      <c r="B239" s="310" t="s">
        <v>720</v>
      </c>
      <c r="C239" s="138" t="s">
        <v>380</v>
      </c>
      <c r="D239" s="128"/>
      <c r="E239" s="50"/>
      <c r="F239" s="50"/>
      <c r="G239" s="50"/>
      <c r="H239" s="50"/>
      <c r="I239" s="50"/>
      <c r="J239" s="50"/>
      <c r="K239" s="51"/>
      <c r="L239" s="50"/>
      <c r="M239" s="51"/>
      <c r="N239" s="50"/>
      <c r="O239" s="51"/>
      <c r="P239" s="50"/>
      <c r="Q239" s="51"/>
      <c r="R239" s="50"/>
      <c r="S239" s="51"/>
      <c r="T239" s="50"/>
      <c r="U239" s="51"/>
      <c r="V239" s="50"/>
      <c r="W239" s="51"/>
      <c r="X239" s="50"/>
      <c r="Y239" s="51"/>
      <c r="Z239" s="50"/>
      <c r="AA239" s="50"/>
      <c r="AB239" s="91">
        <f t="shared" si="98"/>
        <v>0</v>
      </c>
      <c r="AC239" s="194" t="str">
        <f>CONCATENATE(IF(D239&gt;D207," * F06-20 for Age "&amp;D20&amp;" "&amp;D21&amp;" is more than F06-10"&amp;CHAR(10),""),IF(E239&gt;E207," * F06-20 for Age "&amp;D20&amp;" "&amp;E21&amp;" is more than F06-10"&amp;CHAR(10),""),IF(F239&gt;F207," * F06-20 for Age "&amp;F20&amp;" "&amp;F21&amp;" is more than F06-10"&amp;CHAR(10),""),IF(G239&gt;G207," * F06-20 for Age "&amp;F20&amp;" "&amp;G21&amp;" is more than F06-10"&amp;CHAR(10),""),IF(H239&gt;H207," * F06-20 for Age "&amp;H20&amp;" "&amp;H21&amp;" is more than F06-10"&amp;CHAR(10),""),IF(I239&gt;I207," * F06-20 for Age "&amp;H20&amp;" "&amp;I21&amp;" is more than F06-10"&amp;CHAR(10),""),IF(J239&gt;J207," * F06-20 for Age "&amp;J20&amp;" "&amp;J21&amp;" is more than F06-10"&amp;CHAR(10),""),IF(K239&gt;K207," * F06-20 for Age "&amp;J20&amp;" "&amp;K21&amp;" is more than F06-10"&amp;CHAR(10),""),IF(L239&gt;L207," * F06-20 for Age "&amp;L20&amp;" "&amp;L21&amp;" is more than F06-10"&amp;CHAR(10),""),IF(M239&gt;M207," * F06-20 for Age "&amp;L20&amp;" "&amp;M21&amp;" is more than F06-10"&amp;CHAR(10),""),IF(N239&gt;N207," * F06-20 for Age "&amp;N20&amp;" "&amp;N21&amp;" is more than F06-10"&amp;CHAR(10),""),IF(O239&gt;O207," * F06-20 for Age "&amp;N20&amp;" "&amp;O21&amp;" is more than F06-10"&amp;CHAR(10),""),IF(P239&gt;P207," * F06-20 for Age "&amp;P20&amp;" "&amp;P21&amp;" is more than F06-10"&amp;CHAR(10),""),IF(Q239&gt;Q207," * F06-20 for Age "&amp;P20&amp;" "&amp;Q21&amp;" is more than F06-10"&amp;CHAR(10),""),IF(R239&gt;R207," * F06-20 for Age "&amp;R20&amp;" "&amp;R21&amp;" is more than F06-10"&amp;CHAR(10),""),IF(S239&gt;S207," * F06-20 for Age "&amp;R20&amp;" "&amp;S21&amp;" is more than F06-10"&amp;CHAR(10),""),IF(T239&gt;T207," * F06-20 for Age "&amp;T20&amp;" "&amp;T21&amp;" is more than F06-10"&amp;CHAR(10),""),IF(U239&gt;U207," * F06-20 for Age "&amp;T20&amp;" "&amp;U21&amp;" is more than F06-10"&amp;CHAR(10),""),IF(V239&gt;V207," * F06-20 for Age "&amp;V20&amp;" "&amp;V21&amp;" is more than F06-10"&amp;CHAR(10),""),IF(W239&gt;W207," * F06-20 for Age "&amp;V20&amp;" "&amp;W21&amp;" is more than F06-10"&amp;CHAR(10),""),IF(X239&gt;X207," * F06-20 for Age "&amp;X20&amp;" "&amp;X21&amp;" is more than F06-10"&amp;CHAR(10),""),IF(Y239&gt;Y207," * F06-20 for Age "&amp;X20&amp;" "&amp;Y21&amp;" is more than F06-10"&amp;CHAR(10),""),IF(Z239&gt;Z207," * F06-20 for Age "&amp;Z20&amp;" "&amp;Z21&amp;" is more than F06-10"&amp;CHAR(10),""),IF(AA239&gt;AA207," * F06-20 for Age "&amp;Z20&amp;" "&amp;AA21&amp;" is more than F06-10"&amp;CHAR(10),""),IF(AB239&gt;AB207," * Total F06-20 is more than Total F06-10"&amp;CHAR(10),""))</f>
        <v/>
      </c>
      <c r="AD239" s="601"/>
      <c r="AE239" s="97" t="str">
        <f>CONCATENATE(IF(D239&lt;D207," * F06-20 for Age "&amp;D20&amp;" "&amp;D21&amp;" is less than F06-10"&amp;CHAR(10),""),IF(E239&lt;E207," * F06-20 for Age "&amp;D20&amp;" "&amp;E21&amp;" is less than F06-10"&amp;CHAR(10),""),IF(F239&lt;F207," * F06-20 for Age "&amp;F20&amp;" "&amp;F21&amp;" is less than F06-10"&amp;CHAR(10),""),IF(G239&lt;G207," * F06-20 for Age "&amp;F20&amp;" "&amp;G21&amp;" is less than F06-10"&amp;CHAR(10),""),IF(H239&lt;H207," * F06-20 for Age "&amp;H20&amp;" "&amp;H21&amp;" is less than F06-10"&amp;CHAR(10),""),IF(I239&lt;I207," * F06-20 for Age "&amp;H20&amp;" "&amp;I21&amp;" is less than F06-10"&amp;CHAR(10),""),IF(J239&lt;J207," * F06-20 for Age "&amp;J20&amp;" "&amp;J21&amp;" is less than F06-10"&amp;CHAR(10),""),IF(K239&lt;K207," * F06-20 for Age "&amp;J20&amp;" "&amp;K21&amp;" is less than F06-10"&amp;CHAR(10),""),IF(L239&lt;L207," * F06-20 for Age "&amp;L20&amp;" "&amp;L21&amp;" is less than F06-10"&amp;CHAR(10),""),IF(M239&lt;M207," * F06-20 for Age "&amp;L20&amp;" "&amp;M21&amp;" is less than F06-10"&amp;CHAR(10),""),IF(N239&lt;N207," * F06-20 for Age "&amp;N20&amp;" "&amp;N21&amp;" is less than F06-10"&amp;CHAR(10),""),IF(O239&lt;O207," * F06-20 for Age "&amp;N20&amp;" "&amp;O21&amp;" is less than F06-10"&amp;CHAR(10),""),IF(P239&lt;P207," * F06-20 for Age "&amp;P20&amp;" "&amp;P21&amp;" is less than F06-10"&amp;CHAR(10),""),IF(Q239&lt;Q207," * F06-20 for Age "&amp;P20&amp;" "&amp;Q21&amp;" is less than F06-10"&amp;CHAR(10),""),IF(R239&lt;R207," * F06-20 for Age "&amp;R20&amp;" "&amp;R21&amp;" is less than F06-10"&amp;CHAR(10),""),IF(S239&lt;S207," * F06-20 for Age "&amp;R20&amp;" "&amp;S21&amp;" is less than F06-10"&amp;CHAR(10),""),IF(T239&lt;T207," * F06-20 for Age "&amp;T20&amp;" "&amp;T21&amp;" is less than F06-10"&amp;CHAR(10),""),IF(U239&lt;U207," * F06-20 for Age "&amp;T20&amp;" "&amp;U21&amp;" is less than F06-10"&amp;CHAR(10),""),IF(V239&lt;V207," * F06-20 for Age "&amp;V20&amp;" "&amp;V21&amp;" is less than F06-10"&amp;CHAR(10),""),IF(W239&lt;W207," * F06-20 for Age "&amp;V20&amp;" "&amp;W21&amp;" is less than F06-10"&amp;CHAR(10),""),IF(X239&lt;X207," * F06-20 for Age "&amp;X20&amp;" "&amp;X21&amp;" is less than F06-10"&amp;CHAR(10),""),IF(Y239&lt;Y207," * F06-20 for Age "&amp;X20&amp;" "&amp;Y21&amp;" is less than F06-10"&amp;CHAR(10),""),IF(Z239&lt;Z207," * F06-20 for Age "&amp;Z20&amp;" "&amp;Z21&amp;" is less than F06-10"&amp;CHAR(10),""),IF(AA239&lt;AA207," * F06-20 for Age "&amp;Z20&amp;" "&amp;AA21&amp;" is less than F06-10"&amp;CHAR(10),""),IF(AB239&lt;AB207," * Total F06-20 is less than Total F06-10"&amp;CHAR(10),""))</f>
        <v/>
      </c>
      <c r="AF239" s="598"/>
      <c r="AG239" s="439">
        <v>238</v>
      </c>
    </row>
    <row r="240" spans="1:34" ht="35.15" thickBot="1" x14ac:dyDescent="0.9">
      <c r="A240" s="578" t="s">
        <v>131</v>
      </c>
      <c r="B240" s="579"/>
      <c r="C240" s="579"/>
      <c r="D240" s="579"/>
      <c r="E240" s="579"/>
      <c r="F240" s="579"/>
      <c r="G240" s="579"/>
      <c r="H240" s="579"/>
      <c r="I240" s="579"/>
      <c r="J240" s="579"/>
      <c r="K240" s="579"/>
      <c r="L240" s="579"/>
      <c r="M240" s="579"/>
      <c r="N240" s="579"/>
      <c r="O240" s="579"/>
      <c r="P240" s="579"/>
      <c r="Q240" s="579"/>
      <c r="R240" s="579"/>
      <c r="S240" s="579"/>
      <c r="T240" s="579"/>
      <c r="U240" s="579"/>
      <c r="V240" s="579"/>
      <c r="W240" s="579"/>
      <c r="X240" s="579"/>
      <c r="Y240" s="579"/>
      <c r="Z240" s="579"/>
      <c r="AA240" s="579"/>
      <c r="AB240" s="579"/>
      <c r="AC240" s="579"/>
      <c r="AD240" s="579"/>
      <c r="AE240" s="579"/>
      <c r="AF240" s="580"/>
      <c r="AG240" s="439">
        <v>239</v>
      </c>
    </row>
    <row r="241" spans="1:34" ht="26.25" customHeight="1" x14ac:dyDescent="0.85">
      <c r="A241" s="588" t="s">
        <v>37</v>
      </c>
      <c r="B241" s="611" t="s">
        <v>347</v>
      </c>
      <c r="C241" s="666" t="s">
        <v>328</v>
      </c>
      <c r="D241" s="646" t="s">
        <v>0</v>
      </c>
      <c r="E241" s="646"/>
      <c r="F241" s="646" t="s">
        <v>1</v>
      </c>
      <c r="G241" s="646"/>
      <c r="H241" s="646" t="s">
        <v>2</v>
      </c>
      <c r="I241" s="646"/>
      <c r="J241" s="646" t="s">
        <v>3</v>
      </c>
      <c r="K241" s="646"/>
      <c r="L241" s="646" t="s">
        <v>4</v>
      </c>
      <c r="M241" s="646"/>
      <c r="N241" s="646" t="s">
        <v>5</v>
      </c>
      <c r="O241" s="646"/>
      <c r="P241" s="646" t="s">
        <v>6</v>
      </c>
      <c r="Q241" s="646"/>
      <c r="R241" s="646" t="s">
        <v>7</v>
      </c>
      <c r="S241" s="646"/>
      <c r="T241" s="646" t="s">
        <v>8</v>
      </c>
      <c r="U241" s="646"/>
      <c r="V241" s="646" t="s">
        <v>23</v>
      </c>
      <c r="W241" s="646"/>
      <c r="X241" s="646" t="s">
        <v>24</v>
      </c>
      <c r="Y241" s="646"/>
      <c r="Z241" s="646" t="s">
        <v>9</v>
      </c>
      <c r="AA241" s="646"/>
      <c r="AB241" s="594" t="s">
        <v>19</v>
      </c>
      <c r="AC241" s="673" t="s">
        <v>381</v>
      </c>
      <c r="AD241" s="585" t="s">
        <v>387</v>
      </c>
      <c r="AE241" s="581" t="s">
        <v>388</v>
      </c>
      <c r="AF241" s="576" t="s">
        <v>388</v>
      </c>
      <c r="AG241" s="439">
        <v>240</v>
      </c>
    </row>
    <row r="242" spans="1:34" ht="27" customHeight="1" thickBot="1" x14ac:dyDescent="0.9">
      <c r="A242" s="589"/>
      <c r="B242" s="612"/>
      <c r="C242" s="667"/>
      <c r="D242" s="30" t="s">
        <v>10</v>
      </c>
      <c r="E242" s="30" t="s">
        <v>11</v>
      </c>
      <c r="F242" s="30" t="s">
        <v>10</v>
      </c>
      <c r="G242" s="30" t="s">
        <v>11</v>
      </c>
      <c r="H242" s="30" t="s">
        <v>10</v>
      </c>
      <c r="I242" s="30" t="s">
        <v>11</v>
      </c>
      <c r="J242" s="30" t="s">
        <v>10</v>
      </c>
      <c r="K242" s="30" t="s">
        <v>11</v>
      </c>
      <c r="L242" s="30" t="s">
        <v>10</v>
      </c>
      <c r="M242" s="30" t="s">
        <v>11</v>
      </c>
      <c r="N242" s="30" t="s">
        <v>10</v>
      </c>
      <c r="O242" s="30" t="s">
        <v>11</v>
      </c>
      <c r="P242" s="30" t="s">
        <v>10</v>
      </c>
      <c r="Q242" s="30" t="s">
        <v>11</v>
      </c>
      <c r="R242" s="30" t="s">
        <v>10</v>
      </c>
      <c r="S242" s="30" t="s">
        <v>11</v>
      </c>
      <c r="T242" s="30" t="s">
        <v>10</v>
      </c>
      <c r="U242" s="30" t="s">
        <v>11</v>
      </c>
      <c r="V242" s="30" t="s">
        <v>10</v>
      </c>
      <c r="W242" s="30" t="s">
        <v>11</v>
      </c>
      <c r="X242" s="30" t="s">
        <v>10</v>
      </c>
      <c r="Y242" s="30" t="s">
        <v>11</v>
      </c>
      <c r="Z242" s="30" t="s">
        <v>10</v>
      </c>
      <c r="AA242" s="30" t="s">
        <v>11</v>
      </c>
      <c r="AB242" s="595"/>
      <c r="AC242" s="674"/>
      <c r="AD242" s="584"/>
      <c r="AE242" s="582"/>
      <c r="AF242" s="577"/>
      <c r="AG242" s="439">
        <v>241</v>
      </c>
    </row>
    <row r="243" spans="1:34" s="4" customFormat="1" ht="32.15" thickBot="1" x14ac:dyDescent="0.9">
      <c r="A243" s="459" t="s">
        <v>298</v>
      </c>
      <c r="B243" s="263" t="s">
        <v>878</v>
      </c>
      <c r="C243" s="63" t="s">
        <v>299</v>
      </c>
      <c r="D243" s="87">
        <f>SUM(D244:D249)</f>
        <v>0</v>
      </c>
      <c r="E243" s="255">
        <f>SUM(E244:E249)</f>
        <v>0</v>
      </c>
      <c r="F243" s="87">
        <f t="shared" ref="F243:AA243" si="99">SUM(F244:F249)</f>
        <v>0</v>
      </c>
      <c r="G243" s="87">
        <f t="shared" si="99"/>
        <v>0</v>
      </c>
      <c r="H243" s="87">
        <f t="shared" si="99"/>
        <v>0</v>
      </c>
      <c r="I243" s="87">
        <f t="shared" si="99"/>
        <v>0</v>
      </c>
      <c r="J243" s="87">
        <f t="shared" si="99"/>
        <v>0</v>
      </c>
      <c r="K243" s="87">
        <f t="shared" si="99"/>
        <v>0</v>
      </c>
      <c r="L243" s="87">
        <f t="shared" si="99"/>
        <v>0</v>
      </c>
      <c r="M243" s="87">
        <f t="shared" si="99"/>
        <v>0</v>
      </c>
      <c r="N243" s="87">
        <f t="shared" si="99"/>
        <v>0</v>
      </c>
      <c r="O243" s="87">
        <f t="shared" si="99"/>
        <v>0</v>
      </c>
      <c r="P243" s="87">
        <f t="shared" si="99"/>
        <v>0</v>
      </c>
      <c r="Q243" s="87">
        <f t="shared" si="99"/>
        <v>0</v>
      </c>
      <c r="R243" s="87">
        <f t="shared" si="99"/>
        <v>0</v>
      </c>
      <c r="S243" s="87">
        <f t="shared" si="99"/>
        <v>0</v>
      </c>
      <c r="T243" s="87">
        <f t="shared" si="99"/>
        <v>0</v>
      </c>
      <c r="U243" s="87">
        <f t="shared" si="99"/>
        <v>0</v>
      </c>
      <c r="V243" s="87">
        <f t="shared" si="99"/>
        <v>0</v>
      </c>
      <c r="W243" s="87">
        <f t="shared" si="99"/>
        <v>0</v>
      </c>
      <c r="X243" s="87">
        <f t="shared" si="99"/>
        <v>0</v>
      </c>
      <c r="Y243" s="87">
        <f t="shared" si="99"/>
        <v>0</v>
      </c>
      <c r="Z243" s="87">
        <f t="shared" si="99"/>
        <v>0</v>
      </c>
      <c r="AA243" s="87">
        <f t="shared" si="99"/>
        <v>0</v>
      </c>
      <c r="AB243" s="88">
        <f>SUM(D243:AA243)</f>
        <v>0</v>
      </c>
      <c r="AC243" s="85" t="str">
        <f>CONCATENATE(IF(D243&gt;D252," * Starting ART for Age "&amp;D20&amp;" "&amp;D21&amp;" is more than Current On ART"&amp;CHAR(10),""),IF(E243&gt;E252," * Starting ART for Age "&amp;D20&amp;" "&amp;E21&amp;" is more than Current On ART"&amp;CHAR(10),""),IF(F243&gt;F252," * Starting ART for Age "&amp;F20&amp;" "&amp;F21&amp;" is more than Current On ART"&amp;CHAR(10),""),IF(G243&gt;G252," * Starting ART for Age "&amp;F20&amp;" "&amp;G21&amp;" is more than Current On ART"&amp;CHAR(10),""),IF(H243&gt;H252," * Starting ART for Age "&amp;H20&amp;" "&amp;H21&amp;" is more than Current On ART"&amp;CHAR(10),""),IF(I243&gt;I252," * Starting ART for Age "&amp;H20&amp;" "&amp;I21&amp;" is more than Current On ART"&amp;CHAR(10),""),IF(J243&gt;J252," * Starting ART for Age "&amp;J20&amp;" "&amp;J21&amp;" is more than Current On ART"&amp;CHAR(10),""),IF(K243&gt;K252," * Starting ART for Age "&amp;J20&amp;" "&amp;K21&amp;" is more than Current On ART"&amp;CHAR(10),""),IF(L243&gt;L252," * Starting ART for Age "&amp;L20&amp;" "&amp;L21&amp;" is more than Current On ART"&amp;CHAR(10),""),IF(M243&gt;M252," * Starting ART for Age "&amp;L20&amp;" "&amp;M21&amp;" is more than Current On ART"&amp;CHAR(10),""),IF(N243&gt;N252," * Starting ART for Age "&amp;N20&amp;" "&amp;N21&amp;" is more than Current On ART"&amp;CHAR(10),""),IF(O243&gt;O252," * Starting ART for Age "&amp;N20&amp;" "&amp;O21&amp;" is more than Current On ART"&amp;CHAR(10),""),IF(P243&gt;P252," * Starting ART for Age "&amp;P20&amp;" "&amp;P21&amp;" is more than Current On ART"&amp;CHAR(10),""),IF(Q243&gt;Q252," * Starting ART for Age "&amp;P20&amp;" "&amp;Q21&amp;" is more than Current On ART"&amp;CHAR(10),""),IF(R243&gt;R252," * Starting ART for Age "&amp;R20&amp;" "&amp;R21&amp;" is more than Current On ART"&amp;CHAR(10),""),IF(S243&gt;S252," * Starting ART for Age "&amp;R20&amp;" "&amp;S21&amp;" is more than Current On ART"&amp;CHAR(10),""),IF(T243&gt;T252," * Starting ART for Age "&amp;T20&amp;" "&amp;T21&amp;" is more than Current On ART"&amp;CHAR(10),""),IF(U243&gt;U252," * Starting ART for Age "&amp;T20&amp;" "&amp;U21&amp;" is more than Current On ART"&amp;CHAR(10),""),IF(V243&gt;V252," * Starting ART for Age "&amp;V20&amp;" "&amp;V21&amp;" is more than Current On ART"&amp;CHAR(10),""),IF(W243&gt;W252," * Starting ART for Age "&amp;V20&amp;" "&amp;W21&amp;" is more than Current On ART"&amp;CHAR(10),""),IF(X243&gt;X252," * Starting ART for Age "&amp;X20&amp;" "&amp;X21&amp;" is more than Current On ART"&amp;CHAR(10),""),IF(Y243&gt;Y252," * Starting ART for Age "&amp;X20&amp;" "&amp;Y21&amp;" is more than Current On ART"&amp;CHAR(10),""),IF(Z243&gt;Z252," * Starting ART for Age "&amp;Z20&amp;" "&amp;Z21&amp;" is more than Current On ART"&amp;CHAR(10),""),IF(AA243&gt;AA252," * Starting ART for Age "&amp;Z20&amp;" "&amp;AA21&amp;" is more than Current On ART"&amp;CHAR(10),""))</f>
        <v/>
      </c>
      <c r="AD243" s="767" t="str">
        <f>CONCATENATE(AC243,AC244,AC245,AC246,AC247,AC248,AC249,AC250,AC251,AC252,AC253,AC254,AC255,AC256,AC257,AC258,AC259,AC261,AC260,AC262,AC263,AC264,AC265,AC266)</f>
        <v/>
      </c>
      <c r="AE243" s="83"/>
      <c r="AF243" s="769" t="str">
        <f>CONCATENATE(AE243,AE244,AE245,AE246,AE247,AE248,AE249,AE250,AE251,AE252,AE253,AE254,AE255,AE256,AE257,AE258,AE259,AE260,AE261,AE262,AE263,AE264,AE265,AE266)</f>
        <v/>
      </c>
      <c r="AG243" s="439">
        <v>242</v>
      </c>
      <c r="AH243" s="337"/>
    </row>
    <row r="244" spans="1:34" x14ac:dyDescent="0.85">
      <c r="A244" s="565" t="s">
        <v>579</v>
      </c>
      <c r="B244" s="311" t="s">
        <v>396</v>
      </c>
      <c r="C244" s="129" t="s">
        <v>573</v>
      </c>
      <c r="D244" s="171"/>
      <c r="E244" s="35"/>
      <c r="F244" s="35"/>
      <c r="G244" s="35"/>
      <c r="H244" s="35"/>
      <c r="I244" s="35"/>
      <c r="J244" s="35"/>
      <c r="K244" s="35"/>
      <c r="L244" s="35"/>
      <c r="M244" s="35"/>
      <c r="N244" s="35"/>
      <c r="O244" s="35"/>
      <c r="P244" s="35"/>
      <c r="Q244" s="35"/>
      <c r="R244" s="35"/>
      <c r="S244" s="35"/>
      <c r="T244" s="35"/>
      <c r="U244" s="35"/>
      <c r="V244" s="35"/>
      <c r="W244" s="35"/>
      <c r="X244" s="35"/>
      <c r="Y244" s="35"/>
      <c r="Z244" s="35"/>
      <c r="AA244" s="35"/>
      <c r="AB244" s="67">
        <f t="shared" ref="AB244:AB249" si="100">SUM(D244:AA244)</f>
        <v>0</v>
      </c>
      <c r="AC244" s="85"/>
      <c r="AD244" s="618"/>
      <c r="AE244" s="83"/>
      <c r="AF244" s="621"/>
      <c r="AG244" s="439">
        <v>243</v>
      </c>
    </row>
    <row r="245" spans="1:34" x14ac:dyDescent="0.85">
      <c r="A245" s="566"/>
      <c r="B245" s="312" t="s">
        <v>391</v>
      </c>
      <c r="C245" s="146" t="s">
        <v>574</v>
      </c>
      <c r="D245" s="172"/>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68">
        <f t="shared" si="100"/>
        <v>0</v>
      </c>
      <c r="AC245" s="85"/>
      <c r="AD245" s="618"/>
      <c r="AE245" s="83"/>
      <c r="AF245" s="621"/>
      <c r="AG245" s="439">
        <v>244</v>
      </c>
    </row>
    <row r="246" spans="1:34" x14ac:dyDescent="0.85">
      <c r="A246" s="566"/>
      <c r="B246" s="312" t="s">
        <v>392</v>
      </c>
      <c r="C246" s="146" t="s">
        <v>575</v>
      </c>
      <c r="D246" s="172"/>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68">
        <f t="shared" si="100"/>
        <v>0</v>
      </c>
      <c r="AC246" s="85"/>
      <c r="AD246" s="618"/>
      <c r="AE246" s="83"/>
      <c r="AF246" s="621"/>
      <c r="AG246" s="439">
        <v>245</v>
      </c>
    </row>
    <row r="247" spans="1:34" x14ac:dyDescent="0.85">
      <c r="A247" s="566"/>
      <c r="B247" s="312" t="s">
        <v>393</v>
      </c>
      <c r="C247" s="146" t="s">
        <v>576</v>
      </c>
      <c r="D247" s="172"/>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68">
        <f t="shared" si="100"/>
        <v>0</v>
      </c>
      <c r="AC247" s="85"/>
      <c r="AD247" s="618"/>
      <c r="AE247" s="83"/>
      <c r="AF247" s="621"/>
      <c r="AG247" s="439">
        <v>246</v>
      </c>
    </row>
    <row r="248" spans="1:34" x14ac:dyDescent="0.85">
      <c r="A248" s="566"/>
      <c r="B248" s="312" t="s">
        <v>394</v>
      </c>
      <c r="C248" s="146" t="s">
        <v>577</v>
      </c>
      <c r="D248" s="172"/>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68">
        <f t="shared" si="100"/>
        <v>0</v>
      </c>
      <c r="AC248" s="85"/>
      <c r="AD248" s="618"/>
      <c r="AE248" s="83"/>
      <c r="AF248" s="621"/>
      <c r="AG248" s="439">
        <v>247</v>
      </c>
    </row>
    <row r="249" spans="1:34" ht="31.3" thickBot="1" x14ac:dyDescent="0.9">
      <c r="A249" s="567"/>
      <c r="B249" s="313" t="s">
        <v>395</v>
      </c>
      <c r="C249" s="147" t="s">
        <v>578</v>
      </c>
      <c r="D249" s="151"/>
      <c r="E249" s="39"/>
      <c r="F249" s="39"/>
      <c r="G249" s="39"/>
      <c r="H249" s="39"/>
      <c r="I249" s="39"/>
      <c r="J249" s="39"/>
      <c r="K249" s="39"/>
      <c r="L249" s="39"/>
      <c r="M249" s="39"/>
      <c r="N249" s="39"/>
      <c r="O249" s="39"/>
      <c r="P249" s="39"/>
      <c r="Q249" s="39"/>
      <c r="R249" s="39"/>
      <c r="S249" s="39"/>
      <c r="T249" s="39"/>
      <c r="U249" s="39"/>
      <c r="V249" s="39"/>
      <c r="W249" s="39"/>
      <c r="X249" s="39"/>
      <c r="Y249" s="39"/>
      <c r="Z249" s="39"/>
      <c r="AA249" s="39"/>
      <c r="AB249" s="69">
        <f t="shared" si="100"/>
        <v>0</v>
      </c>
      <c r="AC249" s="85"/>
      <c r="AD249" s="618"/>
      <c r="AE249" s="83"/>
      <c r="AF249" s="621"/>
      <c r="AG249" s="439">
        <v>248</v>
      </c>
    </row>
    <row r="250" spans="1:34" ht="31.3" thickBot="1" x14ac:dyDescent="0.9">
      <c r="A250" s="459" t="s">
        <v>580</v>
      </c>
      <c r="B250" s="314" t="s">
        <v>721</v>
      </c>
      <c r="C250" s="175" t="s">
        <v>300</v>
      </c>
      <c r="D250" s="173"/>
      <c r="E250" s="70"/>
      <c r="F250" s="70"/>
      <c r="G250" s="70"/>
      <c r="H250" s="70"/>
      <c r="I250" s="70"/>
      <c r="J250" s="70"/>
      <c r="K250" s="71"/>
      <c r="L250" s="70"/>
      <c r="M250" s="71"/>
      <c r="N250" s="70"/>
      <c r="O250" s="71"/>
      <c r="P250" s="70"/>
      <c r="Q250" s="71"/>
      <c r="R250" s="70"/>
      <c r="S250" s="71"/>
      <c r="T250" s="70"/>
      <c r="U250" s="71"/>
      <c r="V250" s="70"/>
      <c r="W250" s="71"/>
      <c r="X250" s="70"/>
      <c r="Y250" s="71"/>
      <c r="Z250" s="70"/>
      <c r="AA250" s="70"/>
      <c r="AB250" s="72">
        <f t="shared" ref="AB250:AB277" si="101">SUM(D250:AA250)</f>
        <v>0</v>
      </c>
      <c r="AC250" s="195" t="str">
        <f>CONCATENATE(IF(D250&gt;D243," * F07-02 for Age "&amp;D20&amp;" "&amp;D21&amp;" is more than F07-01"&amp;CHAR(10),""),IF(E250&gt;E243," * F07-02 for Age "&amp;D20&amp;" "&amp;E21&amp;" is more than F07-01"&amp;CHAR(10),""),IF(F250&gt;F243," * F07-02 for Age "&amp;F20&amp;" "&amp;F21&amp;" is more than F07-01"&amp;CHAR(10),""),IF(G250&gt;G243," * F07-02 for Age "&amp;F20&amp;" "&amp;G21&amp;" is more than F07-01"&amp;CHAR(10),""),IF(H250&gt;H243," * F07-02 for Age "&amp;H20&amp;" "&amp;H21&amp;" is more than F07-01"&amp;CHAR(10),""),IF(I250&gt;I243," * F07-02 for Age "&amp;H20&amp;" "&amp;I21&amp;" is more than F07-01"&amp;CHAR(10),""),IF(J250&gt;J243," * F07-02 for Age "&amp;J20&amp;" "&amp;J21&amp;" is more than F07-01"&amp;CHAR(10),""),IF(K250&gt;K243," * F07-02 for Age "&amp;J20&amp;" "&amp;K21&amp;" is more than F07-01"&amp;CHAR(10),""),IF(L250&gt;L243," * F07-02 for Age "&amp;L20&amp;" "&amp;L21&amp;" is more than F07-01"&amp;CHAR(10),""),IF(M250&gt;M243," * F07-02 for Age "&amp;L20&amp;" "&amp;M21&amp;" is more than F07-01"&amp;CHAR(10),""),IF(N250&gt;N243," * F07-02 for Age "&amp;N20&amp;" "&amp;N21&amp;" is more than F07-01"&amp;CHAR(10),""),IF(O250&gt;O243," * F07-02 for Age "&amp;N20&amp;" "&amp;O21&amp;" is more than F07-01"&amp;CHAR(10),""),IF(P250&gt;P243," * F07-02 for Age "&amp;P20&amp;" "&amp;P21&amp;" is more than F07-01"&amp;CHAR(10),""),IF(Q250&gt;Q243," * F07-02 for Age "&amp;P20&amp;" "&amp;Q21&amp;" is more than F07-01"&amp;CHAR(10),""),IF(R250&gt;R243," * F07-02 for Age "&amp;R20&amp;" "&amp;R21&amp;" is more than F07-01"&amp;CHAR(10),""),IF(S250&gt;S243," * F07-02 for Age "&amp;R20&amp;" "&amp;S21&amp;" is more than F07-01"&amp;CHAR(10),""),IF(T250&gt;T243," * F07-02 for Age "&amp;T20&amp;" "&amp;T21&amp;" is more than F07-01"&amp;CHAR(10),""),IF(U250&gt;U243," * F07-02 for Age "&amp;T20&amp;" "&amp;U21&amp;" is more than F07-01"&amp;CHAR(10),""),IF(V250&gt;V243," * F07-02 for Age "&amp;V20&amp;" "&amp;V21&amp;" is more than F07-01"&amp;CHAR(10),""),IF(W250&gt;W243," * F07-02 for Age "&amp;V20&amp;" "&amp;W21&amp;" is more than F07-01"&amp;CHAR(10),""),IF(X250&gt;X243," * F07-02 for Age "&amp;X20&amp;" "&amp;X21&amp;" is more than F07-01"&amp;CHAR(10),""),IF(Y250&gt;Y243," * F07-02 for Age "&amp;X20&amp;" "&amp;Y21&amp;" is more than F07-01"&amp;CHAR(10),""),IF(Z250&gt;Z243," * F07-02 for Age "&amp;Z20&amp;" "&amp;Z21&amp;" is more than F07-01"&amp;CHAR(10),""),IF(AA250&gt;AA243," * F07-02 for Age "&amp;Z20&amp;" "&amp;AA21&amp;" is more than F07-01"&amp;CHAR(10),""),IF(AB250&gt;AB243," * Total F07-02 is more than Total F07-01"&amp;CHAR(10),""))</f>
        <v/>
      </c>
      <c r="AD250" s="618"/>
      <c r="AE250" s="84" t="str">
        <f>CONCATENATE(IF(AND(AB243&gt;0,OR(SUM(AB27,AB32,AB34,AB36,AB38,AB40,AB42,AB44,AB46,AB48,AB195,AB199,AB203,AB207)=0,SUM(AB26,AB31,AB33,AB35,AB37,AB39,AB41,AB43,AB45,AB47,AB194,AB198,AB202,AB206)=0))," * This site started patients on ART yet it has 0 positives or zero tested "&amp;CHAR(10),""),"")</f>
        <v/>
      </c>
      <c r="AF250" s="621"/>
      <c r="AG250" s="439">
        <v>249</v>
      </c>
    </row>
    <row r="251" spans="1:34" x14ac:dyDescent="0.85">
      <c r="A251" s="568" t="s">
        <v>581</v>
      </c>
      <c r="B251" s="283" t="s">
        <v>1027</v>
      </c>
      <c r="C251" s="129" t="s">
        <v>561</v>
      </c>
      <c r="D251" s="171"/>
      <c r="E251" s="35"/>
      <c r="F251" s="35"/>
      <c r="G251" s="35"/>
      <c r="H251" s="35"/>
      <c r="I251" s="35"/>
      <c r="J251" s="35"/>
      <c r="K251" s="35"/>
      <c r="L251" s="35"/>
      <c r="M251" s="35"/>
      <c r="N251" s="35"/>
      <c r="O251" s="35"/>
      <c r="P251" s="35"/>
      <c r="Q251" s="35"/>
      <c r="R251" s="35"/>
      <c r="S251" s="35"/>
      <c r="T251" s="35"/>
      <c r="U251" s="35"/>
      <c r="V251" s="35"/>
      <c r="W251" s="35"/>
      <c r="X251" s="35"/>
      <c r="Y251" s="35"/>
      <c r="Z251" s="35"/>
      <c r="AA251" s="35"/>
      <c r="AB251" s="36">
        <f t="shared" ref="AB251" si="102">SUM(D251:AA251)</f>
        <v>0</v>
      </c>
      <c r="AC251" s="85" t="str">
        <f>CONCATENATE(IF(D251&gt;D252," * &lt; 28 Days Defaulters for Age "&amp;D20&amp;" "&amp;D21&amp;" is more than Current On ART"&amp;CHAR(10),""),IF(E251&gt;E252," * &lt; 28 Days Defaulters for Age "&amp;D20&amp;" "&amp;E21&amp;" is more than Current On ART"&amp;CHAR(10),""),IF(F251&gt;F252," * &lt; 28 Days Defaulters for Age "&amp;F20&amp;" "&amp;F21&amp;" is more than Current On ART"&amp;CHAR(10),""),IF(G251&gt;G252," * &lt; 28 Days Defaulters for Age "&amp;F20&amp;" "&amp;G21&amp;" is more than Current On ART"&amp;CHAR(10),""),IF(H251&gt;H252," * &lt; 28 Days Defaulters for Age "&amp;H20&amp;" "&amp;H21&amp;" is more than Current On ART"&amp;CHAR(10),""),IF(I251&gt;I252," * &lt; 28 Days Defaulters for Age "&amp;H20&amp;" "&amp;I21&amp;" is more than Current On ART"&amp;CHAR(10),""),IF(J251&gt;J252," * &lt; 28 Days Defaulters for Age "&amp;J20&amp;" "&amp;J21&amp;" is more than Current On ART"&amp;CHAR(10),""),IF(K251&gt;K252," * &lt; 28 Days Defaulters for Age "&amp;J20&amp;" "&amp;K21&amp;" is more than Current On ART"&amp;CHAR(10),""),IF(L251&gt;L252," * &lt; 28 Days Defaulters for Age "&amp;L20&amp;" "&amp;L21&amp;" is more than Current On ART"&amp;CHAR(10),""),IF(M251&gt;M252," * &lt; 28 Days Defaulters for Age "&amp;L20&amp;" "&amp;M21&amp;" is more than Current On ART"&amp;CHAR(10),""),IF(N251&gt;N252," * &lt; 28 Days Defaulters for Age "&amp;N20&amp;" "&amp;N21&amp;" is more than Current On ART"&amp;CHAR(10),""),IF(O251&gt;O252," * &lt; 28 Days Defaulters for Age "&amp;N20&amp;" "&amp;O21&amp;" is more than Current On ART"&amp;CHAR(10),""),IF(P251&gt;P252," * &lt; 28 Days Defaulters for Age "&amp;P20&amp;" "&amp;P21&amp;" is more than Current On ART"&amp;CHAR(10),""),IF(Q251&gt;Q252," * &lt; 28 Days Defaulters for Age "&amp;P20&amp;" "&amp;Q21&amp;" is more than Current On ART"&amp;CHAR(10),""),IF(R251&gt;R252," * &lt; 28 Days Defaulters for Age "&amp;R20&amp;" "&amp;R21&amp;" is more than Current On ART"&amp;CHAR(10),""),IF(S251&gt;S252," * &lt; 28 Days Defaulters for Age "&amp;R20&amp;" "&amp;S21&amp;" is more than Current On ART"&amp;CHAR(10),""),IF(T251&gt;T252," * &lt; 28 Days Defaulters for Age "&amp;T20&amp;" "&amp;T21&amp;" is more than Current On ART"&amp;CHAR(10),""),IF(U251&gt;U252," * &lt; 28 Days Defaulters for Age "&amp;T20&amp;" "&amp;U21&amp;" is more than Current On ART"&amp;CHAR(10),""),IF(V251&gt;V252," * &lt; 28 Days Defaulters for Age "&amp;V20&amp;" "&amp;V21&amp;" is more than Current On ART"&amp;CHAR(10),""),IF(W251&gt;W252," * &lt; 28 Days Defaulters for Age "&amp;V20&amp;" "&amp;W21&amp;" is more than Current On ART"&amp;CHAR(10),""),IF(X251&gt;X252," * &lt; 28 Days Defaulters for Age "&amp;X20&amp;" "&amp;X21&amp;" is more than Current On ART"&amp;CHAR(10),""),IF(Y251&gt;Y252," * &lt; 28 Days Defaulters for Age "&amp;X20&amp;" "&amp;Y21&amp;" is more than Current On ART"&amp;CHAR(10),""),IF(Z251&gt;Z252," * &lt; 28 Days Defaulters for Age "&amp;Z20&amp;" "&amp;Z21&amp;" is more than Current On ART"&amp;CHAR(10),""),IF(AA251&gt;AA252," * &lt; 28 Days Defaulters for Age "&amp;Z20&amp;" "&amp;AA21&amp;" is more than Current On ART"&amp;CHAR(10),""))</f>
        <v/>
      </c>
      <c r="AD251" s="618"/>
      <c r="AE251" s="83"/>
      <c r="AF251" s="621"/>
      <c r="AG251" s="439">
        <v>250</v>
      </c>
    </row>
    <row r="252" spans="1:34" ht="32.15" thickBot="1" x14ac:dyDescent="0.9">
      <c r="A252" s="569"/>
      <c r="B252" s="315" t="s">
        <v>877</v>
      </c>
      <c r="C252" s="138" t="s">
        <v>302</v>
      </c>
      <c r="D252" s="174">
        <f>SUM(D253:D258)</f>
        <v>0</v>
      </c>
      <c r="E252" s="73">
        <f t="shared" ref="E252:AA252" si="103">SUM(E253:E258)</f>
        <v>0</v>
      </c>
      <c r="F252" s="73">
        <f t="shared" si="103"/>
        <v>0</v>
      </c>
      <c r="G252" s="73">
        <f t="shared" si="103"/>
        <v>0</v>
      </c>
      <c r="H252" s="73">
        <f t="shared" si="103"/>
        <v>0</v>
      </c>
      <c r="I252" s="73">
        <f t="shared" si="103"/>
        <v>0</v>
      </c>
      <c r="J252" s="73">
        <f t="shared" si="103"/>
        <v>0</v>
      </c>
      <c r="K252" s="73">
        <f t="shared" si="103"/>
        <v>0</v>
      </c>
      <c r="L252" s="73">
        <f t="shared" si="103"/>
        <v>0</v>
      </c>
      <c r="M252" s="73">
        <f t="shared" si="103"/>
        <v>0</v>
      </c>
      <c r="N252" s="73">
        <f t="shared" si="103"/>
        <v>0</v>
      </c>
      <c r="O252" s="73">
        <f t="shared" si="103"/>
        <v>0</v>
      </c>
      <c r="P252" s="73">
        <f t="shared" si="103"/>
        <v>0</v>
      </c>
      <c r="Q252" s="73">
        <f t="shared" si="103"/>
        <v>0</v>
      </c>
      <c r="R252" s="73">
        <f t="shared" si="103"/>
        <v>0</v>
      </c>
      <c r="S252" s="73">
        <f t="shared" si="103"/>
        <v>0</v>
      </c>
      <c r="T252" s="73">
        <f t="shared" si="103"/>
        <v>0</v>
      </c>
      <c r="U252" s="73">
        <f t="shared" si="103"/>
        <v>0</v>
      </c>
      <c r="V252" s="73">
        <f t="shared" si="103"/>
        <v>0</v>
      </c>
      <c r="W252" s="73">
        <f t="shared" si="103"/>
        <v>0</v>
      </c>
      <c r="X252" s="73">
        <f t="shared" si="103"/>
        <v>0</v>
      </c>
      <c r="Y252" s="73">
        <f t="shared" si="103"/>
        <v>0</v>
      </c>
      <c r="Z252" s="73">
        <f t="shared" si="103"/>
        <v>0</v>
      </c>
      <c r="AA252" s="73">
        <f t="shared" si="103"/>
        <v>0</v>
      </c>
      <c r="AB252" s="74">
        <f>SUM(AB253:AB258)</f>
        <v>0</v>
      </c>
      <c r="AC252" s="85" t="str">
        <f>CONCATENATE(IF(D252&lt;&gt;D265,""&amp;CHAR(10)&amp;"  * Current on ART by month of dispense F07-16 for age "&amp;D241&amp;" "&amp;D242&amp;" is not equal to Clients current On ART F07-03 age  "&amp;D241&amp;" "&amp;D242&amp;"",""),IF(E252&lt;&gt;E265,""&amp;CHAR(10)&amp;"  * Current on ART by month of dispense F07-16 for age "&amp;D241&amp;" "&amp;E242&amp;" is not equal to Clients current On ART F07-03 age  "&amp;D241&amp;" "&amp;E242&amp;"",""),IF(F252&lt;&gt;F265,""&amp;CHAR(10)&amp;"  * Current on ART by month of dispense F07-16 for age "&amp;F241&amp;" "&amp;F242&amp;" is not equal to Clients current On ART F07-03 age  "&amp;F241&amp;" "&amp;F242&amp;"",""),IF(G252&lt;&gt;G265,""&amp;CHAR(10)&amp;"  * Current on ART by month of dispense F07-16 for age "&amp;F241&amp;" "&amp;G242&amp;" is not equal to Clients current On ART F07-03 age  "&amp;F241&amp;" "&amp;G242&amp;"",""),IF(H252&lt;&gt;H265,""&amp;CHAR(10)&amp;"  * Current on ART by month of dispense F07-16 for age "&amp;H241&amp;" "&amp;H242&amp;" is not equal to Clients current On ART F07-03 age  "&amp;H241&amp;" "&amp;H242&amp;"",""),IF(I252&lt;&gt;I265,""&amp;CHAR(10)&amp;"  * Current on ART by month of dispense F07-16 for age "&amp;H241&amp;" "&amp;I242&amp;" is not equal to Clients current On ART F07-03 age  "&amp;H241&amp;" "&amp;I242&amp;"",""),IF(J252&lt;&gt;J265,""&amp;CHAR(10)&amp;"  * Current on ART by month of dispense F07-16 for age "&amp;J241&amp;" "&amp;J242&amp;" is not equal to Clients current On ART F07-03 age  "&amp;J241&amp;" "&amp;J242&amp;"",""),IF(K252&lt;&gt;K265,""&amp;CHAR(10)&amp;"  * Current on ART by month of dispense F07-16 for age "&amp;J241&amp;" "&amp;K242&amp;" is not equal to Clients current On ART F07-03 age  "&amp;J241&amp;" "&amp;K242&amp;"",""),IF(L252&lt;&gt;L265,""&amp;CHAR(10)&amp;"  * Current on ART by month of dispense F07-16 for age "&amp;L241&amp;" "&amp;L242&amp;" is not equal to Clients current On ART F07-03 age  "&amp;L241&amp;" "&amp;L242&amp;"",""),IF(M252&lt;&gt;M265,""&amp;CHAR(10)&amp;"  * Current on ART by month of dispense F07-16 for age "&amp;L241&amp;" "&amp;M242&amp;" is not equal to Clients current On ART F07-03 age  "&amp;L241&amp;" "&amp;M242&amp;"",""),IF(N252&lt;&gt;N265,""&amp;CHAR(10)&amp;"  * Current on ART by month of dispense F07-16 for age "&amp;N241&amp;" "&amp;N242&amp;" is not equal to Clients current On ART F07-03 age  "&amp;N241&amp;" "&amp;N242&amp;"",""),IF(O252&lt;&gt;O265,""&amp;CHAR(10)&amp;"  * Current on ART by month of dispense F07-16 for age "&amp;N241&amp;" "&amp;O242&amp;" is not equal to Clients current On ART F07-03 age  "&amp;N241&amp;" "&amp;O242&amp;"",""),IF(P252&lt;&gt;P265,""&amp;CHAR(10)&amp;"  * Current on ART by month of dispense F07-16 for age "&amp;P241&amp;" "&amp;P242&amp;" is not equal to Clients current On ART F07-03 age  "&amp;P241&amp;" "&amp;P242&amp;"",""),IF(Q252&lt;&gt;Q265,""&amp;CHAR(10)&amp;"  * Current on ART by month of dispense F07-16 for age "&amp;P241&amp;" "&amp;Q242&amp;" is not equal to Clients current On ART F07-03 age  "&amp;P241&amp;" "&amp;Q242&amp;"",""),IF(R252&lt;&gt;R265,""&amp;CHAR(10)&amp;"  * Current on ART by month of dispense F07-16 for age "&amp;R241&amp;" "&amp;R242&amp;" is not equal to Clients current On ART F07-03 age  "&amp;R241&amp;" "&amp;R242&amp;"",""),IF(S252&lt;&gt;S265,""&amp;CHAR(10)&amp;"  * Current on ART by month of dispense F07-16 for age "&amp;R241&amp;" "&amp;S242&amp;" is not equal to Clients current On ART F07-03 age  "&amp;R241&amp;" "&amp;S242&amp;"",""),IF(T252&lt;&gt;T265,""&amp;CHAR(10)&amp;"  * Current on ART by month of dispense F07-16 for age "&amp;T241&amp;" "&amp;T242&amp;" is not equal to Clients current On ART F07-03 age  "&amp;T241&amp;" "&amp;T242&amp;"",""),IF(U252&lt;&gt;U265,""&amp;CHAR(10)&amp;"  * Current on ART by month of dispense F07-16 for age "&amp;T241&amp;" "&amp;U242&amp;" is not equal to Clients current On ART F07-03 age  "&amp;T241&amp;" "&amp;U242&amp;"",""),IF(V252&lt;&gt;V265,""&amp;CHAR(10)&amp;"  * Current on ART by month of dispense F07-16 for age "&amp;V241&amp;" "&amp;V242&amp;" is not equal to Clients current On ART F07-03 age  "&amp;V241&amp;" "&amp;V242&amp;"",""),IF(W252&lt;&gt;W265,""&amp;CHAR(10)&amp;"  * Current on ART by month of dispense F07-16 for age "&amp;V241&amp;" "&amp;W242&amp;" is not equal to Clients current On ART F07-03 age  "&amp;V241&amp;" "&amp;W242&amp;"",""),IF(X252&lt;&gt;X265,""&amp;CHAR(10)&amp;"  * Current on ART by month of dispense F07-16 for age "&amp;X241&amp;" "&amp;X242&amp;" is not equal to Clients current On ART F07-03 age  "&amp;X241&amp;" "&amp;X242&amp;"",""),IF(Y252&lt;&gt;Y265,""&amp;CHAR(10)&amp;"  * Current on ART by month of dispense F07-16 for age "&amp;X241&amp;" "&amp;Y242&amp;" is not equal to Clients current On ART F07-03 age  "&amp;X241&amp;" "&amp;Y242&amp;"",""),IF(Z252&lt;&gt;Z265,""&amp;CHAR(10)&amp;"  * Current on ART by month of dispense F07-16 for age "&amp;Z241&amp;" "&amp;Z242&amp;" is not equal to Clients current On ART F07-03 age  "&amp;Z241&amp;" "&amp;Z242&amp;"",""),IF(AA252&lt;&gt;AA265,""&amp;CHAR(10)&amp;"  * Current on ART by month of dispense F07-16 for age "&amp;Z241&amp;" "&amp;AA242&amp;" is not equal to Clients current On ART F07-03 age  "&amp;Z241&amp;" "&amp;AA242&amp;"",""))</f>
        <v/>
      </c>
      <c r="AD252" s="618"/>
      <c r="AE252" s="83"/>
      <c r="AF252" s="621"/>
      <c r="AG252" s="439">
        <v>251</v>
      </c>
    </row>
    <row r="253" spans="1:34" x14ac:dyDescent="0.85">
      <c r="A253" s="570" t="s">
        <v>441</v>
      </c>
      <c r="B253" s="311" t="s">
        <v>396</v>
      </c>
      <c r="C253" s="134" t="s">
        <v>410</v>
      </c>
      <c r="D253" s="171"/>
      <c r="E253" s="35"/>
      <c r="F253" s="35"/>
      <c r="G253" s="35"/>
      <c r="H253" s="35"/>
      <c r="I253" s="35"/>
      <c r="J253" s="35"/>
      <c r="K253" s="35"/>
      <c r="L253" s="35"/>
      <c r="M253" s="35"/>
      <c r="N253" s="35"/>
      <c r="O253" s="35"/>
      <c r="P253" s="35"/>
      <c r="Q253" s="35"/>
      <c r="R253" s="35"/>
      <c r="S253" s="35"/>
      <c r="T253" s="35"/>
      <c r="U253" s="35"/>
      <c r="V253" s="35"/>
      <c r="W253" s="35"/>
      <c r="X253" s="35"/>
      <c r="Y253" s="35"/>
      <c r="Z253" s="35"/>
      <c r="AA253" s="35"/>
      <c r="AB253" s="36">
        <f t="shared" si="101"/>
        <v>0</v>
      </c>
      <c r="AC253" s="85"/>
      <c r="AD253" s="618"/>
      <c r="AE253" s="83"/>
      <c r="AF253" s="621"/>
      <c r="AG253" s="439">
        <v>252</v>
      </c>
    </row>
    <row r="254" spans="1:34" x14ac:dyDescent="0.85">
      <c r="A254" s="571"/>
      <c r="B254" s="312" t="s">
        <v>391</v>
      </c>
      <c r="C254" s="136" t="s">
        <v>411</v>
      </c>
      <c r="D254" s="172"/>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37">
        <f t="shared" si="101"/>
        <v>0</v>
      </c>
      <c r="AC254" s="85"/>
      <c r="AD254" s="618"/>
      <c r="AE254" s="83"/>
      <c r="AF254" s="621"/>
      <c r="AG254" s="439">
        <v>253</v>
      </c>
    </row>
    <row r="255" spans="1:34" x14ac:dyDescent="0.85">
      <c r="A255" s="571"/>
      <c r="B255" s="312" t="s">
        <v>392</v>
      </c>
      <c r="C255" s="136" t="s">
        <v>412</v>
      </c>
      <c r="D255" s="172"/>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37">
        <f t="shared" si="101"/>
        <v>0</v>
      </c>
      <c r="AC255" s="85"/>
      <c r="AD255" s="618"/>
      <c r="AE255" s="83"/>
      <c r="AF255" s="621"/>
      <c r="AG255" s="439">
        <v>254</v>
      </c>
    </row>
    <row r="256" spans="1:34" x14ac:dyDescent="0.85">
      <c r="A256" s="571"/>
      <c r="B256" s="312" t="s">
        <v>393</v>
      </c>
      <c r="C256" s="136" t="s">
        <v>413</v>
      </c>
      <c r="D256" s="172"/>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37">
        <f t="shared" si="101"/>
        <v>0</v>
      </c>
      <c r="AC256" s="85"/>
      <c r="AD256" s="618"/>
      <c r="AE256" s="83"/>
      <c r="AF256" s="621"/>
      <c r="AG256" s="439">
        <v>255</v>
      </c>
    </row>
    <row r="257" spans="1:33" x14ac:dyDescent="0.85">
      <c r="A257" s="571"/>
      <c r="B257" s="312" t="s">
        <v>394</v>
      </c>
      <c r="C257" s="136" t="s">
        <v>414</v>
      </c>
      <c r="D257" s="172"/>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37">
        <f t="shared" si="101"/>
        <v>0</v>
      </c>
      <c r="AC257" s="85"/>
      <c r="AD257" s="618"/>
      <c r="AE257" s="83"/>
      <c r="AF257" s="621"/>
      <c r="AG257" s="439">
        <v>256</v>
      </c>
    </row>
    <row r="258" spans="1:33" ht="31.3" thickBot="1" x14ac:dyDescent="0.9">
      <c r="A258" s="572"/>
      <c r="B258" s="313" t="s">
        <v>395</v>
      </c>
      <c r="C258" s="138" t="s">
        <v>415</v>
      </c>
      <c r="D258" s="151"/>
      <c r="E258" s="39"/>
      <c r="F258" s="39"/>
      <c r="G258" s="39"/>
      <c r="H258" s="39"/>
      <c r="I258" s="39"/>
      <c r="J258" s="39"/>
      <c r="K258" s="39"/>
      <c r="L258" s="39"/>
      <c r="M258" s="39"/>
      <c r="N258" s="39"/>
      <c r="O258" s="39"/>
      <c r="P258" s="39"/>
      <c r="Q258" s="39"/>
      <c r="R258" s="39"/>
      <c r="S258" s="39"/>
      <c r="T258" s="39"/>
      <c r="U258" s="39"/>
      <c r="V258" s="39"/>
      <c r="W258" s="39"/>
      <c r="X258" s="39"/>
      <c r="Y258" s="39"/>
      <c r="Z258" s="39"/>
      <c r="AA258" s="39"/>
      <c r="AB258" s="40">
        <f t="shared" si="101"/>
        <v>0</v>
      </c>
      <c r="AC258" s="85"/>
      <c r="AD258" s="618"/>
      <c r="AE258" s="83"/>
      <c r="AF258" s="621"/>
      <c r="AG258" s="439">
        <v>257</v>
      </c>
    </row>
    <row r="259" spans="1:33" ht="30.75" customHeight="1" x14ac:dyDescent="0.85">
      <c r="A259" s="570" t="s">
        <v>442</v>
      </c>
      <c r="B259" s="311" t="s">
        <v>445</v>
      </c>
      <c r="C259" s="134" t="s">
        <v>421</v>
      </c>
      <c r="D259" s="171"/>
      <c r="E259" s="35"/>
      <c r="F259" s="35"/>
      <c r="G259" s="35"/>
      <c r="H259" s="35"/>
      <c r="I259" s="35"/>
      <c r="J259" s="35"/>
      <c r="K259" s="35"/>
      <c r="L259" s="35"/>
      <c r="M259" s="35"/>
      <c r="N259" s="35"/>
      <c r="O259" s="35"/>
      <c r="P259" s="35"/>
      <c r="Q259" s="35"/>
      <c r="R259" s="35"/>
      <c r="S259" s="35"/>
      <c r="T259" s="35"/>
      <c r="U259" s="35"/>
      <c r="V259" s="35"/>
      <c r="W259" s="35"/>
      <c r="X259" s="35"/>
      <c r="Y259" s="35"/>
      <c r="Z259" s="35"/>
      <c r="AA259" s="35"/>
      <c r="AB259" s="36">
        <f t="shared" si="101"/>
        <v>0</v>
      </c>
      <c r="AC259" s="85"/>
      <c r="AD259" s="618"/>
      <c r="AE259" s="83"/>
      <c r="AF259" s="621"/>
      <c r="AG259" s="439">
        <v>258</v>
      </c>
    </row>
    <row r="260" spans="1:33" x14ac:dyDescent="0.85">
      <c r="A260" s="571"/>
      <c r="B260" s="312" t="s">
        <v>416</v>
      </c>
      <c r="C260" s="136" t="s">
        <v>422</v>
      </c>
      <c r="D260" s="172"/>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37">
        <f t="shared" si="101"/>
        <v>0</v>
      </c>
      <c r="AC260" s="85"/>
      <c r="AD260" s="618"/>
      <c r="AE260" s="83"/>
      <c r="AF260" s="621"/>
      <c r="AG260" s="439">
        <v>259</v>
      </c>
    </row>
    <row r="261" spans="1:33" x14ac:dyDescent="0.85">
      <c r="A261" s="571"/>
      <c r="B261" s="312" t="s">
        <v>417</v>
      </c>
      <c r="C261" s="136" t="s">
        <v>423</v>
      </c>
      <c r="D261" s="172"/>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37">
        <f t="shared" si="101"/>
        <v>0</v>
      </c>
      <c r="AC261" s="85"/>
      <c r="AD261" s="618"/>
      <c r="AE261" s="83"/>
      <c r="AF261" s="621"/>
      <c r="AG261" s="439">
        <v>260</v>
      </c>
    </row>
    <row r="262" spans="1:33" x14ac:dyDescent="0.85">
      <c r="A262" s="571"/>
      <c r="B262" s="312" t="s">
        <v>418</v>
      </c>
      <c r="C262" s="136" t="s">
        <v>424</v>
      </c>
      <c r="D262" s="172"/>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37">
        <f t="shared" si="101"/>
        <v>0</v>
      </c>
      <c r="AC262" s="85"/>
      <c r="AD262" s="618"/>
      <c r="AE262" s="83"/>
      <c r="AF262" s="621"/>
      <c r="AG262" s="439">
        <v>261</v>
      </c>
    </row>
    <row r="263" spans="1:33" x14ac:dyDescent="0.85">
      <c r="A263" s="571"/>
      <c r="B263" s="317" t="s">
        <v>419</v>
      </c>
      <c r="C263" s="136" t="s">
        <v>425</v>
      </c>
      <c r="D263" s="172"/>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37">
        <f t="shared" si="101"/>
        <v>0</v>
      </c>
      <c r="AC263" s="85"/>
      <c r="AD263" s="618"/>
      <c r="AE263" s="83"/>
      <c r="AF263" s="621"/>
      <c r="AG263" s="439">
        <v>262</v>
      </c>
    </row>
    <row r="264" spans="1:33" x14ac:dyDescent="0.85">
      <c r="A264" s="571"/>
      <c r="B264" s="317" t="s">
        <v>420</v>
      </c>
      <c r="C264" s="136" t="s">
        <v>426</v>
      </c>
      <c r="D264" s="172"/>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37">
        <f t="shared" si="101"/>
        <v>0</v>
      </c>
      <c r="AC264" s="85"/>
      <c r="AD264" s="618"/>
      <c r="AE264" s="83"/>
      <c r="AF264" s="621"/>
      <c r="AG264" s="439">
        <v>263</v>
      </c>
    </row>
    <row r="265" spans="1:33" ht="32.15" thickBot="1" x14ac:dyDescent="0.9">
      <c r="A265" s="571"/>
      <c r="B265" s="318" t="s">
        <v>440</v>
      </c>
      <c r="C265" s="138" t="s">
        <v>444</v>
      </c>
      <c r="D265" s="174">
        <f>SUM(D259:D264)</f>
        <v>0</v>
      </c>
      <c r="E265" s="73">
        <f t="shared" ref="E265:AA265" si="104">SUM(E259:E264)</f>
        <v>0</v>
      </c>
      <c r="F265" s="73">
        <f t="shared" si="104"/>
        <v>0</v>
      </c>
      <c r="G265" s="73">
        <f t="shared" si="104"/>
        <v>0</v>
      </c>
      <c r="H265" s="73">
        <f t="shared" si="104"/>
        <v>0</v>
      </c>
      <c r="I265" s="73">
        <f t="shared" si="104"/>
        <v>0</v>
      </c>
      <c r="J265" s="73">
        <f t="shared" si="104"/>
        <v>0</v>
      </c>
      <c r="K265" s="73">
        <f t="shared" si="104"/>
        <v>0</v>
      </c>
      <c r="L265" s="73">
        <f t="shared" si="104"/>
        <v>0</v>
      </c>
      <c r="M265" s="73">
        <f t="shared" si="104"/>
        <v>0</v>
      </c>
      <c r="N265" s="73">
        <f t="shared" si="104"/>
        <v>0</v>
      </c>
      <c r="O265" s="73">
        <f t="shared" si="104"/>
        <v>0</v>
      </c>
      <c r="P265" s="73">
        <f t="shared" si="104"/>
        <v>0</v>
      </c>
      <c r="Q265" s="73">
        <f t="shared" si="104"/>
        <v>0</v>
      </c>
      <c r="R265" s="73">
        <f t="shared" si="104"/>
        <v>0</v>
      </c>
      <c r="S265" s="73">
        <f t="shared" si="104"/>
        <v>0</v>
      </c>
      <c r="T265" s="73">
        <f t="shared" si="104"/>
        <v>0</v>
      </c>
      <c r="U265" s="73">
        <f t="shared" si="104"/>
        <v>0</v>
      </c>
      <c r="V265" s="73">
        <f t="shared" si="104"/>
        <v>0</v>
      </c>
      <c r="W265" s="73">
        <f t="shared" si="104"/>
        <v>0</v>
      </c>
      <c r="X265" s="73">
        <f t="shared" si="104"/>
        <v>0</v>
      </c>
      <c r="Y265" s="73">
        <f t="shared" si="104"/>
        <v>0</v>
      </c>
      <c r="Z265" s="73">
        <f t="shared" si="104"/>
        <v>0</v>
      </c>
      <c r="AA265" s="73">
        <f t="shared" si="104"/>
        <v>0</v>
      </c>
      <c r="AB265" s="40">
        <f t="shared" si="101"/>
        <v>0</v>
      </c>
      <c r="AC265" s="85"/>
      <c r="AD265" s="618"/>
      <c r="AE265" s="83"/>
      <c r="AF265" s="621"/>
      <c r="AG265" s="439">
        <v>264</v>
      </c>
    </row>
    <row r="266" spans="1:33" ht="31.3" thickBot="1" x14ac:dyDescent="0.9">
      <c r="A266" s="572"/>
      <c r="B266" s="309" t="s">
        <v>462</v>
      </c>
      <c r="C266" s="170" t="s">
        <v>446</v>
      </c>
      <c r="D266" s="176"/>
      <c r="E266" s="65"/>
      <c r="F266" s="65"/>
      <c r="G266" s="65"/>
      <c r="H266" s="65"/>
      <c r="I266" s="65"/>
      <c r="J266" s="65"/>
      <c r="K266" s="65"/>
      <c r="L266" s="65"/>
      <c r="M266" s="65"/>
      <c r="N266" s="65"/>
      <c r="O266" s="65"/>
      <c r="P266" s="65"/>
      <c r="Q266" s="65"/>
      <c r="R266" s="65"/>
      <c r="S266" s="65"/>
      <c r="T266" s="65"/>
      <c r="U266" s="65"/>
      <c r="V266" s="65"/>
      <c r="W266" s="65"/>
      <c r="X266" s="65"/>
      <c r="Y266" s="65"/>
      <c r="Z266" s="65"/>
      <c r="AA266" s="65"/>
      <c r="AB266" s="66">
        <f t="shared" si="101"/>
        <v>0</v>
      </c>
      <c r="AC266" s="85"/>
      <c r="AD266" s="768"/>
      <c r="AE266" s="83"/>
      <c r="AF266" s="770"/>
      <c r="AG266" s="439">
        <v>265</v>
      </c>
    </row>
    <row r="267" spans="1:33" x14ac:dyDescent="0.85">
      <c r="A267" s="689" t="s">
        <v>614</v>
      </c>
      <c r="B267" s="319" t="s">
        <v>606</v>
      </c>
      <c r="C267" s="129" t="s">
        <v>558</v>
      </c>
      <c r="D267" s="171"/>
      <c r="E267" s="35"/>
      <c r="F267" s="35"/>
      <c r="G267" s="35"/>
      <c r="H267" s="35"/>
      <c r="I267" s="35"/>
      <c r="J267" s="35"/>
      <c r="K267" s="35"/>
      <c r="L267" s="35"/>
      <c r="M267" s="35"/>
      <c r="N267" s="35"/>
      <c r="O267" s="35"/>
      <c r="P267" s="35"/>
      <c r="Q267" s="35"/>
      <c r="R267" s="35"/>
      <c r="S267" s="35"/>
      <c r="T267" s="35"/>
      <c r="U267" s="35"/>
      <c r="V267" s="35"/>
      <c r="W267" s="35"/>
      <c r="X267" s="35"/>
      <c r="Y267" s="35"/>
      <c r="Z267" s="35"/>
      <c r="AA267" s="35"/>
      <c r="AB267" s="36">
        <f t="shared" si="101"/>
        <v>0</v>
      </c>
      <c r="AC267" s="82" t="str">
        <f>CONCATENATE(IF(D278&gt;D267," *  confirmed TB positive newly started on TB treatment "&amp;$D$20&amp;" "&amp;$D$21&amp;" is more than Screening positive for TB Newly enrolled on ART"&amp;CHAR(10),""),IF(E278&gt;E267," *  confirmed TB positive newly started on TB treatment "&amp;$D$20&amp;" "&amp;$E$21&amp;" is more than Screening positive for TB Newly enrolled on ART"&amp;CHAR(10),""),IF(F278&gt;F267," *  confirmed TB positive newly started on TB treatment "&amp;$F$20&amp;" "&amp;$F$21&amp;" is more than Screening positive for TB Newly enrolled on ART"&amp;CHAR(10),""),IF(G278&gt;G267," *  confirmed TB positive newly started on TB treatment "&amp;$F$20&amp;" "&amp;$G$21&amp;" is more than Screening positive for TB Newly enrolled on ART"&amp;CHAR(10),""),IF(H278&gt;H267," *  confirmed TB positive newly started on TB treatment "&amp;$H$20&amp;" "&amp;$H$21&amp;" is more than Screening positive for TB Newly enrolled on ART"&amp;CHAR(10),""),IF(I278&gt;I267," *  confirmed TB positive newly started on TB treatment "&amp;$H$20&amp;" "&amp;$I$21&amp;" is more than Screening positive for TB Newly enrolled on ART"&amp;CHAR(10),""),IF(J278&gt;J267," *  confirmed TB positive newly started on TB treatment "&amp;$J$20&amp;" "&amp;$J$21&amp;" is more than Screening positive for TB Newly enrolled on ART"&amp;CHAR(10),""),IF(K278&gt;K267," *  confirmed TB positive newly started on TB treatment "&amp;$J$20&amp;" "&amp;$K$21&amp;" is more than Screening positive for TB Newly enrolled on ART"&amp;CHAR(10),""),IF(L278&gt;L267," *  confirmed TB positive newly started on TB treatment "&amp;$L$20&amp;" "&amp;$L$21&amp;" is more than Screening positive for TB Newly enrolled on ART"&amp;CHAR(10),""),IF(M278&gt;M267," *  confirmed TB positive newly started on TB treatment "&amp;$L$20&amp;" "&amp;$M$21&amp;" is more than Screening positive for TB Newly enrolled on ART"&amp;CHAR(10),""),IF(N278&gt;N267," *  confirmed TB positive newly started on TB treatment "&amp;$N$20&amp;" "&amp;$N$21&amp;" is more than Screening positive for TB Newly enrolled on ART"&amp;CHAR(10),""),IF(O278&gt;O267," *  confirmed TB positive newly started on TB treatment "&amp;$N$20&amp;" "&amp;$O$21&amp;" is more than Screening positive for TB Newly enrolled on ART"&amp;CHAR(10),""),IF(P278&gt;P267," *  confirmed TB positive newly started on TB treatment "&amp;$P$20&amp;" "&amp;$P$21&amp;" is more than Screening positive for TB Newly enrolled on ART"&amp;CHAR(10),""),IF(Q278&gt;Q267," *  confirmed TB positive newly started on TB treatment "&amp;$P$20&amp;" "&amp;$Q$21&amp;" is more than Screening positive for TB Newly enrolled on ART"&amp;CHAR(10),""),IF(R278&gt;R267," *  confirmed TB positive newly started on TB treatment "&amp;$R$20&amp;" "&amp;$R$21&amp;" is more than Screening positive for TB Newly enrolled on ART"&amp;CHAR(10),""),IF(S278&gt;S267," *  confirmed TB positive newly started on TB treatment "&amp;$R$20&amp;" "&amp;$S$21&amp;" is more than Screening positive for TB Newly enrolled on ART"&amp;CHAR(10),""),IF(T278&gt;T267," *  confirmed TB positive newly started on TB treatment "&amp;$T$20&amp;" "&amp;$T$21&amp;" is more than Screening positive for TB Newly enrolled on ART"&amp;CHAR(10),""),IF(U278&gt;U267," *  confirmed TB positive newly started on TB treatment "&amp;$T$20&amp;" "&amp;$U$21&amp;" is more than Screening positive for TB Newly enrolled on ART"&amp;CHAR(10),""),IF(V278&gt;V267," *  confirmed TB positive newly started on TB treatment "&amp;$V$20&amp;" "&amp;$V$21&amp;" is more than Screening positive for TB Newly enrolled on ART"&amp;CHAR(10),""),IF(W278&gt;W267," *  confirmed TB positive newly started on TB treatment "&amp;$V$20&amp;" "&amp;$W$21&amp;" is more than Screening positive for TB Newly enrolled on ART"&amp;CHAR(10),""),IF(X278&gt;X267," *  confirmed TB positive newly started on TB treatment "&amp;$X$20&amp;" "&amp;$X$21&amp;" is more than Screening positive for TB Newly enrolled on ART"&amp;CHAR(10),""),IF(Y278&gt;Y267," *  confirmed TB positive newly started on TB treatment "&amp;$X$20&amp;" "&amp;$Y$21&amp;" is more than Screening positive for TB Newly enrolled on ART"&amp;CHAR(10),""),IF(Z278&gt;Z267," *  confirmed TB positive newly started on TB treatment "&amp;$Z$20&amp;" "&amp;$Z$21&amp;" is more than Screening positive for TB Newly enrolled on ART"&amp;CHAR(10),""),IF(AA278&gt;AA267," *  confirmed TB positive newly started on TB treatment "&amp;$Z$20&amp;" "&amp;$AA$21&amp;" is more than Screening positive for TB Newly enrolled on ART"&amp;CHAR(10),""))</f>
        <v/>
      </c>
      <c r="AD267" s="617" t="str">
        <f>CONCATENATE(AC267,AC268,AC269,AC270,AC271,AC272,AC273,AC274,AC275,AC276,AC277,AC278,AC279,AC280)</f>
        <v/>
      </c>
      <c r="AE267" s="83"/>
      <c r="AF267" s="620" t="str">
        <f>CONCATENATE(AE267,AE268,AE269,AE270,AE271,AE272,AE273,AE274,AE275,AE276,AE277,AE278,AE279,AE280)</f>
        <v/>
      </c>
      <c r="AG267" s="439">
        <v>266</v>
      </c>
    </row>
    <row r="268" spans="1:33" x14ac:dyDescent="0.85">
      <c r="A268" s="690"/>
      <c r="B268" s="317" t="s">
        <v>607</v>
      </c>
      <c r="C268" s="146" t="s">
        <v>559</v>
      </c>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37">
        <f t="shared" si="101"/>
        <v>0</v>
      </c>
      <c r="AC268" s="85" t="str">
        <f>CONCATENATE(IF(D279&gt;D268," *  Confirmed TB positive already on ART and on TB treatment "&amp;$D$20&amp;" "&amp;$D$21&amp;" is more than Screening positive for TB Previously enrolled on ART"&amp;CHAR(10),""),IF(E279&gt;E268," *  Confirmed TB positive already on ART and on TB treatment "&amp;$D$20&amp;" "&amp;$E$21&amp;" is more than Screening positive for TB Previously enrolled on ART"&amp;CHAR(10),""),IF(F279&gt;F268," *  Confirmed TB positive already on ART and on TB treatment "&amp;$F$20&amp;" "&amp;$F$21&amp;" is more than Screening positive for TB Previously enrolled on ART"&amp;CHAR(10),""),IF(G279&gt;G268," *  Confirmed TB positive already on ART and on TB treatment "&amp;$F$20&amp;" "&amp;$G$21&amp;" is more than Screening positive for TB Previously enrolled on ART"&amp;CHAR(10),""),IF(H279&gt;H268," *  Confirmed TB positive already on ART and on TB treatment "&amp;$H$20&amp;" "&amp;$H$21&amp;" is more than Screening positive for TB Previously enrolled on ART"&amp;CHAR(10),""),IF(I279&gt;I268," *  Confirmed TB positive already on ART and on TB treatment "&amp;$H$20&amp;" "&amp;$I$21&amp;" is more than Screening positive for TB Previously enrolled on ART"&amp;CHAR(10),""),IF(J279&gt;J268," *  Confirmed TB positive already on ART and on TB treatment "&amp;$J$20&amp;" "&amp;$J$21&amp;" is more than Screening positive for TB Previously enrolled on ART"&amp;CHAR(10),""),IF(K279&gt;K268," *  Confirmed TB positive already on ART and on TB treatment "&amp;$J$20&amp;" "&amp;$K$21&amp;" is more than Screening positive for TB Previously enrolled on ART"&amp;CHAR(10),""),IF(L279&gt;L268," *  Confirmed TB positive already on ART and on TB treatment "&amp;$L$20&amp;" "&amp;$L$21&amp;" is more than Screening positive for TB Previously enrolled on ART"&amp;CHAR(10),""),IF(M279&gt;M268," *  Confirmed TB positive already on ART and on TB treatment "&amp;$L$20&amp;" "&amp;$M$21&amp;" is more than Screening positive for TB Previously enrolled on ART"&amp;CHAR(10),""),IF(N279&gt;N268," *  Confirmed TB positive already on ART and on TB treatment "&amp;$N$20&amp;" "&amp;$N$21&amp;" is more than Screening positive for TB Previously enrolled on ART"&amp;CHAR(10),""),IF(O279&gt;O268," *  Confirmed TB positive already on ART and on TB treatment "&amp;$N$20&amp;" "&amp;$O$21&amp;" is more than Screening positive for TB Previously enrolled on ART"&amp;CHAR(10),""),IF(P279&gt;P268," *  Confirmed TB positive already on ART and on TB treatment "&amp;$P$20&amp;" "&amp;$P$21&amp;" is more than Screening positive for TB Previously enrolled on ART"&amp;CHAR(10),""),IF(Q279&gt;Q268," *  Confirmed TB positive already on ART and on TB treatment "&amp;$P$20&amp;" "&amp;$Q$21&amp;" is more than Screening positive for TB Previously enrolled on ART"&amp;CHAR(10),""),IF(R279&gt;R268," *  Confirmed TB positive already on ART and on TB treatment "&amp;$R$20&amp;" "&amp;$R$21&amp;" is more than Screening positive for TB Previously enrolled on ART"&amp;CHAR(10),""),IF(S279&gt;S268," *  Confirmed TB positive already on ART and on TB treatment "&amp;$R$20&amp;" "&amp;$S$21&amp;" is more than Screening positive for TB Previously enrolled on ART"&amp;CHAR(10),""),IF(T279&gt;T268," *  Confirmed TB positive already on ART and on TB treatment "&amp;$T$20&amp;" "&amp;$T$21&amp;" is more than Screening positive for TB Previously enrolled on ART"&amp;CHAR(10),""),IF(U279&gt;U268," *  Confirmed TB positive already on ART and on TB treatment "&amp;$T$20&amp;" "&amp;$U$21&amp;" is more than Screening positive for TB Previously enrolled on ART"&amp;CHAR(10),""),IF(V279&gt;V268," *  Confirmed TB positive already on ART and on TB treatment "&amp;$V$20&amp;" "&amp;$V$21&amp;" is more than Screening positive for TB Previously enrolled on ART"&amp;CHAR(10),""),IF(W279&gt;W268," *  Confirmed TB positive already on ART and on TB treatment "&amp;$V$20&amp;" "&amp;$W$21&amp;" is more than Screening positive for TB Previously enrolled on ART"&amp;CHAR(10),""),IF(X279&gt;X268," *  Confirmed TB positive already on ART and on TB treatment "&amp;$X$20&amp;" "&amp;$X$21&amp;" is more than Screening positive for TB Previously enrolled on ART"&amp;CHAR(10),""),IF(Y279&gt;Y268," *  Confirmed TB positive already on ART and on TB treatment "&amp;$X$20&amp;" "&amp;$Y$21&amp;" is more than Screening positive for TB Previously enrolled on ART"&amp;CHAR(10),""),IF(Z279&gt;Z268," *  Confirmed TB positive already on ART and on TB treatment "&amp;$Z$20&amp;" "&amp;$Z$21&amp;" is more than Screening positive for TB Previously enrolled on ART"&amp;CHAR(10),""),IF(AA279&gt;AA268," *  Confirmed TB positive already on ART and on TB treatment "&amp;$Z$20&amp;" "&amp;$AA$21&amp;" is more than Screening positive for TB Previously enrolled on ART"&amp;CHAR(10),""))</f>
        <v/>
      </c>
      <c r="AD268" s="618"/>
      <c r="AE268" s="83"/>
      <c r="AF268" s="621"/>
      <c r="AG268" s="439">
        <v>267</v>
      </c>
    </row>
    <row r="269" spans="1:33" ht="32.15" thickBot="1" x14ac:dyDescent="0.9">
      <c r="A269" s="690"/>
      <c r="B269" s="318" t="s">
        <v>855</v>
      </c>
      <c r="C269" s="147" t="s">
        <v>557</v>
      </c>
      <c r="D269" s="174">
        <f t="shared" ref="D269:AA269" si="105">D267+D268</f>
        <v>0</v>
      </c>
      <c r="E269" s="73">
        <f t="shared" si="105"/>
        <v>0</v>
      </c>
      <c r="F269" s="73">
        <f t="shared" si="105"/>
        <v>0</v>
      </c>
      <c r="G269" s="73">
        <f t="shared" si="105"/>
        <v>0</v>
      </c>
      <c r="H269" s="73">
        <f t="shared" si="105"/>
        <v>0</v>
      </c>
      <c r="I269" s="73">
        <f t="shared" si="105"/>
        <v>0</v>
      </c>
      <c r="J269" s="73">
        <f t="shared" si="105"/>
        <v>0</v>
      </c>
      <c r="K269" s="73">
        <f t="shared" si="105"/>
        <v>0</v>
      </c>
      <c r="L269" s="73">
        <f t="shared" si="105"/>
        <v>0</v>
      </c>
      <c r="M269" s="73">
        <f t="shared" si="105"/>
        <v>0</v>
      </c>
      <c r="N269" s="73">
        <f t="shared" si="105"/>
        <v>0</v>
      </c>
      <c r="O269" s="73">
        <f t="shared" si="105"/>
        <v>0</v>
      </c>
      <c r="P269" s="73">
        <f t="shared" si="105"/>
        <v>0</v>
      </c>
      <c r="Q269" s="73">
        <f t="shared" si="105"/>
        <v>0</v>
      </c>
      <c r="R269" s="73">
        <f t="shared" si="105"/>
        <v>0</v>
      </c>
      <c r="S269" s="73">
        <f t="shared" si="105"/>
        <v>0</v>
      </c>
      <c r="T269" s="73">
        <f t="shared" si="105"/>
        <v>0</v>
      </c>
      <c r="U269" s="73">
        <f t="shared" si="105"/>
        <v>0</v>
      </c>
      <c r="V269" s="73">
        <f t="shared" si="105"/>
        <v>0</v>
      </c>
      <c r="W269" s="73">
        <f t="shared" si="105"/>
        <v>0</v>
      </c>
      <c r="X269" s="73">
        <f t="shared" si="105"/>
        <v>0</v>
      </c>
      <c r="Y269" s="73">
        <f t="shared" si="105"/>
        <v>0</v>
      </c>
      <c r="Z269" s="73">
        <f t="shared" si="105"/>
        <v>0</v>
      </c>
      <c r="AA269" s="73">
        <f t="shared" si="105"/>
        <v>0</v>
      </c>
      <c r="AB269" s="40">
        <f t="shared" si="101"/>
        <v>0</v>
      </c>
      <c r="AC269" s="85"/>
      <c r="AD269" s="618"/>
      <c r="AE269" s="83"/>
      <c r="AF269" s="621"/>
      <c r="AG269" s="439">
        <v>268</v>
      </c>
    </row>
    <row r="270" spans="1:33" x14ac:dyDescent="0.85">
      <c r="A270" s="690"/>
      <c r="B270" s="320" t="s">
        <v>608</v>
      </c>
      <c r="C270" s="180" t="s">
        <v>560</v>
      </c>
      <c r="D270" s="150"/>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89">
        <f t="shared" si="101"/>
        <v>0</v>
      </c>
      <c r="AC270" s="85"/>
      <c r="AD270" s="618"/>
      <c r="AE270" s="83"/>
      <c r="AF270" s="621"/>
      <c r="AG270" s="439">
        <v>269</v>
      </c>
    </row>
    <row r="271" spans="1:33" x14ac:dyDescent="0.85">
      <c r="A271" s="690"/>
      <c r="B271" s="317" t="s">
        <v>609</v>
      </c>
      <c r="C271" s="146" t="s">
        <v>602</v>
      </c>
      <c r="D271" s="172"/>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37">
        <f t="shared" si="101"/>
        <v>0</v>
      </c>
      <c r="AC271" s="85"/>
      <c r="AD271" s="618"/>
      <c r="AE271" s="83"/>
      <c r="AF271" s="621"/>
      <c r="AG271" s="439">
        <v>270</v>
      </c>
    </row>
    <row r="272" spans="1:33" ht="32.15" thickBot="1" x14ac:dyDescent="0.9">
      <c r="A272" s="690"/>
      <c r="B272" s="318" t="s">
        <v>856</v>
      </c>
      <c r="C272" s="181" t="s">
        <v>304</v>
      </c>
      <c r="D272" s="177">
        <f>SUM(D271,D270,D269)</f>
        <v>0</v>
      </c>
      <c r="E272" s="75">
        <f t="shared" ref="E272:AA272" si="106">SUM(E271,E270,E269)</f>
        <v>0</v>
      </c>
      <c r="F272" s="75">
        <f t="shared" si="106"/>
        <v>0</v>
      </c>
      <c r="G272" s="75">
        <f t="shared" si="106"/>
        <v>0</v>
      </c>
      <c r="H272" s="75">
        <f t="shared" si="106"/>
        <v>0</v>
      </c>
      <c r="I272" s="75">
        <f t="shared" si="106"/>
        <v>0</v>
      </c>
      <c r="J272" s="75">
        <f t="shared" si="106"/>
        <v>0</v>
      </c>
      <c r="K272" s="75">
        <f t="shared" si="106"/>
        <v>0</v>
      </c>
      <c r="L272" s="75">
        <f t="shared" si="106"/>
        <v>0</v>
      </c>
      <c r="M272" s="75">
        <f t="shared" si="106"/>
        <v>0</v>
      </c>
      <c r="N272" s="75">
        <f t="shared" si="106"/>
        <v>0</v>
      </c>
      <c r="O272" s="75">
        <f t="shared" si="106"/>
        <v>0</v>
      </c>
      <c r="P272" s="75">
        <f t="shared" si="106"/>
        <v>0</v>
      </c>
      <c r="Q272" s="75">
        <f t="shared" si="106"/>
        <v>0</v>
      </c>
      <c r="R272" s="75">
        <f t="shared" si="106"/>
        <v>0</v>
      </c>
      <c r="S272" s="75">
        <f t="shared" si="106"/>
        <v>0</v>
      </c>
      <c r="T272" s="75">
        <f t="shared" si="106"/>
        <v>0</v>
      </c>
      <c r="U272" s="75">
        <f t="shared" si="106"/>
        <v>0</v>
      </c>
      <c r="V272" s="75">
        <f t="shared" si="106"/>
        <v>0</v>
      </c>
      <c r="W272" s="75">
        <f t="shared" si="106"/>
        <v>0</v>
      </c>
      <c r="X272" s="75">
        <f t="shared" si="106"/>
        <v>0</v>
      </c>
      <c r="Y272" s="75">
        <f t="shared" si="106"/>
        <v>0</v>
      </c>
      <c r="Z272" s="75">
        <f t="shared" si="106"/>
        <v>0</v>
      </c>
      <c r="AA272" s="75">
        <f t="shared" si="106"/>
        <v>0</v>
      </c>
      <c r="AB272" s="40">
        <f t="shared" si="101"/>
        <v>0</v>
      </c>
      <c r="AC272" s="85" t="str">
        <f>CONCATENATE(IF(D272&gt;D252," * Total Screened For TB  for Age "&amp;D20&amp;" "&amp;D21&amp;" is more than Current On ART "&amp;CHAR(10),""),IF(E272&gt;E252," * Total Screened For TB  for Age "&amp;D20&amp;" "&amp;E21&amp;" is more than Current On ART "&amp;CHAR(10),""),IF(F272&gt;F252," * Total Screened For TB  for Age "&amp;F20&amp;" "&amp;F21&amp;" is more than Current On ART "&amp;CHAR(10),""),IF(G272&gt;G252," * Total Screened For TB  for Age "&amp;F20&amp;" "&amp;G21&amp;" is more than Current On ART "&amp;CHAR(10),""),IF(H272&gt;H252," * Total Screened For TB  for Age "&amp;H20&amp;" "&amp;H21&amp;" is more than Current On ART "&amp;CHAR(10),""),IF(I272&gt;I252," * Total Screened For TB  for Age "&amp;H20&amp;" "&amp;I21&amp;" is more than Current On ART "&amp;CHAR(10),""),IF(J272&gt;J252," * Total Screened For TB  for Age "&amp;J20&amp;" "&amp;J21&amp;" is more than Current On ART "&amp;CHAR(10),""),IF(K272&gt;K252," * Total Screened For TB  for Age "&amp;J20&amp;" "&amp;K21&amp;" is more than Current On ART "&amp;CHAR(10),""),IF(L272&gt;L252," * Total Screened For TB  for Age "&amp;L20&amp;" "&amp;L21&amp;" is more than Current On ART "&amp;CHAR(10),""),IF(M272&gt;M252," * Total Screened For TB  for Age "&amp;L20&amp;" "&amp;M21&amp;" is more than Current On ART "&amp;CHAR(10),""),IF(N272&gt;N252," * Total Screened For TB  for Age "&amp;N20&amp;" "&amp;N21&amp;" is more than Current On ART "&amp;CHAR(10),""),IF(O272&gt;O252," * Total Screened For TB  for Age "&amp;N20&amp;" "&amp;O21&amp;" is more than Current On ART "&amp;CHAR(10),""),IF(P272&gt;P252," * Total Screened For TB  for Age "&amp;P20&amp;" "&amp;P21&amp;" is more than Current On ART "&amp;CHAR(10),""),IF(Q272&gt;Q252," * Total Screened For TB  for Age "&amp;P20&amp;" "&amp;Q21&amp;" is more than Current On ART "&amp;CHAR(10),""),IF(R272&gt;R252," * Total Screened For TB  for Age "&amp;R20&amp;" "&amp;R21&amp;" is more than Current On ART "&amp;CHAR(10),""),IF(S272&gt;S252," * Total Screened For TB  for Age "&amp;R20&amp;" "&amp;S21&amp;" is more than Current On ART "&amp;CHAR(10),""),IF(T272&gt;T252," * Total Screened For TB  for Age "&amp;T20&amp;" "&amp;T21&amp;" is more than Current On ART "&amp;CHAR(10),""),IF(U272&gt;U252," * Total Screened For TB  for Age "&amp;T20&amp;" "&amp;U21&amp;" is more than Current On ART "&amp;CHAR(10),""),IF(V272&gt;V252," * Total Screened For TB  for Age "&amp;V20&amp;" "&amp;V21&amp;" is more than Current On ART "&amp;CHAR(10),""),IF(W272&gt;W252," * Total Screened For TB  for Age "&amp;V20&amp;" "&amp;W21&amp;" is more than Current On ART "&amp;CHAR(10),""),IF(X272&gt;X252," * Total Screened For TB  for Age "&amp;X20&amp;" "&amp;X21&amp;" is more than Current On ART "&amp;CHAR(10),""),IF(Y272&gt;Y252," * Total Screened For TB  for Age "&amp;X20&amp;" "&amp;Y21&amp;" is more than Current On ART "&amp;CHAR(10),""),IF(Z272&gt;Z252," * Total Screened For TB  for Age "&amp;Z20&amp;" "&amp;Z21&amp;" is more than Current On ART "&amp;CHAR(10),""),IF(AA272&gt;AA252," * Total Screened For TB  for Age "&amp;Z20&amp;" "&amp;AA21&amp;" is more than Current On ART "&amp;CHAR(10),""))</f>
        <v/>
      </c>
      <c r="AD272" s="618"/>
      <c r="AE272" s="83" t="str">
        <f>CONCATENATE(IF(D272&lt;D252," * Screened for TB for Age "&amp;D20&amp;" "&amp;D21&amp;" is less than Current On ART"&amp;CHAR(10),""),IF(E272&lt;E252," * Screened for TB for Age "&amp;D20&amp;" "&amp;E21&amp;" is less than Current On ART"&amp;CHAR(10),""),IF(F272&lt;F252," * Screened for TB for Age "&amp;F20&amp;" "&amp;F21&amp;" is less than Current On ART"&amp;CHAR(10),""),IF(G272&lt;G252," * Screened for TB for Age "&amp;F20&amp;" "&amp;G21&amp;" is less than Current On ART"&amp;CHAR(10),""),IF(H272&lt;H252," * Screened for TB for Age "&amp;H20&amp;" "&amp;H21&amp;" is less than Current On ART"&amp;CHAR(10),""),IF(I272&lt;I252," * Screened for TB for Age "&amp;H20&amp;" "&amp;I21&amp;" is less than Current On ART"&amp;CHAR(10),""),IF(J272&lt;J252," * Screened for TB for Age "&amp;J20&amp;" "&amp;J21&amp;" is less than Current On ART"&amp;CHAR(10),""),IF(K272&lt;K252," * Screened for TB for Age "&amp;J20&amp;" "&amp;K21&amp;" is less than Current On ART"&amp;CHAR(10),""),IF(L272&lt;L252," * Screened for TB for Age "&amp;L20&amp;" "&amp;L21&amp;" is less than Current On ART"&amp;CHAR(10),""),IF(M272&lt;M252," * Screened for TB for Age "&amp;L20&amp;" "&amp;M21&amp;" is less than Current On ART"&amp;CHAR(10),""),IF(N272&lt;N252," * Screened for TB for Age "&amp;N20&amp;" "&amp;N21&amp;" is less than Current On ART"&amp;CHAR(10),""),IF(O272&lt;O252," * Screened for TB for Age "&amp;N20&amp;" "&amp;O21&amp;" is less than Current On ART"&amp;CHAR(10),""),IF(P272&lt;P252," * Screened for TB for Age "&amp;P20&amp;" "&amp;P21&amp;" is less than Current On ART"&amp;CHAR(10),""),IF(Q272&lt;Q252," * Screened for TB for Age "&amp;P20&amp;" "&amp;Q21&amp;" is less than Current On ART"&amp;CHAR(10),""),IF(R272&lt;R252," * Screened for TB for Age "&amp;R20&amp;" "&amp;R21&amp;" is less than Current On ART"&amp;CHAR(10),""),IF(S272&lt;S252," * Screened for TB for Age "&amp;R20&amp;" "&amp;S21&amp;" is less than Current On ART"&amp;CHAR(10),""),IF(T272&lt;T252," * Screened for TB for Age "&amp;T20&amp;" "&amp;T21&amp;" is less than Current On ART"&amp;CHAR(10),""),IF(U272&lt;U252," * Screened for TB for Age "&amp;T20&amp;" "&amp;U21&amp;" is less than Current On ART"&amp;CHAR(10),""),IF(V272&lt;V252," * Screened for TB for Age "&amp;V20&amp;" "&amp;V21&amp;" is less than Current On ART"&amp;CHAR(10),""),IF(W272&lt;W252," * Screened for TB for Age "&amp;V20&amp;" "&amp;W21&amp;" is less than Current On ART"&amp;CHAR(10),""),IF(X272&lt;X252," * Screened for TB for Age "&amp;X20&amp;" "&amp;X21&amp;" is less than Current On ART"&amp;CHAR(10),""),IF(Y272&lt;Y252," * Screened for TB for Age "&amp;X20&amp;" "&amp;Y21&amp;" is less than Current On ART"&amp;CHAR(10),""),IF(Z272&lt;Z252," * Screened for TB for Age "&amp;Z20&amp;" "&amp;Z21&amp;" is less than Current On ART"&amp;CHAR(10),""),IF(AA272&lt;AA252," * Screened for TB for Age "&amp;Z20&amp;" "&amp;AA21&amp;" is less than Current On ART"&amp;CHAR(10),""))</f>
        <v/>
      </c>
      <c r="AF272" s="621"/>
      <c r="AG272" s="439">
        <v>271</v>
      </c>
    </row>
    <row r="273" spans="1:34" ht="31.75" x14ac:dyDescent="0.85">
      <c r="A273" s="690"/>
      <c r="B273" s="319" t="s">
        <v>874</v>
      </c>
      <c r="C273" s="129" t="s">
        <v>603</v>
      </c>
      <c r="D273" s="171"/>
      <c r="E273" s="35"/>
      <c r="F273" s="35"/>
      <c r="G273" s="35"/>
      <c r="H273" s="35"/>
      <c r="I273" s="35"/>
      <c r="J273" s="35"/>
      <c r="K273" s="35"/>
      <c r="L273" s="35"/>
      <c r="M273" s="35"/>
      <c r="N273" s="35"/>
      <c r="O273" s="35"/>
      <c r="P273" s="35"/>
      <c r="Q273" s="35"/>
      <c r="R273" s="35"/>
      <c r="S273" s="35"/>
      <c r="T273" s="35"/>
      <c r="U273" s="35"/>
      <c r="V273" s="35"/>
      <c r="W273" s="35"/>
      <c r="X273" s="35"/>
      <c r="Y273" s="35"/>
      <c r="Z273" s="35"/>
      <c r="AA273" s="35"/>
      <c r="AB273" s="36">
        <f t="shared" si="101"/>
        <v>0</v>
      </c>
      <c r="AC273" s="85"/>
      <c r="AD273" s="618"/>
      <c r="AE273" s="83"/>
      <c r="AF273" s="621"/>
      <c r="AG273" s="439">
        <v>272</v>
      </c>
    </row>
    <row r="274" spans="1:34" s="9" customFormat="1" ht="63.45" x14ac:dyDescent="0.85">
      <c r="A274" s="690"/>
      <c r="B274" s="317" t="s">
        <v>875</v>
      </c>
      <c r="C274" s="130" t="s">
        <v>604</v>
      </c>
      <c r="D274" s="172"/>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37">
        <f t="shared" si="101"/>
        <v>0</v>
      </c>
      <c r="AC274" s="85"/>
      <c r="AD274" s="618"/>
      <c r="AE274" s="84"/>
      <c r="AF274" s="621"/>
      <c r="AG274" s="439">
        <v>273</v>
      </c>
      <c r="AH274" s="334"/>
    </row>
    <row r="275" spans="1:34" ht="31.75" x14ac:dyDescent="0.85">
      <c r="A275" s="690"/>
      <c r="B275" s="317" t="s">
        <v>876</v>
      </c>
      <c r="C275" s="146" t="s">
        <v>605</v>
      </c>
      <c r="D275" s="172"/>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37">
        <f t="shared" si="101"/>
        <v>0</v>
      </c>
      <c r="AC275" s="85"/>
      <c r="AD275" s="618"/>
      <c r="AE275" s="83"/>
      <c r="AF275" s="621"/>
      <c r="AG275" s="439">
        <v>274</v>
      </c>
    </row>
    <row r="276" spans="1:34" ht="32.25" customHeight="1" thickBot="1" x14ac:dyDescent="0.9">
      <c r="A276" s="690"/>
      <c r="B276" s="318" t="s">
        <v>857</v>
      </c>
      <c r="C276" s="147" t="s">
        <v>612</v>
      </c>
      <c r="D276" s="250">
        <f t="shared" ref="D276:AA276" si="107">SUM(D273:D275)</f>
        <v>0</v>
      </c>
      <c r="E276" s="250">
        <f t="shared" si="107"/>
        <v>0</v>
      </c>
      <c r="F276" s="250">
        <f t="shared" si="107"/>
        <v>0</v>
      </c>
      <c r="G276" s="250">
        <f t="shared" si="107"/>
        <v>0</v>
      </c>
      <c r="H276" s="250">
        <f t="shared" si="107"/>
        <v>0</v>
      </c>
      <c r="I276" s="250">
        <f t="shared" si="107"/>
        <v>0</v>
      </c>
      <c r="J276" s="250">
        <f t="shared" si="107"/>
        <v>0</v>
      </c>
      <c r="K276" s="250">
        <f t="shared" si="107"/>
        <v>0</v>
      </c>
      <c r="L276" s="250">
        <f t="shared" si="107"/>
        <v>0</v>
      </c>
      <c r="M276" s="250">
        <f t="shared" si="107"/>
        <v>0</v>
      </c>
      <c r="N276" s="250">
        <f t="shared" si="107"/>
        <v>0</v>
      </c>
      <c r="O276" s="250">
        <f t="shared" si="107"/>
        <v>0</v>
      </c>
      <c r="P276" s="250">
        <f t="shared" si="107"/>
        <v>0</v>
      </c>
      <c r="Q276" s="250">
        <f t="shared" si="107"/>
        <v>0</v>
      </c>
      <c r="R276" s="250">
        <f t="shared" si="107"/>
        <v>0</v>
      </c>
      <c r="S276" s="250">
        <f t="shared" si="107"/>
        <v>0</v>
      </c>
      <c r="T276" s="250">
        <f t="shared" si="107"/>
        <v>0</v>
      </c>
      <c r="U276" s="250">
        <f t="shared" si="107"/>
        <v>0</v>
      </c>
      <c r="V276" s="250">
        <f t="shared" si="107"/>
        <v>0</v>
      </c>
      <c r="W276" s="250">
        <f t="shared" si="107"/>
        <v>0</v>
      </c>
      <c r="X276" s="250">
        <f t="shared" si="107"/>
        <v>0</v>
      </c>
      <c r="Y276" s="250">
        <f t="shared" si="107"/>
        <v>0</v>
      </c>
      <c r="Z276" s="250">
        <f t="shared" si="107"/>
        <v>0</v>
      </c>
      <c r="AA276" s="250">
        <f t="shared" si="107"/>
        <v>0</v>
      </c>
      <c r="AB276" s="40">
        <f t="shared" si="101"/>
        <v>0</v>
      </c>
      <c r="AC276" s="82" t="str">
        <f>CONCATENATE(IF(D277&gt;D276," *  Positive Result Returned For bacteriologic diagnosis "&amp;$D$20&amp;" "&amp;$D$21&amp;" is more than Total Patients whose specimens were sent"&amp;CHAR(10),""),IF(E277&gt;E276," *  Positive Result Returned For bacteriologic diagnosis "&amp;$D$20&amp;" "&amp;$E$21&amp;" is more than Total Patients whose specimens were sent"&amp;CHAR(10),""),IF(F277&gt;F276," *  Positive Result Returned For bacteriologic diagnosis "&amp;$F$20&amp;" "&amp;$F$21&amp;" is more than Total Patients whose specimens were sent"&amp;CHAR(10),""),IF(G277&gt;G276," *  Positive Result Returned For bacteriologic diagnosis "&amp;$F$20&amp;" "&amp;$G$21&amp;" is more than Total Patients whose specimens were sent"&amp;CHAR(10),""),IF(H277&gt;H276," *  Positive Result Returned For bacteriologic diagnosis "&amp;$H$20&amp;" "&amp;$H$21&amp;" is more than Total Patients whose specimens were sent"&amp;CHAR(10),""),IF(I277&gt;I276," *  Positive Result Returned For bacteriologic diagnosis "&amp;$H$20&amp;" "&amp;$I$21&amp;" is more than Total Patients whose specimens were sent"&amp;CHAR(10),""),IF(J277&gt;J276," *  Positive Result Returned For bacteriologic diagnosis "&amp;$J$20&amp;" "&amp;$J$21&amp;" is more than Total Patients whose specimens were sent"&amp;CHAR(10),""),IF(K277&gt;K276," *  Positive Result Returned For bacteriologic diagnosis "&amp;$J$20&amp;" "&amp;$K$21&amp;" is more than Total Patients whose specimens were sent"&amp;CHAR(10),""),IF(L277&gt;L276," *  Positive Result Returned For bacteriologic diagnosis "&amp;$L$20&amp;" "&amp;$L$21&amp;" is more than Total Patients whose specimens were sent"&amp;CHAR(10),""),IF(M277&gt;M276," *  Positive Result Returned For bacteriologic diagnosis "&amp;$L$20&amp;" "&amp;$M$21&amp;" is more than Total Patients whose specimens were sent"&amp;CHAR(10),""),IF(N277&gt;N276," *  Positive Result Returned For bacteriologic diagnosis "&amp;$N$20&amp;" "&amp;$N$21&amp;" is more than Total Patients whose specimens were sent"&amp;CHAR(10),""),IF(O277&gt;O276," *  Positive Result Returned For bacteriologic diagnosis "&amp;$N$20&amp;" "&amp;$O$21&amp;" is more than Total Patients whose specimens were sent"&amp;CHAR(10),""),IF(P277&gt;P276," *  Positive Result Returned For bacteriologic diagnosis "&amp;$P$20&amp;" "&amp;$P$21&amp;" is more than Total Patients whose specimens were sent"&amp;CHAR(10),""),IF(Q277&gt;Q276," *  Positive Result Returned For bacteriologic diagnosis "&amp;$P$20&amp;" "&amp;$Q$21&amp;" is more than Total Patients whose specimens were sent"&amp;CHAR(10),""),IF(R277&gt;R276," *  Positive Result Returned For bacteriologic diagnosis "&amp;$R$20&amp;" "&amp;$R$21&amp;" is more than Total Patients whose specimens were sent"&amp;CHAR(10),""),IF(S277&gt;S276," *  Positive Result Returned For bacteriologic diagnosis "&amp;$R$20&amp;" "&amp;$S$21&amp;" is more than Total Patients whose specimens were sent"&amp;CHAR(10),""),IF(T277&gt;T276," *  Positive Result Returned For bacteriologic diagnosis "&amp;$T$20&amp;" "&amp;$T$21&amp;" is more than Total Patients whose specimens were sent"&amp;CHAR(10),""),IF(U277&gt;U276," *  Positive Result Returned For bacteriologic diagnosis "&amp;$T$20&amp;" "&amp;$U$21&amp;" is more than Total Patients whose specimens were sent"&amp;CHAR(10),""),IF(V277&gt;V276," *  Positive Result Returned For bacteriologic diagnosis "&amp;$V$20&amp;" "&amp;$V$21&amp;" is more than Total Patients whose specimens were sent"&amp;CHAR(10),""),IF(W277&gt;W276," *  Positive Result Returned For bacteriologic diagnosis "&amp;$V$20&amp;" "&amp;$W$21&amp;" is more than Total Patients whose specimens were sent"&amp;CHAR(10),""),IF(X277&gt;X276," *  Positive Result Returned For bacteriologic diagnosis "&amp;$X$20&amp;" "&amp;$X$21&amp;" is more than Total Patients whose specimens were sent"&amp;CHAR(10),""),IF(Y277&gt;Y276," *  Positive Result Returned For bacteriologic diagnosis "&amp;$X$20&amp;" "&amp;$Y$21&amp;" is more than Total Patients whose specimens were sent"&amp;CHAR(10),""),IF(Z277&gt;Z276," *  Positive Result Returned For bacteriologic diagnosis "&amp;$Z$20&amp;" "&amp;$Z$21&amp;" is more than Total Patients whose specimens were sent"&amp;CHAR(10),""),IF(AA277&gt;AA276," *  Positive Result Returned For bacteriologic diagnosis "&amp;$Z$20&amp;" "&amp;$AA$21&amp;" is more than Total Patients whose specimens were sent"&amp;CHAR(10),""))</f>
        <v/>
      </c>
      <c r="AD276" s="618"/>
      <c r="AE276" s="83"/>
      <c r="AF276" s="621"/>
      <c r="AG276" s="439">
        <v>275</v>
      </c>
    </row>
    <row r="277" spans="1:34" ht="62.15" thickBot="1" x14ac:dyDescent="0.9">
      <c r="A277" s="691"/>
      <c r="B277" s="309" t="s">
        <v>610</v>
      </c>
      <c r="C277" s="182" t="s">
        <v>613</v>
      </c>
      <c r="D277" s="176"/>
      <c r="E277" s="322"/>
      <c r="F277" s="322"/>
      <c r="G277" s="322"/>
      <c r="H277" s="322"/>
      <c r="I277" s="322"/>
      <c r="J277" s="322"/>
      <c r="K277" s="322"/>
      <c r="L277" s="322"/>
      <c r="M277" s="322"/>
      <c r="N277" s="322"/>
      <c r="O277" s="322"/>
      <c r="P277" s="322"/>
      <c r="Q277" s="322"/>
      <c r="R277" s="322"/>
      <c r="S277" s="322"/>
      <c r="T277" s="322"/>
      <c r="U277" s="322"/>
      <c r="V277" s="322"/>
      <c r="W277" s="322"/>
      <c r="X277" s="322"/>
      <c r="Y277" s="322"/>
      <c r="Z277" s="322"/>
      <c r="AA277" s="322"/>
      <c r="AB277" s="66">
        <f t="shared" si="101"/>
        <v>0</v>
      </c>
      <c r="AC277" s="82" t="str">
        <f>CONCATENATE(IF(D272&lt;D276," *  Total Screened For TB "&amp;$D$20&amp;" "&amp;$D$21&amp;" is less than Total Patients whose specimens were sent"&amp;CHAR(10),""),IF(E272&lt;E276," *  Total Screened For TB "&amp;$D$20&amp;" "&amp;$E$21&amp;" is less than Total Patients whose specimens were sent"&amp;CHAR(10),""),IF(F272&lt;F276," *  Total Screened For TB "&amp;$F$20&amp;" "&amp;$F$21&amp;" is less than Total Patients whose specimens were sent"&amp;CHAR(10),""),IF(G272&lt;G276," *  Total Screened For TB "&amp;$F$20&amp;" "&amp;$G$21&amp;" is less than Total Patients whose specimens were sent"&amp;CHAR(10),""),IF(H272&lt;H276," *  Total Screened For TB "&amp;$H$20&amp;" "&amp;$H$21&amp;" is less than Total Patients whose specimens were sent"&amp;CHAR(10),""),IF(I272&lt;I276," *  Total Screened For TB "&amp;$H$20&amp;" "&amp;$I$21&amp;" is less than Total Patients whose specimens were sent"&amp;CHAR(10),""),IF(J272&lt;J276," *  Total Screened For TB "&amp;$J$20&amp;" "&amp;$J$21&amp;" is less than Total Patients whose specimens were sent"&amp;CHAR(10),""),IF(K272&lt;K276," *  Total Screened For TB "&amp;$J$20&amp;" "&amp;$K$21&amp;" is less than Total Patients whose specimens were sent"&amp;CHAR(10),""),IF(L272&lt;L276," *  Total Screened For TB "&amp;$L$20&amp;" "&amp;$L$21&amp;" is less than Total Patients whose specimens were sent"&amp;CHAR(10),""),IF(M272&lt;M276," *  Total Screened For TB "&amp;$L$20&amp;" "&amp;$M$21&amp;" is less than Total Patients whose specimens were sent"&amp;CHAR(10),""),IF(N272&lt;N276," *  Total Screened For TB "&amp;$N$20&amp;" "&amp;$N$21&amp;" is less than Total Patients whose specimens were sent"&amp;CHAR(10),""),IF(O272&lt;O276," *  Total Screened For TB "&amp;$N$20&amp;" "&amp;$O$21&amp;" is less than Total Patients whose specimens were sent"&amp;CHAR(10),""),IF(P272&lt;P276," *  Total Screened For TB "&amp;$P$20&amp;" "&amp;$P$21&amp;" is less than Total Patients whose specimens were sent"&amp;CHAR(10),""),IF(Q272&lt;Q276," *  Total Screened For TB "&amp;$P$20&amp;" "&amp;$Q$21&amp;" is less than Total Patients whose specimens were sent"&amp;CHAR(10),""),IF(R272&lt;R276," *  Total Screened For TB "&amp;$R$20&amp;" "&amp;$R$21&amp;" is less than Total Patients whose specimens were sent"&amp;CHAR(10),""),IF(S272&lt;S276," *  Total Screened For TB "&amp;$R$20&amp;" "&amp;$S$21&amp;" is less than Total Patients whose specimens were sent"&amp;CHAR(10),""),IF(T272&lt;T276," *  Total Screened For TB "&amp;$T$20&amp;" "&amp;$T$21&amp;" is less than Total Patients whose specimens were sent"&amp;CHAR(10),""),IF(U272&lt;U276," *  Total Screened For TB "&amp;$T$20&amp;" "&amp;$U$21&amp;" is less than Total Patients whose specimens were sent"&amp;CHAR(10),""),IF(V272&lt;V276," *  Total Screened For TB "&amp;$V$20&amp;" "&amp;$V$21&amp;" is less than Total Patients whose specimens were sent"&amp;CHAR(10),""),IF(W272&lt;W276," *  Total Screened For TB "&amp;$V$20&amp;" "&amp;$W$21&amp;" is less than Total Patients whose specimens were sent"&amp;CHAR(10),""),IF(X272&lt;X276," *  Total Screened For TB "&amp;$X$20&amp;" "&amp;$X$21&amp;" is less than Total Patients whose specimens were sent"&amp;CHAR(10),""),IF(Y272&lt;Y276," *  Total Screened For TB "&amp;$X$20&amp;" "&amp;$Y$21&amp;" is less than Total Patients whose specimens were sent"&amp;CHAR(10),""),IF(Z272&lt;Z276," *  Total Screened For TB "&amp;$Z$20&amp;" "&amp;$Z$21&amp;" is less than Total Patients whose specimens were sent"&amp;CHAR(10),""),IF(AA272&lt;AA276," *  Total Screened For TB "&amp;$Z$20&amp;" "&amp;$AA$21&amp;" is less than Total Patients whose specimens were sent"&amp;CHAR(10),""))</f>
        <v/>
      </c>
      <c r="AD277" s="618"/>
      <c r="AE277" s="83"/>
      <c r="AF277" s="621"/>
      <c r="AG277" s="439">
        <v>276</v>
      </c>
    </row>
    <row r="278" spans="1:34" x14ac:dyDescent="0.85">
      <c r="A278" s="604" t="s">
        <v>861</v>
      </c>
      <c r="B278" s="306" t="s">
        <v>611</v>
      </c>
      <c r="C278" s="129" t="s">
        <v>616</v>
      </c>
      <c r="D278" s="171"/>
      <c r="E278" s="35"/>
      <c r="F278" s="35"/>
      <c r="G278" s="35"/>
      <c r="H278" s="35"/>
      <c r="I278" s="35"/>
      <c r="J278" s="35"/>
      <c r="K278" s="35"/>
      <c r="L278" s="35"/>
      <c r="M278" s="35"/>
      <c r="N278" s="35"/>
      <c r="O278" s="35"/>
      <c r="P278" s="35"/>
      <c r="Q278" s="35"/>
      <c r="R278" s="35"/>
      <c r="S278" s="35"/>
      <c r="T278" s="35"/>
      <c r="U278" s="35"/>
      <c r="V278" s="35"/>
      <c r="W278" s="35"/>
      <c r="X278" s="35"/>
      <c r="Y278" s="35"/>
      <c r="Z278" s="35"/>
      <c r="AA278" s="35"/>
      <c r="AB278" s="36">
        <f t="shared" ref="AB278" si="108">SUM(D278:AA278)</f>
        <v>0</v>
      </c>
      <c r="AC278" s="85"/>
      <c r="AD278" s="618"/>
      <c r="AE278" s="83"/>
      <c r="AF278" s="621"/>
      <c r="AG278" s="439">
        <v>277</v>
      </c>
    </row>
    <row r="279" spans="1:34" x14ac:dyDescent="0.85">
      <c r="A279" s="605"/>
      <c r="B279" s="303" t="s">
        <v>860</v>
      </c>
      <c r="C279" s="146" t="s">
        <v>617</v>
      </c>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37">
        <f t="shared" ref="AB279" si="109">SUM(D279:AA279)</f>
        <v>0</v>
      </c>
      <c r="AC279" s="254" t="str">
        <f>CONCATENATE(IF(D280&gt;D277," *  Confirmed ART Patients TB positive and started on TB treatment "&amp;$D$20&amp;" "&amp;$D$21&amp;" is less than  ART patients who had a positive result returned F07-50"&amp;CHAR(10),""),IF(E280&gt;E277," *  Confirmed ART Patients TB positive and started on TB treatment "&amp;$D$20&amp;" "&amp;$E$21&amp;" is less than  ART patients who had a positive result returned F07-50"&amp;CHAR(10),""),IF(F280&gt;F277," *  Confirmed ART Patients TB positive and started on TB treatment "&amp;$F$20&amp;" "&amp;$F$21&amp;" is less than  ART patients who had a positive result returned F07-50"&amp;CHAR(10),""),IF(G280&gt;G277," *  Confirmed ART Patients TB positive and started on TB treatment "&amp;$F$20&amp;" "&amp;$G$21&amp;" is less than  ART patients who had a positive result returned F07-50"&amp;CHAR(10),""),IF(H280&gt;H277," *  Confirmed ART Patients TB positive and started on TB treatment "&amp;$H$20&amp;" "&amp;$H$21&amp;" is less than  ART patients who had a positive result returned F07-50"&amp;CHAR(10),""),IF(I280&gt;I277," *  Confirmed ART Patients TB positive and started on TB treatment "&amp;$H$20&amp;" "&amp;$I$21&amp;" is less than  ART patients who had a positive result returned F07-50"&amp;CHAR(10),""),IF(J280&gt;J277," *  Confirmed ART Patients TB positive and started on TB treatment "&amp;$J$20&amp;" "&amp;$J$21&amp;" is less than  ART patients who had a positive result returned F07-50"&amp;CHAR(10),""),IF(K280&gt;K277," *  Confirmed ART Patients TB positive and started on TB treatment "&amp;$J$20&amp;" "&amp;$K$21&amp;" is less than  ART patients who had a positive result returned F07-50"&amp;CHAR(10),""),IF(L280&gt;L277," *  Confirmed ART Patients TB positive and started on TB treatment "&amp;$L$20&amp;" "&amp;$L$21&amp;" is less than  ART patients who had a positive result returned F07-50"&amp;CHAR(10),""),IF(M280&gt;M277," *  Confirmed ART Patients TB positive and started on TB treatment "&amp;$L$20&amp;" "&amp;$M$21&amp;" is less than  ART patients who had a positive result returned F07-50"&amp;CHAR(10),""),IF(N280&gt;N277," *  Confirmed ART Patients TB positive and started on TB treatment "&amp;$N$20&amp;" "&amp;$N$21&amp;" is less than  ART patients who had a positive result returned F07-50"&amp;CHAR(10),""),IF(O280&gt;O277," *  Confirmed ART Patients TB positive and started on TB treatment "&amp;$N$20&amp;" "&amp;$O$21&amp;" is less than  ART patients who had a positive result returned F07-50"&amp;CHAR(10),""),IF(P280&gt;P277," *  Confirmed ART Patients TB positive and started on TB treatment "&amp;$P$20&amp;" "&amp;$P$21&amp;" is less than  ART patients who had a positive result returned F07-50"&amp;CHAR(10),""),IF(Q280&gt;Q277," *  Confirmed ART Patients TB positive and started on TB treatment "&amp;$P$20&amp;" "&amp;$Q$21&amp;" is less than  ART patients who had a positive result returned F07-50"&amp;CHAR(10),""),IF(R280&gt;R277," *  Confirmed ART Patients TB positive and started on TB treatment "&amp;$R$20&amp;" "&amp;$R$21&amp;" is less than  ART patients who had a positive result returned F07-50"&amp;CHAR(10),""),IF(S280&gt;S277," *  Confirmed ART Patients TB positive and started on TB treatment "&amp;$R$20&amp;" "&amp;$S$21&amp;" is less than  ART patients who had a positive result returned F07-50"&amp;CHAR(10),""),IF(T280&gt;T277," *  Confirmed ART Patients TB positive and started on TB treatment "&amp;$T$20&amp;" "&amp;$T$21&amp;" is less than  ART patients who had a positive result returned F07-50"&amp;CHAR(10),""),IF(U280&gt;U277," *  Confirmed ART Patients TB positive and started on TB treatment "&amp;$T$20&amp;" "&amp;$U$21&amp;" is less than  ART patients who had a positive result returned F07-50"&amp;CHAR(10),""),IF(V280&gt;V277," *  Confirmed ART Patients TB positive and started on TB treatment "&amp;$V$20&amp;" "&amp;$V$21&amp;" is less than  ART patients who had a positive result returned F07-50"&amp;CHAR(10),""),IF(W280&gt;W277," *  Confirmed ART Patients TB positive and started on TB treatment "&amp;$V$20&amp;" "&amp;$W$21&amp;" is less than  ART patients who had a positive result returned F07-50"&amp;CHAR(10),""),IF(X280&gt;X277," *  Confirmed ART Patients TB positive and started on TB treatment "&amp;$X$20&amp;" "&amp;$X$21&amp;" is less than  ART patients who had a positive result returned F07-50"&amp;CHAR(10),""),IF(Y280&gt;Y277," *  Confirmed ART Patients TB positive and started on TB treatment "&amp;$X$20&amp;" "&amp;$Y$21&amp;" is less than  ART patients who had a positive result returned F07-50"&amp;CHAR(10),""),IF(Z280&gt;Z277," *  Confirmed ART Patients TB positive and started on TB treatment "&amp;$Z$20&amp;" "&amp;$Z$21&amp;" is less than  ART patients who had a positive result returned F07-50"&amp;CHAR(10),""),IF(AA280&gt;AA277," *  Confirmed ART Patients TB positive and started on TB treatment "&amp;$Z$20&amp;" "&amp;$AA$21&amp;" is less than  ART patients who had a positive result returned F07-50"&amp;CHAR(10),""))</f>
        <v/>
      </c>
      <c r="AD279" s="618"/>
      <c r="AE279" s="83"/>
      <c r="AF279" s="621"/>
      <c r="AG279" s="439">
        <v>278</v>
      </c>
    </row>
    <row r="280" spans="1:34" ht="63.9" thickBot="1" x14ac:dyDescent="0.9">
      <c r="A280" s="688"/>
      <c r="B280" s="315" t="s">
        <v>859</v>
      </c>
      <c r="C280" s="147" t="s">
        <v>618</v>
      </c>
      <c r="D280" s="174">
        <f>D278+D279</f>
        <v>0</v>
      </c>
      <c r="E280" s="316">
        <f t="shared" ref="E280:AA280" si="110">E278+E279</f>
        <v>0</v>
      </c>
      <c r="F280" s="316">
        <f t="shared" si="110"/>
        <v>0</v>
      </c>
      <c r="G280" s="316">
        <f t="shared" si="110"/>
        <v>0</v>
      </c>
      <c r="H280" s="316">
        <f t="shared" si="110"/>
        <v>0</v>
      </c>
      <c r="I280" s="316">
        <f t="shared" si="110"/>
        <v>0</v>
      </c>
      <c r="J280" s="316">
        <f t="shared" si="110"/>
        <v>0</v>
      </c>
      <c r="K280" s="316">
        <f t="shared" si="110"/>
        <v>0</v>
      </c>
      <c r="L280" s="316">
        <f t="shared" si="110"/>
        <v>0</v>
      </c>
      <c r="M280" s="316">
        <f t="shared" si="110"/>
        <v>0</v>
      </c>
      <c r="N280" s="316">
        <f t="shared" si="110"/>
        <v>0</v>
      </c>
      <c r="O280" s="316">
        <f t="shared" si="110"/>
        <v>0</v>
      </c>
      <c r="P280" s="316">
        <f t="shared" si="110"/>
        <v>0</v>
      </c>
      <c r="Q280" s="316">
        <f t="shared" si="110"/>
        <v>0</v>
      </c>
      <c r="R280" s="316">
        <f t="shared" si="110"/>
        <v>0</v>
      </c>
      <c r="S280" s="316">
        <f t="shared" si="110"/>
        <v>0</v>
      </c>
      <c r="T280" s="316">
        <f t="shared" si="110"/>
        <v>0</v>
      </c>
      <c r="U280" s="316">
        <f t="shared" si="110"/>
        <v>0</v>
      </c>
      <c r="V280" s="316">
        <f t="shared" si="110"/>
        <v>0</v>
      </c>
      <c r="W280" s="316">
        <f t="shared" si="110"/>
        <v>0</v>
      </c>
      <c r="X280" s="316">
        <f t="shared" si="110"/>
        <v>0</v>
      </c>
      <c r="Y280" s="316">
        <f t="shared" si="110"/>
        <v>0</v>
      </c>
      <c r="Z280" s="316">
        <f t="shared" si="110"/>
        <v>0</v>
      </c>
      <c r="AA280" s="316">
        <f t="shared" si="110"/>
        <v>0</v>
      </c>
      <c r="AB280" s="40">
        <f t="shared" ref="AB280" si="111">SUM(D280:AA280)</f>
        <v>0</v>
      </c>
      <c r="AC280" s="85" t="str">
        <f>CONCATENATE(IF(D280&gt;D272," * ART Patients TB positive and started on TB Treatment  for Age "&amp;D20&amp;" "&amp;D21&amp;" is more than Total Screened for TB"&amp;CHAR(10),""),IF(E280&gt;E272," * ART Patients TB positive and started on TB Treatment  for Age "&amp;D20&amp;" "&amp;E21&amp;" is more than Total Screened for TB"&amp;CHAR(10),""),IF(F280&gt;F272," * ART Patients TB positive and started on TB Treatment  for Age "&amp;F20&amp;" "&amp;F21&amp;" is more than Total Screened for TB"&amp;CHAR(10),""),IF(G280&gt;G272," * ART Patients TB positive and started on TB Treatment  for Age "&amp;F20&amp;" "&amp;G21&amp;" is more than Total Screened for TB"&amp;CHAR(10),""),IF(H280&gt;H272," * ART Patients TB positive and started on TB Treatment  for Age "&amp;H20&amp;" "&amp;H21&amp;" is more than Total Screened for TB"&amp;CHAR(10),""),IF(I280&gt;I272," * ART Patients TB positive and started on TB Treatment  for Age "&amp;H20&amp;" "&amp;I21&amp;" is more than Total Screened for TB"&amp;CHAR(10),""),IF(J280&gt;J272," * ART Patients TB positive and started on TB Treatment  for Age "&amp;J20&amp;" "&amp;J21&amp;" is more than Total Screened for TB"&amp;CHAR(10),""),IF(K280&gt;K272," * ART Patients TB positive and started on TB Treatment  for Age "&amp;J20&amp;" "&amp;K21&amp;" is more than Total Screened for TB"&amp;CHAR(10),""),IF(L280&gt;L272," * ART Patients TB positive and started on TB Treatment  for Age "&amp;L20&amp;" "&amp;L21&amp;" is more than Total Screened for TB"&amp;CHAR(10),""),IF(M280&gt;M272," * ART Patients TB positive and started on TB Treatment  for Age "&amp;L20&amp;" "&amp;M21&amp;" is more than Total Screened for TB"&amp;CHAR(10),""),IF(N280&gt;N272," * ART Patients TB positive and started on TB Treatment  for Age "&amp;N20&amp;" "&amp;N21&amp;" is more than Total Screened for TB"&amp;CHAR(10),""),IF(O280&gt;O272," * ART Patients TB positive and started on TB Treatment  for Age "&amp;N20&amp;" "&amp;O21&amp;" is more than Total Screened for TB"&amp;CHAR(10),""),IF(P280&gt;P272," * ART Patients TB positive and started on TB Treatment  for Age "&amp;P20&amp;" "&amp;P21&amp;" is more than Total Screened for TB"&amp;CHAR(10),""),IF(Q280&gt;Q272," * ART Patients TB positive and started on TB Treatment  for Age "&amp;P20&amp;" "&amp;Q21&amp;" is more than Total Screened for TB"&amp;CHAR(10),""),IF(R280&gt;R272," * ART Patients TB positive and started on TB Treatment  for Age "&amp;R20&amp;" "&amp;R21&amp;" is more than Total Screened for TB"&amp;CHAR(10),""),IF(S280&gt;S272," * ART Patients TB positive and started on TB Treatment  for Age "&amp;R20&amp;" "&amp;S21&amp;" is more than Total Screened for TB"&amp;CHAR(10),""),IF(T280&gt;T272," * ART Patients TB positive and started on TB Treatment  for Age "&amp;T20&amp;" "&amp;T21&amp;" is more than Total Screened for TB"&amp;CHAR(10),""),IF(U280&gt;U272," * ART Patients TB positive and started on TB Treatment  for Age "&amp;T20&amp;" "&amp;U21&amp;" is more than Total Screened for TB"&amp;CHAR(10),""),IF(V280&gt;V272," * ART Patients TB positive and started on TB Treatment  for Age "&amp;V20&amp;" "&amp;V21&amp;" is more than Total Screened for TB"&amp;CHAR(10),""),IF(W280&gt;W272," * ART Patients TB positive and started on TB Treatment  for Age "&amp;V20&amp;" "&amp;W21&amp;" is more than Total Screened for TB"&amp;CHAR(10),""),IF(X280&gt;X272," * ART Patients TB positive and started on TB Treatment  for Age "&amp;X20&amp;" "&amp;X21&amp;" is more than Total Screened for TB"&amp;CHAR(10),""),IF(Y280&gt;Y272," * ART Patients TB positive and started on TB Treatment  for Age "&amp;X20&amp;" "&amp;Y21&amp;" is more than Total Screened for TB"&amp;CHAR(10),""),IF(Z280&gt;Z272," * ART Patients TB positive and started on TB Treatment  for Age "&amp;Z20&amp;" "&amp;Z21&amp;" is more than Total Screened for TB"&amp;CHAR(10),""),IF(AA280&gt;AA272," * ART Patients TB positive and started on TB Treatment  for Age "&amp;Z20&amp;" "&amp;AA21&amp;" is more than Total Screened for TB"&amp;CHAR(10),""))</f>
        <v/>
      </c>
      <c r="AD280" s="768"/>
      <c r="AE280" s="83"/>
      <c r="AF280" s="770"/>
      <c r="AG280" s="439">
        <v>279</v>
      </c>
    </row>
    <row r="281" spans="1:34" ht="31.75" hidden="1" x14ac:dyDescent="0.85">
      <c r="A281" s="604" t="s">
        <v>615</v>
      </c>
      <c r="B281" s="321" t="s">
        <v>1028</v>
      </c>
      <c r="C281" s="129" t="s">
        <v>619</v>
      </c>
      <c r="D281" s="178">
        <f>D8+D11+D15</f>
        <v>0</v>
      </c>
      <c r="E281" s="323">
        <f t="shared" ref="E281:AB281" si="112">E8+E11+E15</f>
        <v>0</v>
      </c>
      <c r="F281" s="323">
        <f t="shared" si="112"/>
        <v>0</v>
      </c>
      <c r="G281" s="323">
        <f t="shared" si="112"/>
        <v>0</v>
      </c>
      <c r="H281" s="323">
        <f t="shared" si="112"/>
        <v>0</v>
      </c>
      <c r="I281" s="323">
        <f t="shared" si="112"/>
        <v>0</v>
      </c>
      <c r="J281" s="323">
        <f t="shared" si="112"/>
        <v>0</v>
      </c>
      <c r="K281" s="323">
        <f t="shared" si="112"/>
        <v>0</v>
      </c>
      <c r="L281" s="323">
        <f t="shared" si="112"/>
        <v>0</v>
      </c>
      <c r="M281" s="323">
        <f t="shared" si="112"/>
        <v>0</v>
      </c>
      <c r="N281" s="323">
        <f t="shared" si="112"/>
        <v>0</v>
      </c>
      <c r="O281" s="323">
        <f t="shared" si="112"/>
        <v>0</v>
      </c>
      <c r="P281" s="323">
        <f t="shared" si="112"/>
        <v>0</v>
      </c>
      <c r="Q281" s="323">
        <f t="shared" si="112"/>
        <v>0</v>
      </c>
      <c r="R281" s="323">
        <f t="shared" si="112"/>
        <v>0</v>
      </c>
      <c r="S281" s="323">
        <f t="shared" si="112"/>
        <v>0</v>
      </c>
      <c r="T281" s="323">
        <f t="shared" si="112"/>
        <v>0</v>
      </c>
      <c r="U281" s="323">
        <f t="shared" si="112"/>
        <v>0</v>
      </c>
      <c r="V281" s="323">
        <f t="shared" si="112"/>
        <v>0</v>
      </c>
      <c r="W281" s="323">
        <f t="shared" si="112"/>
        <v>0</v>
      </c>
      <c r="X281" s="323">
        <f t="shared" si="112"/>
        <v>0</v>
      </c>
      <c r="Y281" s="323">
        <f t="shared" si="112"/>
        <v>0</v>
      </c>
      <c r="Z281" s="323">
        <f t="shared" si="112"/>
        <v>0</v>
      </c>
      <c r="AA281" s="323">
        <f t="shared" si="112"/>
        <v>0</v>
      </c>
      <c r="AB281" s="323">
        <f t="shared" si="112"/>
        <v>0</v>
      </c>
      <c r="AC281" s="85"/>
      <c r="AD281" s="617" t="str">
        <f>CONCATENATE(AC281,AC282,AC283,AC284,AC285,AC286,AC287,AC288)</f>
        <v/>
      </c>
      <c r="AE281" s="83"/>
      <c r="AF281" s="620" t="str">
        <f>CONCATENATE(AE281,AE282,AE283,AE284,AE285,AE286,AE287,AE288)</f>
        <v/>
      </c>
      <c r="AG281" s="439">
        <v>280</v>
      </c>
    </row>
    <row r="282" spans="1:34" ht="30.75" hidden="1" customHeight="1" x14ac:dyDescent="0.85">
      <c r="A282" s="605"/>
      <c r="B282" s="303" t="s">
        <v>1046</v>
      </c>
      <c r="C282" s="146" t="s">
        <v>620</v>
      </c>
      <c r="D282" s="172"/>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37">
        <f>SUM(D282:AA282)</f>
        <v>0</v>
      </c>
      <c r="AC282" s="85"/>
      <c r="AD282" s="618"/>
      <c r="AE282" s="83"/>
      <c r="AF282" s="621"/>
      <c r="AG282" s="439">
        <v>281</v>
      </c>
    </row>
    <row r="283" spans="1:34" x14ac:dyDescent="0.85">
      <c r="A283" s="605"/>
      <c r="B283" s="303" t="s">
        <v>601</v>
      </c>
      <c r="C283" s="146" t="s">
        <v>621</v>
      </c>
      <c r="D283" s="172"/>
      <c r="E283" s="172"/>
      <c r="F283" s="172"/>
      <c r="G283" s="172"/>
      <c r="H283" s="172"/>
      <c r="I283" s="172"/>
      <c r="J283" s="172"/>
      <c r="K283" s="172"/>
      <c r="L283" s="172"/>
      <c r="M283" s="172"/>
      <c r="N283" s="172"/>
      <c r="O283" s="172"/>
      <c r="P283" s="172"/>
      <c r="Q283" s="172"/>
      <c r="R283" s="172"/>
      <c r="S283" s="172"/>
      <c r="T283" s="172"/>
      <c r="U283" s="172"/>
      <c r="V283" s="172"/>
      <c r="W283" s="172"/>
      <c r="X283" s="172"/>
      <c r="Y283" s="172"/>
      <c r="Z283" s="172"/>
      <c r="AA283" s="172"/>
      <c r="AB283" s="37">
        <f t="shared" ref="AB283:AB288" si="113">SUM(D283:AA283)</f>
        <v>0</v>
      </c>
      <c r="AC283" s="85"/>
      <c r="AD283" s="618"/>
      <c r="AE283" s="83"/>
      <c r="AF283" s="621"/>
      <c r="AG283" s="439">
        <v>282</v>
      </c>
    </row>
    <row r="284" spans="1:34" ht="31.75" x14ac:dyDescent="0.85">
      <c r="A284" s="605"/>
      <c r="B284" s="303" t="s">
        <v>874</v>
      </c>
      <c r="C284" s="146" t="s">
        <v>622</v>
      </c>
      <c r="D284" s="172"/>
      <c r="E284" s="172"/>
      <c r="F284" s="172"/>
      <c r="G284" s="172"/>
      <c r="H284" s="172"/>
      <c r="I284" s="172"/>
      <c r="J284" s="172"/>
      <c r="K284" s="172"/>
      <c r="L284" s="172"/>
      <c r="M284" s="172"/>
      <c r="N284" s="172"/>
      <c r="O284" s="172"/>
      <c r="P284" s="172"/>
      <c r="Q284" s="172"/>
      <c r="R284" s="172"/>
      <c r="S284" s="172"/>
      <c r="T284" s="172"/>
      <c r="U284" s="172"/>
      <c r="V284" s="172"/>
      <c r="W284" s="172"/>
      <c r="X284" s="172"/>
      <c r="Y284" s="172"/>
      <c r="Z284" s="172"/>
      <c r="AA284" s="172"/>
      <c r="AB284" s="242">
        <f t="shared" si="113"/>
        <v>0</v>
      </c>
      <c r="AC284" s="85"/>
      <c r="AD284" s="618"/>
      <c r="AE284" s="83"/>
      <c r="AF284" s="621"/>
      <c r="AG284" s="439">
        <v>283</v>
      </c>
    </row>
    <row r="285" spans="1:34" ht="63.45" x14ac:dyDescent="0.85">
      <c r="A285" s="605"/>
      <c r="B285" s="303" t="s">
        <v>875</v>
      </c>
      <c r="C285" s="146" t="s">
        <v>623</v>
      </c>
      <c r="D285" s="172"/>
      <c r="E285" s="172"/>
      <c r="F285" s="172"/>
      <c r="G285" s="172"/>
      <c r="H285" s="172"/>
      <c r="I285" s="172"/>
      <c r="J285" s="172"/>
      <c r="K285" s="172"/>
      <c r="L285" s="172"/>
      <c r="M285" s="172"/>
      <c r="N285" s="172"/>
      <c r="O285" s="172"/>
      <c r="P285" s="172"/>
      <c r="Q285" s="172"/>
      <c r="R285" s="172"/>
      <c r="S285" s="172"/>
      <c r="T285" s="172"/>
      <c r="U285" s="172"/>
      <c r="V285" s="172"/>
      <c r="W285" s="172"/>
      <c r="X285" s="172"/>
      <c r="Y285" s="172"/>
      <c r="Z285" s="172"/>
      <c r="AA285" s="172"/>
      <c r="AB285" s="242">
        <f t="shared" si="113"/>
        <v>0</v>
      </c>
      <c r="AC285" s="85"/>
      <c r="AD285" s="618"/>
      <c r="AE285" s="83"/>
      <c r="AF285" s="621"/>
      <c r="AG285" s="439">
        <v>284</v>
      </c>
    </row>
    <row r="286" spans="1:34" ht="31.75" x14ac:dyDescent="0.85">
      <c r="A286" s="605"/>
      <c r="B286" s="303" t="s">
        <v>876</v>
      </c>
      <c r="C286" s="146" t="s">
        <v>624</v>
      </c>
      <c r="D286" s="172"/>
      <c r="E286" s="172"/>
      <c r="F286" s="172"/>
      <c r="G286" s="172"/>
      <c r="H286" s="172"/>
      <c r="I286" s="172"/>
      <c r="J286" s="172"/>
      <c r="K286" s="172"/>
      <c r="L286" s="172"/>
      <c r="M286" s="172"/>
      <c r="N286" s="172"/>
      <c r="O286" s="172"/>
      <c r="P286" s="172"/>
      <c r="Q286" s="172"/>
      <c r="R286" s="172"/>
      <c r="S286" s="172"/>
      <c r="T286" s="172"/>
      <c r="U286" s="172"/>
      <c r="V286" s="172"/>
      <c r="W286" s="172"/>
      <c r="X286" s="172"/>
      <c r="Y286" s="172"/>
      <c r="Z286" s="172"/>
      <c r="AA286" s="172"/>
      <c r="AB286" s="242">
        <f t="shared" si="113"/>
        <v>0</v>
      </c>
      <c r="AC286" s="85"/>
      <c r="AD286" s="618"/>
      <c r="AE286" s="83"/>
      <c r="AF286" s="621"/>
      <c r="AG286" s="439">
        <v>285</v>
      </c>
    </row>
    <row r="287" spans="1:34" ht="61.75" x14ac:dyDescent="0.85">
      <c r="A287" s="605"/>
      <c r="B287" s="303" t="s">
        <v>1053</v>
      </c>
      <c r="C287" s="146" t="s">
        <v>625</v>
      </c>
      <c r="D287" s="172"/>
      <c r="E287" s="172"/>
      <c r="F287" s="172"/>
      <c r="G287" s="172"/>
      <c r="H287" s="172"/>
      <c r="I287" s="172"/>
      <c r="J287" s="172"/>
      <c r="K287" s="172"/>
      <c r="L287" s="172"/>
      <c r="M287" s="172"/>
      <c r="N287" s="172"/>
      <c r="O287" s="172"/>
      <c r="P287" s="172"/>
      <c r="Q287" s="172"/>
      <c r="R287" s="172"/>
      <c r="S287" s="172"/>
      <c r="T287" s="172"/>
      <c r="U287" s="172"/>
      <c r="V287" s="172"/>
      <c r="W287" s="172"/>
      <c r="X287" s="172"/>
      <c r="Y287" s="172"/>
      <c r="Z287" s="172"/>
      <c r="AA287" s="172"/>
      <c r="AB287" s="242">
        <f t="shared" si="113"/>
        <v>0</v>
      </c>
      <c r="AC287" s="85"/>
      <c r="AD287" s="618"/>
      <c r="AE287" s="83"/>
      <c r="AF287" s="621"/>
      <c r="AG287" s="439">
        <v>286</v>
      </c>
    </row>
    <row r="288" spans="1:34" ht="31.3" thickBot="1" x14ac:dyDescent="0.9">
      <c r="A288" s="606"/>
      <c r="B288" s="310" t="s">
        <v>1052</v>
      </c>
      <c r="C288" s="147" t="s">
        <v>862</v>
      </c>
      <c r="D288" s="179"/>
      <c r="E288" s="179"/>
      <c r="F288" s="179"/>
      <c r="G288" s="179"/>
      <c r="H288" s="179"/>
      <c r="I288" s="179"/>
      <c r="J288" s="179"/>
      <c r="K288" s="179"/>
      <c r="L288" s="179"/>
      <c r="M288" s="179"/>
      <c r="N288" s="179"/>
      <c r="O288" s="179"/>
      <c r="P288" s="179"/>
      <c r="Q288" s="179"/>
      <c r="R288" s="179"/>
      <c r="S288" s="179"/>
      <c r="T288" s="179"/>
      <c r="U288" s="179"/>
      <c r="V288" s="179"/>
      <c r="W288" s="179"/>
      <c r="X288" s="179"/>
      <c r="Y288" s="179"/>
      <c r="Z288" s="179"/>
      <c r="AA288" s="179"/>
      <c r="AB288" s="242">
        <f t="shared" si="113"/>
        <v>0</v>
      </c>
      <c r="AC288" s="194"/>
      <c r="AD288" s="619"/>
      <c r="AE288" s="97"/>
      <c r="AF288" s="622"/>
      <c r="AG288" s="439">
        <v>287</v>
      </c>
    </row>
    <row r="289" spans="1:34" ht="35.15" thickBot="1" x14ac:dyDescent="0.9">
      <c r="A289" s="578" t="s">
        <v>133</v>
      </c>
      <c r="B289" s="579"/>
      <c r="C289" s="579"/>
      <c r="D289" s="579"/>
      <c r="E289" s="579"/>
      <c r="F289" s="579"/>
      <c r="G289" s="579"/>
      <c r="H289" s="579"/>
      <c r="I289" s="579"/>
      <c r="J289" s="579"/>
      <c r="K289" s="579"/>
      <c r="L289" s="579"/>
      <c r="M289" s="579"/>
      <c r="N289" s="579"/>
      <c r="O289" s="579"/>
      <c r="P289" s="579"/>
      <c r="Q289" s="579"/>
      <c r="R289" s="579"/>
      <c r="S289" s="579"/>
      <c r="T289" s="579"/>
      <c r="U289" s="579"/>
      <c r="V289" s="579"/>
      <c r="W289" s="579"/>
      <c r="X289" s="579"/>
      <c r="Y289" s="579"/>
      <c r="Z289" s="579"/>
      <c r="AA289" s="579"/>
      <c r="AB289" s="579"/>
      <c r="AC289" s="579"/>
      <c r="AD289" s="579"/>
      <c r="AE289" s="579"/>
      <c r="AF289" s="580"/>
      <c r="AG289" s="439">
        <v>288</v>
      </c>
    </row>
    <row r="290" spans="1:34" ht="26.25" customHeight="1" x14ac:dyDescent="0.85">
      <c r="A290" s="588" t="s">
        <v>37</v>
      </c>
      <c r="B290" s="611" t="s">
        <v>347</v>
      </c>
      <c r="C290" s="666" t="s">
        <v>328</v>
      </c>
      <c r="D290" s="646" t="s">
        <v>0</v>
      </c>
      <c r="E290" s="646"/>
      <c r="F290" s="646" t="s">
        <v>1</v>
      </c>
      <c r="G290" s="646"/>
      <c r="H290" s="646" t="s">
        <v>2</v>
      </c>
      <c r="I290" s="646"/>
      <c r="J290" s="646" t="s">
        <v>3</v>
      </c>
      <c r="K290" s="646"/>
      <c r="L290" s="646" t="s">
        <v>4</v>
      </c>
      <c r="M290" s="646"/>
      <c r="N290" s="646" t="s">
        <v>5</v>
      </c>
      <c r="O290" s="646"/>
      <c r="P290" s="646" t="s">
        <v>6</v>
      </c>
      <c r="Q290" s="646"/>
      <c r="R290" s="646" t="s">
        <v>7</v>
      </c>
      <c r="S290" s="646"/>
      <c r="T290" s="646" t="s">
        <v>8</v>
      </c>
      <c r="U290" s="646"/>
      <c r="V290" s="646" t="s">
        <v>23</v>
      </c>
      <c r="W290" s="646"/>
      <c r="X290" s="646" t="s">
        <v>24</v>
      </c>
      <c r="Y290" s="646"/>
      <c r="Z290" s="646" t="s">
        <v>9</v>
      </c>
      <c r="AA290" s="646"/>
      <c r="AB290" s="594" t="s">
        <v>19</v>
      </c>
      <c r="AC290" s="673" t="s">
        <v>381</v>
      </c>
      <c r="AD290" s="585" t="s">
        <v>387</v>
      </c>
      <c r="AE290" s="581" t="s">
        <v>388</v>
      </c>
      <c r="AF290" s="576" t="s">
        <v>388</v>
      </c>
      <c r="AG290" s="439">
        <v>289</v>
      </c>
    </row>
    <row r="291" spans="1:34" ht="27" customHeight="1" thickBot="1" x14ac:dyDescent="0.9">
      <c r="A291" s="589"/>
      <c r="B291" s="612"/>
      <c r="C291" s="667"/>
      <c r="D291" s="30" t="s">
        <v>10</v>
      </c>
      <c r="E291" s="30" t="s">
        <v>11</v>
      </c>
      <c r="F291" s="30" t="s">
        <v>10</v>
      </c>
      <c r="G291" s="30" t="s">
        <v>11</v>
      </c>
      <c r="H291" s="30" t="s">
        <v>10</v>
      </c>
      <c r="I291" s="30" t="s">
        <v>11</v>
      </c>
      <c r="J291" s="30" t="s">
        <v>10</v>
      </c>
      <c r="K291" s="30" t="s">
        <v>11</v>
      </c>
      <c r="L291" s="30" t="s">
        <v>10</v>
      </c>
      <c r="M291" s="30" t="s">
        <v>11</v>
      </c>
      <c r="N291" s="30" t="s">
        <v>10</v>
      </c>
      <c r="O291" s="30" t="s">
        <v>11</v>
      </c>
      <c r="P291" s="30" t="s">
        <v>10</v>
      </c>
      <c r="Q291" s="30" t="s">
        <v>11</v>
      </c>
      <c r="R291" s="30" t="s">
        <v>10</v>
      </c>
      <c r="S291" s="30" t="s">
        <v>11</v>
      </c>
      <c r="T291" s="30" t="s">
        <v>10</v>
      </c>
      <c r="U291" s="30" t="s">
        <v>11</v>
      </c>
      <c r="V291" s="30" t="s">
        <v>10</v>
      </c>
      <c r="W291" s="30" t="s">
        <v>11</v>
      </c>
      <c r="X291" s="30" t="s">
        <v>10</v>
      </c>
      <c r="Y291" s="30" t="s">
        <v>11</v>
      </c>
      <c r="Z291" s="30" t="s">
        <v>10</v>
      </c>
      <c r="AA291" s="30" t="s">
        <v>11</v>
      </c>
      <c r="AB291" s="595"/>
      <c r="AC291" s="674"/>
      <c r="AD291" s="584"/>
      <c r="AE291" s="582"/>
      <c r="AF291" s="577"/>
      <c r="AG291" s="439">
        <v>290</v>
      </c>
    </row>
    <row r="292" spans="1:34" x14ac:dyDescent="0.85">
      <c r="A292" s="573" t="s">
        <v>390</v>
      </c>
      <c r="B292" s="283" t="s">
        <v>396</v>
      </c>
      <c r="C292" s="187" t="s">
        <v>397</v>
      </c>
      <c r="D292" s="183"/>
      <c r="E292" s="76"/>
      <c r="F292" s="76"/>
      <c r="G292" s="76"/>
      <c r="H292" s="76"/>
      <c r="I292" s="76"/>
      <c r="J292" s="76"/>
      <c r="K292" s="76"/>
      <c r="L292" s="76"/>
      <c r="M292" s="76"/>
      <c r="N292" s="76"/>
      <c r="O292" s="76"/>
      <c r="P292" s="76"/>
      <c r="Q292" s="76"/>
      <c r="R292" s="76"/>
      <c r="S292" s="76"/>
      <c r="T292" s="76"/>
      <c r="U292" s="76"/>
      <c r="V292" s="76"/>
      <c r="W292" s="76"/>
      <c r="X292" s="76"/>
      <c r="Y292" s="76"/>
      <c r="Z292" s="76"/>
      <c r="AA292" s="76"/>
      <c r="AB292" s="36">
        <f t="shared" ref="AB292:AB302" si="114">SUM(D292:AA292)</f>
        <v>0</v>
      </c>
      <c r="AC292" s="196"/>
      <c r="AD292" s="692" t="str">
        <f>CONCATENATE(AC298,AC301,AC303,AC304,AC305,AC306,AC307,AC308,AC309,AC310)</f>
        <v/>
      </c>
      <c r="AE292" s="86"/>
      <c r="AF292" s="698" t="str">
        <f>CONCATENATE(AE298,AE301,AE303,AE304,AE305,AE306,AE307,AE308,AE309,AE310)</f>
        <v/>
      </c>
      <c r="AG292" s="439">
        <v>291</v>
      </c>
    </row>
    <row r="293" spans="1:34" x14ac:dyDescent="0.85">
      <c r="A293" s="574"/>
      <c r="B293" s="275" t="s">
        <v>391</v>
      </c>
      <c r="C293" s="137" t="s">
        <v>398</v>
      </c>
      <c r="D293" s="184"/>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37">
        <f t="shared" si="114"/>
        <v>0</v>
      </c>
      <c r="AC293" s="196"/>
      <c r="AD293" s="693"/>
      <c r="AE293" s="86"/>
      <c r="AF293" s="699"/>
      <c r="AG293" s="439">
        <v>292</v>
      </c>
    </row>
    <row r="294" spans="1:34" x14ac:dyDescent="0.85">
      <c r="A294" s="574"/>
      <c r="B294" s="275" t="s">
        <v>392</v>
      </c>
      <c r="C294" s="137" t="s">
        <v>399</v>
      </c>
      <c r="D294" s="184"/>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37">
        <f t="shared" si="114"/>
        <v>0</v>
      </c>
      <c r="AC294" s="196"/>
      <c r="AD294" s="693"/>
      <c r="AE294" s="86"/>
      <c r="AF294" s="699"/>
      <c r="AG294" s="439">
        <v>293</v>
      </c>
    </row>
    <row r="295" spans="1:34" x14ac:dyDescent="0.85">
      <c r="A295" s="574"/>
      <c r="B295" s="275" t="s">
        <v>393</v>
      </c>
      <c r="C295" s="137" t="s">
        <v>400</v>
      </c>
      <c r="D295" s="184"/>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37">
        <f t="shared" si="114"/>
        <v>0</v>
      </c>
      <c r="AC295" s="196"/>
      <c r="AD295" s="693"/>
      <c r="AE295" s="86"/>
      <c r="AF295" s="699"/>
      <c r="AG295" s="439">
        <v>294</v>
      </c>
    </row>
    <row r="296" spans="1:34" x14ac:dyDescent="0.85">
      <c r="A296" s="574"/>
      <c r="B296" s="275" t="s">
        <v>394</v>
      </c>
      <c r="C296" s="137" t="s">
        <v>401</v>
      </c>
      <c r="D296" s="184"/>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37">
        <f t="shared" si="114"/>
        <v>0</v>
      </c>
      <c r="AC296" s="196"/>
      <c r="AD296" s="693"/>
      <c r="AE296" s="86"/>
      <c r="AF296" s="699"/>
      <c r="AG296" s="439">
        <v>295</v>
      </c>
    </row>
    <row r="297" spans="1:34" ht="31.3" thickBot="1" x14ac:dyDescent="0.9">
      <c r="A297" s="575"/>
      <c r="B297" s="281" t="s">
        <v>395</v>
      </c>
      <c r="C297" s="188" t="s">
        <v>402</v>
      </c>
      <c r="D297" s="185"/>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40">
        <f t="shared" si="114"/>
        <v>0</v>
      </c>
      <c r="AC297" s="196"/>
      <c r="AD297" s="693"/>
      <c r="AE297" s="86"/>
      <c r="AF297" s="699"/>
      <c r="AG297" s="439">
        <v>296</v>
      </c>
    </row>
    <row r="298" spans="1:34" x14ac:dyDescent="0.85">
      <c r="A298" s="565" t="s">
        <v>27</v>
      </c>
      <c r="B298" s="283" t="s">
        <v>722</v>
      </c>
      <c r="C298" s="134" t="s">
        <v>305</v>
      </c>
      <c r="D298" s="171"/>
      <c r="E298" s="35"/>
      <c r="F298" s="35"/>
      <c r="G298" s="35"/>
      <c r="H298" s="35"/>
      <c r="I298" s="35"/>
      <c r="J298" s="35"/>
      <c r="K298" s="35"/>
      <c r="L298" s="35"/>
      <c r="M298" s="35"/>
      <c r="N298" s="35"/>
      <c r="O298" s="35"/>
      <c r="P298" s="35"/>
      <c r="Q298" s="35"/>
      <c r="R298" s="35"/>
      <c r="S298" s="35"/>
      <c r="T298" s="35"/>
      <c r="U298" s="35"/>
      <c r="V298" s="35"/>
      <c r="W298" s="35"/>
      <c r="X298" s="35"/>
      <c r="Y298" s="35"/>
      <c r="Z298" s="35"/>
      <c r="AA298" s="35"/>
      <c r="AB298" s="36">
        <f t="shared" si="114"/>
        <v>0</v>
      </c>
      <c r="AC298" s="85" t="str">
        <f>CONCATENATE(IF(D298&lt;SUM(D304,D305,D306,D307,D308,D309,D310)," * Total Died  for Age "&amp;D20&amp;" "&amp;D21&amp;" is less than sum of Total Causes of Death F08-05 to F08-11"&amp;CHAR(10),""),IF(E298&lt;SUM(E304,E305,E306,E307,E308,E309,E310)," * Total Died  for Age "&amp;D20&amp;" "&amp;E21&amp;" is less than sum of Total Causes of Death F08-05 to F08-11"&amp;CHAR(10),""),IF(F298&lt;SUM(F304,F305,F306,F307,F308,F309,F310)," * Total Died  for Age "&amp;F20&amp;" "&amp;F21&amp;" is less than sum of Total Causes of Death F08-05 to F08-11"&amp;CHAR(10),""),IF(G298&lt;SUM(G304,G305,G306,G307,G308,G309,G310)," * Total Died  for Age "&amp;F20&amp;" "&amp;G21&amp;" is less than sum of Total Causes of Death F08-05 to F08-11"&amp;CHAR(10),""),IF(H298&lt;SUM(H304,H305,H306,H307,H308,H309,H310)," * Total Died  for Age "&amp;H20&amp;" "&amp;H21&amp;" is less than sum of Total Causes of Death F08-05 to F08-11"&amp;CHAR(10),""),IF(I298&lt;SUM(I304,I305,I306,I307,I308,I309,I310)," * Total Died  for Age "&amp;H20&amp;" "&amp;I21&amp;" is less than sum of Total Causes of Death F08-05 to F08-11"&amp;CHAR(10),""),IF(J298&lt;SUM(J304,J305,J306,J307,J308,J309,J310)," * Total Died  for Age "&amp;J20&amp;" "&amp;J21&amp;" is less than sum of Total Causes of Death F08-05 to F08-11"&amp;CHAR(10),""),IF(K298&lt;SUM(K304,K305,K306,K307,K308,K309,K310)," * Total Died  for Age "&amp;J20&amp;" "&amp;K21&amp;" is less than sum of Total Causes of Death F08-05 to F08-11"&amp;CHAR(10),""),IF(L298&lt;SUM(L304,L305,L306,L307,L308,L309,L310)," * Total Died  for Age "&amp;L20&amp;" "&amp;L21&amp;" is less than sum of Total Causes of Death F08-05 to F08-11"&amp;CHAR(10),""),IF(M298&lt;SUM(M304,M305,M306,M307,M308,M309,M310)," * Total Died  for Age "&amp;L20&amp;" "&amp;M21&amp;" is less than sum of Total Causes of Death F08-05 to F08-11"&amp;CHAR(10),""),IF(N298&lt;SUM(N304,N305,N306,N307,N308,N309,N310)," * Total Died  for Age "&amp;N20&amp;" "&amp;N21&amp;" is less than sum of Total Causes of Death F08-05 to F08-11"&amp;CHAR(10),""),IF(O298&lt;SUM(O304,O305,O306,O307,O308,O309,O310)," * Total Died  for Age "&amp;N20&amp;" "&amp;O21&amp;" is less than sum of Total Causes of Death F08-05 to F08-11"&amp;CHAR(10),""),IF(P298&lt;SUM(P304,P305,P306,P307,P308,P309,P310)," * Total Died  for Age "&amp;P20&amp;" "&amp;P21&amp;" is less than sum of Total Causes of Death F08-05 to F08-11"&amp;CHAR(10),""),IF(Q298&lt;SUM(Q304,Q305,Q306,Q307,Q308,Q309,Q310)," * Total Died  for Age "&amp;P20&amp;" "&amp;Q21&amp;" is less than sum of Total Causes of Death F08-05 to F08-11"&amp;CHAR(10),""),IF(R298&lt;SUM(R304,R305,R306,R307,R308,R309,R310)," * Total Died  for Age "&amp;R20&amp;" "&amp;R21&amp;" is less than sum of Total Causes of Death F08-05 to F08-11"&amp;CHAR(10),""),IF(S298&lt;SUM(S304,S305,S306,S307,S308,S309,S310)," * Total Died  for Age "&amp;R20&amp;" "&amp;S21&amp;" is less than sum of Total Causes of Death F08-05 to F08-11"&amp;CHAR(10),""),IF(T298&lt;SUM(T304,T305,T306,T307,T308,T309,T310)," * Total Died  for Age "&amp;T20&amp;" "&amp;T21&amp;" is less than sum of Total Causes of Death F08-05 to F08-11"&amp;CHAR(10),""),IF(U298&lt;SUM(U304,U305,U306,U307,U308,U309,U310)," * Total Died  for Age "&amp;T20&amp;" "&amp;U21&amp;" is less than sum of Total Causes of Death F08-05 to F08-11"&amp;CHAR(10),""),IF(V298&lt;SUM(V304,V305,V306,V307,V308,V309,V310)," * Total Died  for Age "&amp;V20&amp;" "&amp;V21&amp;" is less than sum of Total Causes of Death F08-05 to F08-11"&amp;CHAR(10),""),IF(W298&lt;SUM(W304,W305,W306,W307,W308,W309,W310)," * Total Died  for Age "&amp;V20&amp;" "&amp;W21&amp;" is less than sum of Total Causes of Death F08-05 to F08-11"&amp;CHAR(10),""),IF(X298&lt;SUM(X304,X305,X306,X307,X308,X309,X310)," * Total Died  for Age "&amp;X20&amp;" "&amp;X21&amp;" is less than sum of Total Causes of Death F08-05 to F08-11"&amp;CHAR(10),""),IF(Y298&lt;SUM(Y304,Y305,Y306,Y307,Y308,Y309,Y310)," * Total Died  for Age "&amp;X20&amp;" "&amp;Y21&amp;" is less than sum of Total Causes of Death F08-05 to F08-11"&amp;CHAR(10),""),IF(Z298&lt;SUM(Z304,Z305,Z306,Z307,Z308,Z309,Z310)," * Total Died  for Age "&amp;Z20&amp;" "&amp;Z21&amp;" is less than sum of Total Causes of Death F08-05 to F08-11"&amp;CHAR(10),""),IF(AA298&lt;SUM(AA304,AA305,AA306,AA307,AA308,AA309,AA310)," * Total Died  for Age "&amp;Z20&amp;" "&amp;AA21&amp;" is less than sum of Total Causes of Death F08-05 to F08-11"&amp;CHAR(10),""))</f>
        <v/>
      </c>
      <c r="AD298" s="693"/>
      <c r="AE298" s="83"/>
      <c r="AF298" s="699"/>
      <c r="AG298" s="439">
        <v>297</v>
      </c>
    </row>
    <row r="299" spans="1:34" s="9" customFormat="1" ht="61.75" x14ac:dyDescent="0.85">
      <c r="A299" s="566"/>
      <c r="B299" s="275" t="s">
        <v>600</v>
      </c>
      <c r="C299" s="135" t="s">
        <v>450</v>
      </c>
      <c r="D299" s="172"/>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37">
        <f t="shared" si="114"/>
        <v>0</v>
      </c>
      <c r="AC299" s="85"/>
      <c r="AD299" s="693"/>
      <c r="AE299" s="84"/>
      <c r="AF299" s="699"/>
      <c r="AG299" s="439">
        <v>298</v>
      </c>
      <c r="AH299" s="334"/>
    </row>
    <row r="300" spans="1:34" x14ac:dyDescent="0.85">
      <c r="A300" s="566"/>
      <c r="B300" s="275" t="s">
        <v>454</v>
      </c>
      <c r="C300" s="136" t="s">
        <v>451</v>
      </c>
      <c r="D300" s="172"/>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37">
        <f t="shared" si="114"/>
        <v>0</v>
      </c>
      <c r="AC300" s="85"/>
      <c r="AD300" s="693"/>
      <c r="AE300" s="83"/>
      <c r="AF300" s="699"/>
      <c r="AG300" s="439">
        <v>299</v>
      </c>
    </row>
    <row r="301" spans="1:34" x14ac:dyDescent="0.85">
      <c r="A301" s="566"/>
      <c r="B301" s="275" t="s">
        <v>723</v>
      </c>
      <c r="C301" s="136" t="s">
        <v>452</v>
      </c>
      <c r="D301" s="172"/>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37">
        <f t="shared" si="114"/>
        <v>0</v>
      </c>
      <c r="AC301" s="85"/>
      <c r="AD301" s="693"/>
      <c r="AE301" s="83"/>
      <c r="AF301" s="699"/>
      <c r="AG301" s="439">
        <v>300</v>
      </c>
    </row>
    <row r="302" spans="1:34" x14ac:dyDescent="0.85">
      <c r="A302" s="566"/>
      <c r="B302" s="275" t="s">
        <v>449</v>
      </c>
      <c r="C302" s="136" t="s">
        <v>453</v>
      </c>
      <c r="D302" s="172"/>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37">
        <f t="shared" si="114"/>
        <v>0</v>
      </c>
      <c r="AC302" s="85"/>
      <c r="AD302" s="693"/>
      <c r="AE302" s="83"/>
      <c r="AF302" s="699"/>
      <c r="AG302" s="439">
        <v>301</v>
      </c>
    </row>
    <row r="303" spans="1:34" ht="32.15" thickBot="1" x14ac:dyDescent="0.9">
      <c r="A303" s="567"/>
      <c r="B303" s="324" t="s">
        <v>461</v>
      </c>
      <c r="C303" s="189" t="s">
        <v>307</v>
      </c>
      <c r="D303" s="186">
        <f>SUM(D298:D302)</f>
        <v>0</v>
      </c>
      <c r="E303" s="78">
        <f t="shared" ref="E303:AB303" si="115">SUM(E298:E302)</f>
        <v>0</v>
      </c>
      <c r="F303" s="78">
        <f t="shared" si="115"/>
        <v>0</v>
      </c>
      <c r="G303" s="78">
        <f t="shared" si="115"/>
        <v>0</v>
      </c>
      <c r="H303" s="78">
        <f t="shared" si="115"/>
        <v>0</v>
      </c>
      <c r="I303" s="78">
        <f t="shared" si="115"/>
        <v>0</v>
      </c>
      <c r="J303" s="78">
        <f t="shared" si="115"/>
        <v>0</v>
      </c>
      <c r="K303" s="78">
        <f t="shared" si="115"/>
        <v>0</v>
      </c>
      <c r="L303" s="78">
        <f t="shared" si="115"/>
        <v>0</v>
      </c>
      <c r="M303" s="78">
        <f t="shared" si="115"/>
        <v>0</v>
      </c>
      <c r="N303" s="78">
        <f t="shared" si="115"/>
        <v>0</v>
      </c>
      <c r="O303" s="78">
        <f t="shared" si="115"/>
        <v>0</v>
      </c>
      <c r="P303" s="78">
        <f t="shared" si="115"/>
        <v>0</v>
      </c>
      <c r="Q303" s="78">
        <f t="shared" si="115"/>
        <v>0</v>
      </c>
      <c r="R303" s="78">
        <f t="shared" si="115"/>
        <v>0</v>
      </c>
      <c r="S303" s="78">
        <f t="shared" si="115"/>
        <v>0</v>
      </c>
      <c r="T303" s="78">
        <f t="shared" si="115"/>
        <v>0</v>
      </c>
      <c r="U303" s="78">
        <f t="shared" si="115"/>
        <v>0</v>
      </c>
      <c r="V303" s="78">
        <f t="shared" si="115"/>
        <v>0</v>
      </c>
      <c r="W303" s="78">
        <f t="shared" si="115"/>
        <v>0</v>
      </c>
      <c r="X303" s="78">
        <f t="shared" si="115"/>
        <v>0</v>
      </c>
      <c r="Y303" s="78">
        <f t="shared" si="115"/>
        <v>0</v>
      </c>
      <c r="Z303" s="78">
        <f t="shared" si="115"/>
        <v>0</v>
      </c>
      <c r="AA303" s="78">
        <f t="shared" si="115"/>
        <v>0</v>
      </c>
      <c r="AB303" s="79">
        <f t="shared" si="115"/>
        <v>0</v>
      </c>
      <c r="AC303" s="85"/>
      <c r="AD303" s="693"/>
      <c r="AE303" s="83"/>
      <c r="AF303" s="699"/>
      <c r="AG303" s="439">
        <v>302</v>
      </c>
    </row>
    <row r="304" spans="1:34" x14ac:dyDescent="0.85">
      <c r="A304" s="565" t="s">
        <v>1032</v>
      </c>
      <c r="B304" s="283" t="s">
        <v>317</v>
      </c>
      <c r="C304" s="134" t="s">
        <v>308</v>
      </c>
      <c r="D304" s="171"/>
      <c r="E304" s="35"/>
      <c r="F304" s="35"/>
      <c r="G304" s="35"/>
      <c r="H304" s="35"/>
      <c r="I304" s="35"/>
      <c r="J304" s="35"/>
      <c r="K304" s="35"/>
      <c r="L304" s="35"/>
      <c r="M304" s="35"/>
      <c r="N304" s="35"/>
      <c r="O304" s="35"/>
      <c r="P304" s="35"/>
      <c r="Q304" s="35"/>
      <c r="R304" s="35"/>
      <c r="S304" s="35"/>
      <c r="T304" s="35"/>
      <c r="U304" s="35"/>
      <c r="V304" s="35"/>
      <c r="W304" s="35"/>
      <c r="X304" s="35"/>
      <c r="Y304" s="35"/>
      <c r="Z304" s="35"/>
      <c r="AA304" s="35"/>
      <c r="AB304" s="36">
        <f t="shared" ref="AB304:AB310" si="116">SUM(D304:AA304)</f>
        <v>0</v>
      </c>
      <c r="AC304" s="85"/>
      <c r="AD304" s="693"/>
      <c r="AE304" s="83"/>
      <c r="AF304" s="699"/>
      <c r="AG304" s="439">
        <v>303</v>
      </c>
    </row>
    <row r="305" spans="1:34" x14ac:dyDescent="0.85">
      <c r="A305" s="566"/>
      <c r="B305" s="275" t="s">
        <v>553</v>
      </c>
      <c r="C305" s="136" t="s">
        <v>309</v>
      </c>
      <c r="D305" s="172"/>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37">
        <f t="shared" si="116"/>
        <v>0</v>
      </c>
      <c r="AC305" s="85"/>
      <c r="AD305" s="693"/>
      <c r="AE305" s="83"/>
      <c r="AF305" s="699"/>
      <c r="AG305" s="439">
        <v>304</v>
      </c>
    </row>
    <row r="306" spans="1:34" x14ac:dyDescent="0.85">
      <c r="A306" s="566"/>
      <c r="B306" s="275" t="s">
        <v>724</v>
      </c>
      <c r="C306" s="136" t="s">
        <v>310</v>
      </c>
      <c r="D306" s="172"/>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37">
        <f t="shared" si="116"/>
        <v>0</v>
      </c>
      <c r="AC306" s="85"/>
      <c r="AD306" s="693"/>
      <c r="AE306" s="83"/>
      <c r="AF306" s="699"/>
      <c r="AG306" s="439">
        <v>305</v>
      </c>
    </row>
    <row r="307" spans="1:34" s="9" customFormat="1" ht="61.75" x14ac:dyDescent="0.85">
      <c r="A307" s="566"/>
      <c r="B307" s="275" t="s">
        <v>318</v>
      </c>
      <c r="C307" s="135" t="s">
        <v>311</v>
      </c>
      <c r="D307" s="172"/>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37">
        <f t="shared" si="116"/>
        <v>0</v>
      </c>
      <c r="AC307" s="85"/>
      <c r="AD307" s="693"/>
      <c r="AE307" s="84"/>
      <c r="AF307" s="699"/>
      <c r="AG307" s="439">
        <v>306</v>
      </c>
      <c r="AH307" s="334"/>
    </row>
    <row r="308" spans="1:34" x14ac:dyDescent="0.85">
      <c r="A308" s="566"/>
      <c r="B308" s="275" t="s">
        <v>554</v>
      </c>
      <c r="C308" s="136" t="s">
        <v>312</v>
      </c>
      <c r="D308" s="172"/>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37">
        <f t="shared" si="116"/>
        <v>0</v>
      </c>
      <c r="AC308" s="85"/>
      <c r="AD308" s="693"/>
      <c r="AE308" s="83"/>
      <c r="AF308" s="699"/>
      <c r="AG308" s="439">
        <v>307</v>
      </c>
    </row>
    <row r="309" spans="1:34" x14ac:dyDescent="0.85">
      <c r="A309" s="566"/>
      <c r="B309" s="275" t="s">
        <v>319</v>
      </c>
      <c r="C309" s="136" t="s">
        <v>313</v>
      </c>
      <c r="D309" s="172"/>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37">
        <f t="shared" si="116"/>
        <v>0</v>
      </c>
      <c r="AC309" s="85"/>
      <c r="AD309" s="693"/>
      <c r="AE309" s="83"/>
      <c r="AF309" s="699"/>
      <c r="AG309" s="439">
        <v>308</v>
      </c>
    </row>
    <row r="310" spans="1:34" ht="31.3" thickBot="1" x14ac:dyDescent="0.9">
      <c r="A310" s="567"/>
      <c r="B310" s="281" t="s">
        <v>320</v>
      </c>
      <c r="C310" s="138" t="s">
        <v>314</v>
      </c>
      <c r="D310" s="151"/>
      <c r="E310" s="39"/>
      <c r="F310" s="39"/>
      <c r="G310" s="39"/>
      <c r="H310" s="39"/>
      <c r="I310" s="39"/>
      <c r="J310" s="39"/>
      <c r="K310" s="39"/>
      <c r="L310" s="39"/>
      <c r="M310" s="39"/>
      <c r="N310" s="39"/>
      <c r="O310" s="39"/>
      <c r="P310" s="39"/>
      <c r="Q310" s="39"/>
      <c r="R310" s="39"/>
      <c r="S310" s="39"/>
      <c r="T310" s="39"/>
      <c r="U310" s="39"/>
      <c r="V310" s="39"/>
      <c r="W310" s="39"/>
      <c r="X310" s="39"/>
      <c r="Y310" s="39"/>
      <c r="Z310" s="39"/>
      <c r="AA310" s="39"/>
      <c r="AB310" s="40">
        <f t="shared" si="116"/>
        <v>0</v>
      </c>
      <c r="AC310" s="85"/>
      <c r="AD310" s="694"/>
      <c r="AE310" s="83"/>
      <c r="AF310" s="700"/>
      <c r="AG310" s="439">
        <v>309</v>
      </c>
    </row>
    <row r="311" spans="1:34" ht="35.15" thickBot="1" x14ac:dyDescent="0.9">
      <c r="A311" s="559" t="s">
        <v>582</v>
      </c>
      <c r="B311" s="559"/>
      <c r="C311" s="559"/>
      <c r="D311" s="559"/>
      <c r="E311" s="559"/>
      <c r="F311" s="559"/>
      <c r="G311" s="559"/>
      <c r="H311" s="559"/>
      <c r="I311" s="559"/>
      <c r="J311" s="559"/>
      <c r="K311" s="559"/>
      <c r="L311" s="559"/>
      <c r="M311" s="559"/>
      <c r="N311" s="559"/>
      <c r="O311" s="559"/>
      <c r="P311" s="559"/>
      <c r="Q311" s="559"/>
      <c r="R311" s="559"/>
      <c r="S311" s="559"/>
      <c r="T311" s="559"/>
      <c r="U311" s="559"/>
      <c r="V311" s="559"/>
      <c r="W311" s="559"/>
      <c r="X311" s="559"/>
      <c r="Y311" s="559"/>
      <c r="Z311" s="559"/>
      <c r="AA311" s="559"/>
      <c r="AB311" s="559"/>
      <c r="AC311" s="560"/>
      <c r="AD311" s="559"/>
      <c r="AE311" s="560"/>
      <c r="AF311" s="561"/>
      <c r="AG311" s="439">
        <v>310</v>
      </c>
    </row>
    <row r="312" spans="1:34" ht="30.75" customHeight="1" x14ac:dyDescent="0.85">
      <c r="A312" s="562" t="s">
        <v>525</v>
      </c>
      <c r="B312" s="283" t="s">
        <v>526</v>
      </c>
      <c r="C312" s="129" t="s">
        <v>529</v>
      </c>
      <c r="D312" s="190"/>
      <c r="E312" s="80"/>
      <c r="F312" s="35"/>
      <c r="G312" s="35"/>
      <c r="H312" s="35"/>
      <c r="I312" s="35"/>
      <c r="J312" s="35"/>
      <c r="K312" s="35"/>
      <c r="L312" s="35"/>
      <c r="M312" s="35"/>
      <c r="N312" s="35"/>
      <c r="O312" s="35"/>
      <c r="P312" s="35"/>
      <c r="Q312" s="35"/>
      <c r="R312" s="35"/>
      <c r="S312" s="35"/>
      <c r="T312" s="35"/>
      <c r="U312" s="35"/>
      <c r="V312" s="35"/>
      <c r="W312" s="35"/>
      <c r="X312" s="35"/>
      <c r="Y312" s="35"/>
      <c r="Z312" s="35"/>
      <c r="AA312" s="35"/>
      <c r="AB312" s="36">
        <f t="shared" ref="AB312" si="117">SUM(D312:AA312)</f>
        <v>0</v>
      </c>
      <c r="AC312" s="82" t="str">
        <f>CONCATENATE(IF(D313&gt;D312," * TB Cases with Known HIV Positive status "&amp;$D$20&amp;" "&amp;$D$21&amp;" is more than Total TB Cases New and relapsed"&amp;CHAR(10),""),IF(E313&gt;E312," * TB Cases with Known HIV Positive status "&amp;$D$20&amp;" "&amp;$E$21&amp;" is more than Total TB Cases New and relapsed"&amp;CHAR(10),""),IF(F313&gt;F312," * TB Cases with Known HIV Positive status "&amp;$F$20&amp;" "&amp;$F$21&amp;" is more than Total TB Cases New and relapsed"&amp;CHAR(10),""),IF(G313&gt;G312," * TB Cases with Known HIV Positive status "&amp;$F$20&amp;" "&amp;$G$21&amp;" is more than Total TB Cases New and relapsed"&amp;CHAR(10),""),IF(H313&gt;H312," * TB Cases with Known HIV Positive status "&amp;$H$20&amp;" "&amp;$H$21&amp;" is more than Total TB Cases New and relapsed"&amp;CHAR(10),""),IF(I313&gt;I312," * TB Cases with Known HIV Positive status "&amp;$H$20&amp;" "&amp;$I$21&amp;" is more than Total TB Cases New and relapsed"&amp;CHAR(10),""),IF(J313&gt;J312," * TB Cases with Known HIV Positive status "&amp;$J$20&amp;" "&amp;$J$21&amp;" is more than Total TB Cases New and relapsed"&amp;CHAR(10),""),IF(K313&gt;K312," * TB Cases with Known HIV Positive status "&amp;$J$20&amp;" "&amp;$K$21&amp;" is more than Total TB Cases New and relapsed"&amp;CHAR(10),""),IF(L313&gt;L312," * TB Cases with Known HIV Positive status "&amp;$L$20&amp;" "&amp;$L$21&amp;" is more than Total TB Cases New and relapsed"&amp;CHAR(10),""),IF(M313&gt;M312," * TB Cases with Known HIV Positive status "&amp;$L$20&amp;" "&amp;$M$21&amp;" is more than Total TB Cases New and relapsed"&amp;CHAR(10),""),IF(N313&gt;N312," * TB Cases with Known HIV Positive status "&amp;$N$20&amp;" "&amp;$N$21&amp;" is more than Total TB Cases New and relapsed"&amp;CHAR(10),""),IF(O313&gt;O312," * TB Cases with Known HIV Positive status "&amp;$N$20&amp;" "&amp;$O$21&amp;" is more than Total TB Cases New and relapsed"&amp;CHAR(10),""),IF(P313&gt;P312," * TB Cases with Known HIV Positive status "&amp;$P$20&amp;" "&amp;$P$21&amp;" is more than Total TB Cases New and relapsed"&amp;CHAR(10),""),IF(Q313&gt;Q312," * TB Cases with Known HIV Positive status "&amp;$P$20&amp;" "&amp;$Q$21&amp;" is more than Total TB Cases New and relapsed"&amp;CHAR(10),""),IF(R313&gt;R312," * TB Cases with Known HIV Positive status "&amp;$R$20&amp;" "&amp;$R$21&amp;" is more than Total TB Cases New and relapsed"&amp;CHAR(10),""),IF(S313&gt;S312," * TB Cases with Known HIV Positive status "&amp;$R$20&amp;" "&amp;$S$21&amp;" is more than Total TB Cases New and relapsed"&amp;CHAR(10),""),IF(T313&gt;T312," * TB Cases with Known HIV Positive status "&amp;$T$20&amp;" "&amp;$T$21&amp;" is more than Total TB Cases New and relapsed"&amp;CHAR(10),""),IF(U313&gt;U312," * TB Cases with Known HIV Positive status "&amp;$T$20&amp;" "&amp;$U$21&amp;" is more than Total TB Cases New and relapsed"&amp;CHAR(10),""),IF(V313&gt;V312," * TB Cases with Known HIV Positive status "&amp;$V$20&amp;" "&amp;$V$21&amp;" is more than Total TB Cases New and relapsed"&amp;CHAR(10),""),IF(W313&gt;W312," * TB Cases with Known HIV Positive status "&amp;$V$20&amp;" "&amp;$W$21&amp;" is more than Total TB Cases New and relapsed"&amp;CHAR(10),""),IF(X313&gt;X312," * TB Cases with Known HIV Positive status "&amp;$X$20&amp;" "&amp;$X$21&amp;" is more than Total TB Cases New and relapsed"&amp;CHAR(10),""),IF(Y313&gt;Y312," * TB Cases with Known HIV Positive status "&amp;$X$20&amp;" "&amp;$Y$21&amp;" is more than Total TB Cases New and relapsed"&amp;CHAR(10),""),IF(Z313&gt;Z312," * TB Cases with Known HIV Positive status "&amp;$Z$20&amp;" "&amp;$Z$21&amp;" is more than Total TB Cases New and relapsed"&amp;CHAR(10),""),IF(AA313&gt;AA312," * TB Cases with Known HIV Positive status "&amp;$Z$20&amp;" "&amp;$AA$21&amp;" is more than Total TB Cases New and relapsed"&amp;CHAR(10),""))</f>
        <v/>
      </c>
      <c r="AD312" s="692" t="str">
        <f>CONCATENATE(AC312,AC313,AC315,AC316,AC317,AC318,AC319,AC320,AC321)</f>
        <v/>
      </c>
      <c r="AE312" s="83"/>
      <c r="AF312" s="695" t="str">
        <f>CONCATENATE(AE312,AE313,AE314,AE315,AE316,AE317,AE318,AE319,AE320,AE321)</f>
        <v/>
      </c>
      <c r="AG312" s="438">
        <v>311</v>
      </c>
    </row>
    <row r="313" spans="1:34" s="7" customFormat="1" ht="61.75" x14ac:dyDescent="0.85">
      <c r="A313" s="563"/>
      <c r="B313" s="298" t="s">
        <v>552</v>
      </c>
      <c r="C313" s="146" t="s">
        <v>539</v>
      </c>
      <c r="D313" s="191"/>
      <c r="E313" s="22"/>
      <c r="F313" s="25"/>
      <c r="G313" s="233"/>
      <c r="H313" s="233"/>
      <c r="I313" s="233"/>
      <c r="J313" s="233"/>
      <c r="K313" s="233"/>
      <c r="L313" s="233"/>
      <c r="M313" s="233"/>
      <c r="N313" s="233"/>
      <c r="O313" s="233"/>
      <c r="P313" s="233"/>
      <c r="Q313" s="233"/>
      <c r="R313" s="233"/>
      <c r="S313" s="233"/>
      <c r="T313" s="233"/>
      <c r="U313" s="233"/>
      <c r="V313" s="233"/>
      <c r="W313" s="233"/>
      <c r="X313" s="233"/>
      <c r="Y313" s="233"/>
      <c r="Z313" s="233"/>
      <c r="AA313" s="233"/>
      <c r="AB313" s="37">
        <f t="shared" ref="AB313:AB321" si="118">SUM(D313:AA313)</f>
        <v>0</v>
      </c>
      <c r="AC313" s="94"/>
      <c r="AD313" s="693"/>
      <c r="AE313" s="83"/>
      <c r="AF313" s="696"/>
      <c r="AG313" s="438">
        <v>312</v>
      </c>
      <c r="AH313" s="333"/>
    </row>
    <row r="314" spans="1:34" s="7" customFormat="1" ht="31.75" x14ac:dyDescent="0.85">
      <c r="A314" s="563"/>
      <c r="B314" s="449" t="s">
        <v>527</v>
      </c>
      <c r="C314" s="146" t="s">
        <v>540</v>
      </c>
      <c r="D314" s="191"/>
      <c r="E314" s="22"/>
      <c r="F314" s="29">
        <f t="shared" ref="F314:AA314" si="119">F312-F313</f>
        <v>0</v>
      </c>
      <c r="G314" s="29">
        <f t="shared" si="119"/>
        <v>0</v>
      </c>
      <c r="H314" s="29">
        <f t="shared" si="119"/>
        <v>0</v>
      </c>
      <c r="I314" s="29">
        <f t="shared" si="119"/>
        <v>0</v>
      </c>
      <c r="J314" s="29">
        <f t="shared" si="119"/>
        <v>0</v>
      </c>
      <c r="K314" s="29">
        <f t="shared" si="119"/>
        <v>0</v>
      </c>
      <c r="L314" s="29">
        <f t="shared" si="119"/>
        <v>0</v>
      </c>
      <c r="M314" s="29">
        <f t="shared" si="119"/>
        <v>0</v>
      </c>
      <c r="N314" s="29">
        <f t="shared" si="119"/>
        <v>0</v>
      </c>
      <c r="O314" s="29">
        <f t="shared" si="119"/>
        <v>0</v>
      </c>
      <c r="P314" s="29">
        <f t="shared" si="119"/>
        <v>0</v>
      </c>
      <c r="Q314" s="29">
        <f t="shared" si="119"/>
        <v>0</v>
      </c>
      <c r="R314" s="29">
        <f t="shared" si="119"/>
        <v>0</v>
      </c>
      <c r="S314" s="29">
        <f t="shared" si="119"/>
        <v>0</v>
      </c>
      <c r="T314" s="29">
        <f t="shared" si="119"/>
        <v>0</v>
      </c>
      <c r="U314" s="29">
        <f t="shared" si="119"/>
        <v>0</v>
      </c>
      <c r="V314" s="29">
        <f t="shared" si="119"/>
        <v>0</v>
      </c>
      <c r="W314" s="29">
        <f t="shared" si="119"/>
        <v>0</v>
      </c>
      <c r="X314" s="29">
        <f t="shared" si="119"/>
        <v>0</v>
      </c>
      <c r="Y314" s="29">
        <f t="shared" si="119"/>
        <v>0</v>
      </c>
      <c r="Z314" s="29">
        <f t="shared" si="119"/>
        <v>0</v>
      </c>
      <c r="AA314" s="29">
        <f t="shared" si="119"/>
        <v>0</v>
      </c>
      <c r="AB314" s="37">
        <f t="shared" si="118"/>
        <v>0</v>
      </c>
      <c r="AC314" s="94"/>
      <c r="AD314" s="693"/>
      <c r="AE314" s="83" t="str">
        <f>CONCATENATE(IF(D314&gt;D315," * TB Cases newly tested for HIV "&amp;$D$20&amp;" "&amp;$D$21&amp;" is less than TB Cases eligible for Testing"&amp;CHAR(10),""),IF(E314&gt;E315," * TB Cases newly tested for HIV "&amp;$D$20&amp;" "&amp;$E$21&amp;" is less than TB Cases eligible for Testing"&amp;CHAR(10),""),IF(F314&gt;F315," * TB Cases newly tested for HIV "&amp;$F$20&amp;" "&amp;$F$21&amp;" is less than TB Cases eligible for Testing"&amp;CHAR(10),""),IF(G314&gt;G315," * TB Cases newly tested for HIV "&amp;$F$20&amp;" "&amp;$G$21&amp;" is less than TB Cases eligible for Testing"&amp;CHAR(10),""),IF(H314&gt;H315," * TB Cases newly tested for HIV "&amp;$H$20&amp;" "&amp;$H$21&amp;" is less than TB Cases eligible for Testing"&amp;CHAR(10),""),IF(I314&gt;I315," * TB Cases newly tested for HIV "&amp;$H$20&amp;" "&amp;$I$21&amp;" is less than TB Cases eligible for Testing"&amp;CHAR(10),""),IF(J314&gt;J315," * TB Cases newly tested for HIV "&amp;$J$20&amp;" "&amp;$J$21&amp;" is less than TB Cases eligible for Testing"&amp;CHAR(10),""),IF(K314&gt;K315," * TB Cases newly tested for HIV "&amp;$J$20&amp;" "&amp;$K$21&amp;" is less than TB Cases eligible for Testing"&amp;CHAR(10),""),IF(L314&gt;L315," * TB Cases newly tested for HIV "&amp;$L$20&amp;" "&amp;$L$21&amp;" is less than TB Cases eligible for Testing"&amp;CHAR(10),""),IF(M314&gt;M315," * TB Cases newly tested for HIV "&amp;$L$20&amp;" "&amp;$M$21&amp;" is less than TB Cases eligible for Testing"&amp;CHAR(10),""),IF(N314&gt;N315," * TB Cases newly tested for HIV "&amp;$N$20&amp;" "&amp;$N$21&amp;" is less than TB Cases eligible for Testing"&amp;CHAR(10),""),IF(O314&gt;O315," * TB Cases newly tested for HIV "&amp;$N$20&amp;" "&amp;$O$21&amp;" is less than TB Cases eligible for Testing"&amp;CHAR(10),""),IF(P314&gt;P315," * TB Cases newly tested for HIV "&amp;$P$20&amp;" "&amp;$P$21&amp;" is less than TB Cases eligible for Testing"&amp;CHAR(10),""),IF(Q314&gt;Q315," * TB Cases newly tested for HIV "&amp;$P$20&amp;" "&amp;$Q$21&amp;" is less than TB Cases eligible for Testing"&amp;CHAR(10),""),IF(R314&gt;R315," * TB Cases newly tested for HIV "&amp;$R$20&amp;" "&amp;$R$21&amp;" is less than TB Cases eligible for Testing"&amp;CHAR(10),""),IF(S314&gt;S315," * TB Cases newly tested for HIV "&amp;$R$20&amp;" "&amp;$S$21&amp;" is less than TB Cases eligible for Testing"&amp;CHAR(10),""),IF(T314&gt;T315," * TB Cases newly tested for HIV "&amp;$T$20&amp;" "&amp;$T$21&amp;" is less than TB Cases eligible for Testing"&amp;CHAR(10),""),IF(U314&gt;U315," * TB Cases newly tested for HIV "&amp;$T$20&amp;" "&amp;$U$21&amp;" is less than TB Cases eligible for Testing"&amp;CHAR(10),""),IF(V314&gt;V315," * TB Cases newly tested for HIV "&amp;$V$20&amp;" "&amp;$V$21&amp;" is less than TB Cases eligible for Testing"&amp;CHAR(10),""),IF(W314&gt;W315," * TB Cases newly tested for HIV "&amp;$V$20&amp;" "&amp;$W$21&amp;" is less than TB Cases eligible for Testing"&amp;CHAR(10),""),IF(X314&gt;X315," * TB Cases newly tested for HIV "&amp;$X$20&amp;" "&amp;$X$21&amp;" is less than TB Cases eligible for Testing"&amp;CHAR(10),""),IF(Y314&gt;Y315," * TB Cases newly tested for HIV "&amp;$X$20&amp;" "&amp;$Y$21&amp;" is less than TB Cases eligible for Testing"&amp;CHAR(10),""),IF(Z314&gt;Z315," * TB Cases newly tested for HIV "&amp;$Z$20&amp;" "&amp;$Z$21&amp;" is less than TB Cases eligible for Testing"&amp;CHAR(10),""),IF(AA314&gt;AA315," * TB Cases newly tested for HIV "&amp;$Z$20&amp;" "&amp;$AA$21&amp;" is less than TB Cases eligible for Testing"&amp;CHAR(10),""))</f>
        <v/>
      </c>
      <c r="AF314" s="696"/>
      <c r="AG314" s="438">
        <v>313</v>
      </c>
      <c r="AH314" s="333"/>
    </row>
    <row r="315" spans="1:34" s="15" customFormat="1" x14ac:dyDescent="0.85">
      <c r="A315" s="563"/>
      <c r="B315" s="298" t="s">
        <v>549</v>
      </c>
      <c r="C315" s="130" t="s">
        <v>541</v>
      </c>
      <c r="D315" s="191"/>
      <c r="E315" s="22"/>
      <c r="F315" s="24"/>
      <c r="G315" s="24"/>
      <c r="H315" s="24"/>
      <c r="I315" s="24"/>
      <c r="J315" s="24"/>
      <c r="K315" s="24"/>
      <c r="L315" s="24"/>
      <c r="M315" s="24"/>
      <c r="N315" s="24"/>
      <c r="O315" s="24"/>
      <c r="P315" s="24"/>
      <c r="Q315" s="24"/>
      <c r="R315" s="24"/>
      <c r="S315" s="24"/>
      <c r="T315" s="24"/>
      <c r="U315" s="24"/>
      <c r="V315" s="24"/>
      <c r="W315" s="24"/>
      <c r="X315" s="24"/>
      <c r="Y315" s="24"/>
      <c r="Z315" s="24"/>
      <c r="AA315" s="24"/>
      <c r="AB315" s="37">
        <f t="shared" si="118"/>
        <v>0</v>
      </c>
      <c r="AC315" s="82" t="str">
        <f>CONCATENATE(IF(D312&lt;D315," * TB Cases newly tested for HIV "&amp;$D$20&amp;" "&amp;$D$21&amp;" is more than Total TB Cases New and relapsed"&amp;CHAR(10),""),IF(E312&lt;E315," * TB Cases newly tested for HIV "&amp;$D$20&amp;" "&amp;$E$21&amp;" is more than Total TB Cases New and relapsed"&amp;CHAR(10),""),IF(F312&lt;F315," * TB Cases newly tested for HIV "&amp;$F$20&amp;" "&amp;$F$21&amp;" is more than Total TB Cases New and relapsed"&amp;CHAR(10),""),IF(G312&lt;G315," * TB Cases newly tested for HIV "&amp;$F$20&amp;" "&amp;$G$21&amp;" is more than Total TB Cases New and relapsed"&amp;CHAR(10),""),IF(H312&lt;H315," * TB Cases newly tested for HIV "&amp;$H$20&amp;" "&amp;$H$21&amp;" is more than Total TB Cases New and relapsed"&amp;CHAR(10),""),IF(I312&lt;I315," * TB Cases newly tested for HIV "&amp;$H$20&amp;" "&amp;$I$21&amp;" is more than Total TB Cases New and relapsed"&amp;CHAR(10),""),IF(J312&lt;J315," * TB Cases newly tested for HIV "&amp;$J$20&amp;" "&amp;$J$21&amp;" is more than Total TB Cases New and relapsed"&amp;CHAR(10),""),IF(K312&lt;K315," * TB Cases newly tested for HIV "&amp;$J$20&amp;" "&amp;$K$21&amp;" is more than Total TB Cases New and relapsed"&amp;CHAR(10),""),IF(L312&lt;L315," * TB Cases newly tested for HIV "&amp;$L$20&amp;" "&amp;$L$21&amp;" is more than Total TB Cases New and relapsed"&amp;CHAR(10),""),IF(M312&lt;M315," * TB Cases newly tested for HIV "&amp;$L$20&amp;" "&amp;$M$21&amp;" is more than Total TB Cases New and relapsed"&amp;CHAR(10),""),IF(N312&lt;N315," * TB Cases newly tested for HIV "&amp;$N$20&amp;" "&amp;$N$21&amp;" is more than Total TB Cases New and relapsed"&amp;CHAR(10),""),IF(O312&lt;O315," * TB Cases newly tested for HIV "&amp;$N$20&amp;" "&amp;$O$21&amp;" is more than Total TB Cases New and relapsed"&amp;CHAR(10),""),IF(P312&lt;P315," * TB Cases newly tested for HIV "&amp;$P$20&amp;" "&amp;$P$21&amp;" is more than Total TB Cases New and relapsed"&amp;CHAR(10),""),IF(Q312&lt;Q315," * TB Cases newly tested for HIV "&amp;$P$20&amp;" "&amp;$Q$21&amp;" is more than Total TB Cases New and relapsed"&amp;CHAR(10),""),IF(R312&lt;R315," * TB Cases newly tested for HIV "&amp;$R$20&amp;" "&amp;$R$21&amp;" is more than Total TB Cases New and relapsed"&amp;CHAR(10),""),IF(S312&lt;S315," * TB Cases newly tested for HIV "&amp;$R$20&amp;" "&amp;$S$21&amp;" is more than Total TB Cases New and relapsed"&amp;CHAR(10),""),IF(T312&lt;T315," * TB Cases newly tested for HIV "&amp;$T$20&amp;" "&amp;$T$21&amp;" is more than Total TB Cases New and relapsed"&amp;CHAR(10),""),IF(U312&lt;U315," * TB Cases newly tested for HIV "&amp;$T$20&amp;" "&amp;$U$21&amp;" is more than Total TB Cases New and relapsed"&amp;CHAR(10),""),IF(V312&lt;V315," * TB Cases newly tested for HIV "&amp;$V$20&amp;" "&amp;$V$21&amp;" is more than Total TB Cases New and relapsed"&amp;CHAR(10),""),IF(W312&lt;W315," * TB Cases newly tested for HIV "&amp;$V$20&amp;" "&amp;$W$21&amp;" is more than Total TB Cases New and relapsed"&amp;CHAR(10),""),IF(X312&lt;X315," * TB Cases newly tested for HIV "&amp;$X$20&amp;" "&amp;$X$21&amp;" is more than Total TB Cases New and relapsed"&amp;CHAR(10),""),IF(Y312&lt;Y315," * TB Cases newly tested for HIV "&amp;$X$20&amp;" "&amp;$Y$21&amp;" is more than Total TB Cases New and relapsed"&amp;CHAR(10),""),IF(Z312&lt;Z315," * TB Cases newly tested for HIV "&amp;$Z$20&amp;" "&amp;$Z$21&amp;" is more than Total TB Cases New and relapsed"&amp;CHAR(10),""),IF(AA312&lt;AA315," * TB Cases newly tested for HIV "&amp;$Z$20&amp;" "&amp;$AA$21&amp;" is more than Total TB Cases New and relapsed"&amp;CHAR(10),""))</f>
        <v/>
      </c>
      <c r="AD315" s="693"/>
      <c r="AE315" s="84"/>
      <c r="AF315" s="696"/>
      <c r="AG315" s="438">
        <v>314</v>
      </c>
      <c r="AH315" s="334"/>
    </row>
    <row r="316" spans="1:34" s="7" customFormat="1" ht="31.75" x14ac:dyDescent="0.85">
      <c r="A316" s="563"/>
      <c r="B316" s="449" t="s">
        <v>528</v>
      </c>
      <c r="C316" s="146" t="s">
        <v>542</v>
      </c>
      <c r="D316" s="191"/>
      <c r="E316" s="22"/>
      <c r="F316" s="29">
        <f t="shared" ref="F316:AA316" si="120">F315+F313</f>
        <v>0</v>
      </c>
      <c r="G316" s="235">
        <f t="shared" si="120"/>
        <v>0</v>
      </c>
      <c r="H316" s="235">
        <f t="shared" si="120"/>
        <v>0</v>
      </c>
      <c r="I316" s="235">
        <f t="shared" si="120"/>
        <v>0</v>
      </c>
      <c r="J316" s="235">
        <f t="shared" si="120"/>
        <v>0</v>
      </c>
      <c r="K316" s="235">
        <f t="shared" si="120"/>
        <v>0</v>
      </c>
      <c r="L316" s="235">
        <f t="shared" si="120"/>
        <v>0</v>
      </c>
      <c r="M316" s="235">
        <f t="shared" si="120"/>
        <v>0</v>
      </c>
      <c r="N316" s="235">
        <f t="shared" si="120"/>
        <v>0</v>
      </c>
      <c r="O316" s="235">
        <f t="shared" si="120"/>
        <v>0</v>
      </c>
      <c r="P316" s="235">
        <f t="shared" si="120"/>
        <v>0</v>
      </c>
      <c r="Q316" s="235">
        <f t="shared" si="120"/>
        <v>0</v>
      </c>
      <c r="R316" s="235">
        <f t="shared" si="120"/>
        <v>0</v>
      </c>
      <c r="S316" s="235">
        <f t="shared" si="120"/>
        <v>0</v>
      </c>
      <c r="T316" s="235">
        <f t="shared" si="120"/>
        <v>0</v>
      </c>
      <c r="U316" s="235">
        <f t="shared" si="120"/>
        <v>0</v>
      </c>
      <c r="V316" s="235">
        <f t="shared" si="120"/>
        <v>0</v>
      </c>
      <c r="W316" s="235">
        <f t="shared" si="120"/>
        <v>0</v>
      </c>
      <c r="X316" s="235">
        <f t="shared" si="120"/>
        <v>0</v>
      </c>
      <c r="Y316" s="235">
        <f t="shared" si="120"/>
        <v>0</v>
      </c>
      <c r="Z316" s="235">
        <f t="shared" si="120"/>
        <v>0</v>
      </c>
      <c r="AA316" s="235">
        <f t="shared" si="120"/>
        <v>0</v>
      </c>
      <c r="AB316" s="37">
        <f t="shared" si="118"/>
        <v>0</v>
      </c>
      <c r="AC316" s="82" t="str">
        <f>CONCATENATE(IF(D312&lt;D316," * TB cases with documented HIV status "&amp;$D$20&amp;" "&amp;$D$21&amp;" is more than Total TB Cases New and relapsed"&amp;CHAR(10),""),IF(E312&lt;E316," * TB cases with documented HIV status "&amp;$D$20&amp;" "&amp;$E$21&amp;" is more than Total TB Cases New and relapsed"&amp;CHAR(10),""),IF(F312&lt;F316," * TB cases with documented HIV status "&amp;$F$20&amp;" "&amp;$F$21&amp;" is more than Total TB Cases New and relapsed"&amp;CHAR(10),""),IF(G312&lt;G316," * TB cases with documented HIV status "&amp;$F$20&amp;" "&amp;$G$21&amp;" is more than Total TB Cases New and relapsed"&amp;CHAR(10),""),IF(H312&lt;H316," * TB cases with documented HIV status "&amp;$H$20&amp;" "&amp;$H$21&amp;" is more than Total TB Cases New and relapsed"&amp;CHAR(10),""),IF(I312&lt;I316," * TB cases with documented HIV status "&amp;$H$20&amp;" "&amp;$I$21&amp;" is more than Total TB Cases New and relapsed"&amp;CHAR(10),""),IF(J312&lt;J316," * TB cases with documented HIV status "&amp;$J$20&amp;" "&amp;$J$21&amp;" is more than Total TB Cases New and relapsed"&amp;CHAR(10),""),IF(K312&lt;K316," * TB cases with documented HIV status "&amp;$J$20&amp;" "&amp;$K$21&amp;" is more than Total TB Cases New and relapsed"&amp;CHAR(10),""),IF(L312&lt;L316," * TB cases with documented HIV status "&amp;$L$20&amp;" "&amp;$L$21&amp;" is more than Total TB Cases New and relapsed"&amp;CHAR(10),""),IF(M312&lt;M316," * TB cases with documented HIV status "&amp;$L$20&amp;" "&amp;$M$21&amp;" is more than Total TB Cases New and relapsed"&amp;CHAR(10),""),IF(N312&lt;N316," * TB cases with documented HIV status "&amp;$N$20&amp;" "&amp;$N$21&amp;" is more than Total TB Cases New and relapsed"&amp;CHAR(10),""),IF(O312&lt;O316," * TB cases with documented HIV status "&amp;$N$20&amp;" "&amp;$O$21&amp;" is more than Total TB Cases New and relapsed"&amp;CHAR(10),""),IF(P312&lt;P316," * TB cases with documented HIV status "&amp;$P$20&amp;" "&amp;$P$21&amp;" is more than Total TB Cases New and relapsed"&amp;CHAR(10),""),IF(Q312&lt;Q316," * TB cases with documented HIV status "&amp;$P$20&amp;" "&amp;$Q$21&amp;" is more than Total TB Cases New and relapsed"&amp;CHAR(10),""),IF(R312&lt;R316," * TB cases with documented HIV status "&amp;$R$20&amp;" "&amp;$R$21&amp;" is more than Total TB Cases New and relapsed"&amp;CHAR(10),""),IF(S312&lt;S316," * TB cases with documented HIV status "&amp;$R$20&amp;" "&amp;$S$21&amp;" is more than Total TB Cases New and relapsed"&amp;CHAR(10),""),IF(T312&lt;T316," * TB cases with documented HIV status "&amp;$T$20&amp;" "&amp;$T$21&amp;" is more than Total TB Cases New and relapsed"&amp;CHAR(10),""),IF(U312&lt;U316," * TB cases with documented HIV status "&amp;$T$20&amp;" "&amp;$U$21&amp;" is more than Total TB Cases New and relapsed"&amp;CHAR(10),""),IF(V312&lt;V316," * TB cases with documented HIV status "&amp;$V$20&amp;" "&amp;$V$21&amp;" is more than Total TB Cases New and relapsed"&amp;CHAR(10),""),IF(W312&lt;W316," * TB cases with documented HIV status "&amp;$V$20&amp;" "&amp;$W$21&amp;" is more than Total TB Cases New and relapsed"&amp;CHAR(10),""),IF(X312&lt;X316," * TB cases with documented HIV status "&amp;$X$20&amp;" "&amp;$X$21&amp;" is more than Total TB Cases New and relapsed"&amp;CHAR(10),""),IF(Y312&lt;Y316," * TB cases with documented HIV status "&amp;$X$20&amp;" "&amp;$Y$21&amp;" is more than Total TB Cases New and relapsed"&amp;CHAR(10),""),IF(Z312&lt;Z316," * TB cases with documented HIV status "&amp;$Z$20&amp;" "&amp;$Z$21&amp;" is more than Total TB Cases New and relapsed"&amp;CHAR(10),""),IF(AA312&lt;AA316," * TB cases with documented HIV status "&amp;$Z$20&amp;" "&amp;$AA$21&amp;" is more than Total TB Cases New and relapsed"&amp;CHAR(10),""))</f>
        <v/>
      </c>
      <c r="AD316" s="693"/>
      <c r="AE316" s="83"/>
      <c r="AF316" s="696"/>
      <c r="AG316" s="438">
        <v>315</v>
      </c>
      <c r="AH316" s="333"/>
    </row>
    <row r="317" spans="1:34" x14ac:dyDescent="0.85">
      <c r="A317" s="563"/>
      <c r="B317" s="298" t="s">
        <v>551</v>
      </c>
      <c r="C317" s="146" t="s">
        <v>543</v>
      </c>
      <c r="D317" s="191"/>
      <c r="E317" s="22"/>
      <c r="F317" s="19"/>
      <c r="G317" s="19"/>
      <c r="H317" s="231"/>
      <c r="I317" s="231"/>
      <c r="J317" s="231"/>
      <c r="K317" s="231"/>
      <c r="L317" s="231"/>
      <c r="M317" s="231"/>
      <c r="N317" s="231"/>
      <c r="O317" s="231"/>
      <c r="P317" s="231"/>
      <c r="Q317" s="231"/>
      <c r="R317" s="231"/>
      <c r="S317" s="231"/>
      <c r="T317" s="231"/>
      <c r="U317" s="231"/>
      <c r="V317" s="231"/>
      <c r="W317" s="231"/>
      <c r="X317" s="231"/>
      <c r="Y317" s="231"/>
      <c r="Z317" s="231"/>
      <c r="AA317" s="231"/>
      <c r="AB317" s="37">
        <f t="shared" si="118"/>
        <v>0</v>
      </c>
      <c r="AC317" s="82" t="str">
        <f>CONCATENATE(IF(D315&lt;D317," * Newly Tested Positives "&amp;$D$20&amp;" "&amp;$D$21&amp;" is more than TB Cases newly tested for HIV"&amp;CHAR(10),""),IF(E315&lt;E317," * Newly Tested Positives "&amp;$D$20&amp;" "&amp;$E$21&amp;" is more than TB Cases newly tested for HIV"&amp;CHAR(10),""),IF(F315&lt;F317," * Newly Tested Positives "&amp;$F$20&amp;" "&amp;$F$21&amp;" is more than TB Cases newly tested for HIV"&amp;CHAR(10),""),IF(G315&lt;G317," * Newly Tested Positives "&amp;$F$20&amp;" "&amp;$G$21&amp;" is more than TB Cases newly tested for HIV"&amp;CHAR(10),""),IF(H315&lt;H317," * Newly Tested Positives "&amp;$H$20&amp;" "&amp;$H$21&amp;" is more than TB Cases newly tested for HIV"&amp;CHAR(10),""),IF(I315&lt;I317," * Newly Tested Positives "&amp;$H$20&amp;" "&amp;$I$21&amp;" is more than TB Cases newly tested for HIV"&amp;CHAR(10),""),IF(J315&lt;J317," * Newly Tested Positives "&amp;$J$20&amp;" "&amp;$J$21&amp;" is more than TB Cases newly tested for HIV"&amp;CHAR(10),""),IF(K315&lt;K317," * Newly Tested Positives "&amp;$J$20&amp;" "&amp;$K$21&amp;" is more than TB Cases newly tested for HIV"&amp;CHAR(10),""),IF(L315&lt;L317," * Newly Tested Positives "&amp;$L$20&amp;" "&amp;$L$21&amp;" is more than TB Cases newly tested for HIV"&amp;CHAR(10),""),IF(M315&lt;M317," * Newly Tested Positives "&amp;$L$20&amp;" "&amp;$M$21&amp;" is more than TB Cases newly tested for HIV"&amp;CHAR(10),""),IF(N315&lt;N317," * Newly Tested Positives "&amp;$N$20&amp;" "&amp;$N$21&amp;" is more than TB Cases newly tested for HIV"&amp;CHAR(10),""),IF(O315&lt;O317," * Newly Tested Positives "&amp;$N$20&amp;" "&amp;$O$21&amp;" is more than TB Cases newly tested for HIV"&amp;CHAR(10),""),IF(P315&lt;P317," * Newly Tested Positives "&amp;$P$20&amp;" "&amp;$P$21&amp;" is more than TB Cases newly tested for HIV"&amp;CHAR(10),""),IF(Q315&lt;Q317," * Newly Tested Positives "&amp;$P$20&amp;" "&amp;$Q$21&amp;" is more than TB Cases newly tested for HIV"&amp;CHAR(10),""),IF(R315&lt;R317," * Newly Tested Positives "&amp;$R$20&amp;" "&amp;$R$21&amp;" is more than TB Cases newly tested for HIV"&amp;CHAR(10),""),IF(S315&lt;S317," * Newly Tested Positives "&amp;$R$20&amp;" "&amp;$S$21&amp;" is more than TB Cases newly tested for HIV"&amp;CHAR(10),""),IF(T315&lt;T317," * Newly Tested Positives "&amp;$T$20&amp;" "&amp;$T$21&amp;" is more than TB Cases newly tested for HIV"&amp;CHAR(10),""),IF(U315&lt;U317," * Newly Tested Positives "&amp;$T$20&amp;" "&amp;$U$21&amp;" is more than TB Cases newly tested for HIV"&amp;CHAR(10),""),IF(V315&lt;V317," * Newly Tested Positives "&amp;$V$20&amp;" "&amp;$V$21&amp;" is more than TB Cases newly tested for HIV"&amp;CHAR(10),""),IF(W315&lt;W317," * Newly Tested Positives "&amp;$V$20&amp;" "&amp;$W$21&amp;" is more than TB Cases newly tested for HIV"&amp;CHAR(10),""),IF(X315&lt;X317," * Newly Tested Positives "&amp;$X$20&amp;" "&amp;$X$21&amp;" is more than TB Cases newly tested for HIV"&amp;CHAR(10),""),IF(Y315&lt;Y317," * Newly Tested Positives "&amp;$X$20&amp;" "&amp;$Y$21&amp;" is more than TB Cases newly tested for HIV"&amp;CHAR(10),""),IF(Z315&lt;Z317," * Newly Tested Positives "&amp;$Z$20&amp;" "&amp;$Z$21&amp;" is more than TB Cases newly tested for HIV"&amp;CHAR(10),""),IF(AA315&lt;AA317," * Newly Tested Positives "&amp;$Z$20&amp;" "&amp;$AA$21&amp;" is more than TB Cases newly tested for HIV"&amp;CHAR(10),""))</f>
        <v/>
      </c>
      <c r="AD317" s="693"/>
      <c r="AE317" s="83"/>
      <c r="AF317" s="696"/>
      <c r="AG317" s="438">
        <v>316</v>
      </c>
    </row>
    <row r="318" spans="1:34" ht="32.15" thickBot="1" x14ac:dyDescent="0.9">
      <c r="A318" s="563"/>
      <c r="B318" s="450" t="s">
        <v>544</v>
      </c>
      <c r="C318" s="193" t="s">
        <v>545</v>
      </c>
      <c r="D318" s="192"/>
      <c r="E318" s="30"/>
      <c r="F318" s="90">
        <f t="shared" ref="F318:AA318" si="121">F317+F313</f>
        <v>0</v>
      </c>
      <c r="G318" s="90">
        <f t="shared" si="121"/>
        <v>0</v>
      </c>
      <c r="H318" s="90">
        <f t="shared" si="121"/>
        <v>0</v>
      </c>
      <c r="I318" s="90">
        <f t="shared" si="121"/>
        <v>0</v>
      </c>
      <c r="J318" s="90">
        <f t="shared" si="121"/>
        <v>0</v>
      </c>
      <c r="K318" s="90">
        <f t="shared" si="121"/>
        <v>0</v>
      </c>
      <c r="L318" s="90">
        <f t="shared" si="121"/>
        <v>0</v>
      </c>
      <c r="M318" s="90">
        <f t="shared" si="121"/>
        <v>0</v>
      </c>
      <c r="N318" s="90">
        <f t="shared" si="121"/>
        <v>0</v>
      </c>
      <c r="O318" s="90">
        <f t="shared" si="121"/>
        <v>0</v>
      </c>
      <c r="P318" s="90">
        <f t="shared" si="121"/>
        <v>0</v>
      </c>
      <c r="Q318" s="90">
        <f t="shared" si="121"/>
        <v>0</v>
      </c>
      <c r="R318" s="90">
        <f t="shared" si="121"/>
        <v>0</v>
      </c>
      <c r="S318" s="90">
        <f t="shared" si="121"/>
        <v>0</v>
      </c>
      <c r="T318" s="90">
        <f t="shared" si="121"/>
        <v>0</v>
      </c>
      <c r="U318" s="90">
        <f t="shared" si="121"/>
        <v>0</v>
      </c>
      <c r="V318" s="90">
        <f t="shared" si="121"/>
        <v>0</v>
      </c>
      <c r="W318" s="257">
        <f t="shared" si="121"/>
        <v>0</v>
      </c>
      <c r="X318" s="90">
        <f t="shared" si="121"/>
        <v>0</v>
      </c>
      <c r="Y318" s="90">
        <f t="shared" si="121"/>
        <v>0</v>
      </c>
      <c r="Z318" s="90">
        <f t="shared" si="121"/>
        <v>0</v>
      </c>
      <c r="AA318" s="90">
        <f t="shared" si="121"/>
        <v>0</v>
      </c>
      <c r="AB318" s="91">
        <f t="shared" si="118"/>
        <v>0</v>
      </c>
      <c r="AC318" s="85"/>
      <c r="AD318" s="693"/>
      <c r="AE318" s="83"/>
      <c r="AF318" s="696"/>
      <c r="AG318" s="438">
        <v>317</v>
      </c>
    </row>
    <row r="319" spans="1:34" ht="61.75" x14ac:dyDescent="0.85">
      <c r="A319" s="563"/>
      <c r="B319" s="325" t="s">
        <v>548</v>
      </c>
      <c r="C319" s="129" t="s">
        <v>546</v>
      </c>
      <c r="D319" s="190"/>
      <c r="E319" s="80"/>
      <c r="F319" s="35"/>
      <c r="G319" s="35"/>
      <c r="H319" s="35"/>
      <c r="I319" s="35"/>
      <c r="J319" s="35"/>
      <c r="K319" s="35"/>
      <c r="L319" s="35"/>
      <c r="M319" s="35"/>
      <c r="N319" s="35"/>
      <c r="O319" s="35"/>
      <c r="P319" s="35"/>
      <c r="Q319" s="35"/>
      <c r="R319" s="35"/>
      <c r="S319" s="35"/>
      <c r="T319" s="35"/>
      <c r="U319" s="35"/>
      <c r="V319" s="35"/>
      <c r="W319" s="35"/>
      <c r="X319" s="35"/>
      <c r="Y319" s="35"/>
      <c r="Z319" s="35"/>
      <c r="AA319" s="35"/>
      <c r="AB319" s="36">
        <f t="shared" si="118"/>
        <v>0</v>
      </c>
      <c r="AC319" s="82"/>
      <c r="AD319" s="693"/>
      <c r="AE319" s="82" t="str">
        <f>CONCATENATE(IF(D317&gt;D319," * Newly Tested Positives "&amp;$D$20&amp;" "&amp;$D$21&amp;" is more than Total Positive Clients newly started on ART"&amp;CHAR(10),""),IF(E317&gt;E319," * Newly Tested Positives "&amp;$D$20&amp;" "&amp;$E$21&amp;" is more than Total Positive Clients newly started on ART"&amp;CHAR(10),""),IF(F317&gt;F319," * Newly Tested Positives "&amp;$F$20&amp;" "&amp;$F$21&amp;" is more than Total Positive Clients newly started on ART"&amp;CHAR(10),""),IF(G317&gt;G319," * Newly Tested Positives "&amp;$F$20&amp;" "&amp;$G$21&amp;" is more than Total Positive Clients newly started on ART"&amp;CHAR(10),""),IF(H317&gt;H319," * Newly Tested Positives "&amp;$H$20&amp;" "&amp;$H$21&amp;" is more than Total Positive Clients newly started on ART"&amp;CHAR(10),""),IF(I317&gt;I319," * Newly Tested Positives "&amp;$H$20&amp;" "&amp;$I$21&amp;" is more than Total Positive Clients newly started on ART"&amp;CHAR(10),""),IF(J317&gt;J319," * Newly Tested Positives "&amp;$J$20&amp;" "&amp;$J$21&amp;" is more than Total Positive Clients newly started on ART"&amp;CHAR(10),""),IF(K317&gt;K319," * Newly Tested Positives "&amp;$J$20&amp;" "&amp;$K$21&amp;" is more than Total Positive Clients newly started on ART"&amp;CHAR(10),""),IF(L317&gt;L319," * Newly Tested Positives "&amp;$L$20&amp;" "&amp;$L$21&amp;" is more than Total Positive Clients newly started on ART"&amp;CHAR(10),""),IF(M317&gt;M319," * Newly Tested Positives "&amp;$L$20&amp;" "&amp;$M$21&amp;" is more than Total Positive Clients newly started on ART"&amp;CHAR(10),""),IF(N317&gt;N319," * Newly Tested Positives "&amp;$N$20&amp;" "&amp;$N$21&amp;" is more than Total Positive Clients newly started on ART"&amp;CHAR(10),""),IF(O317&gt;O319," * Newly Tested Positives "&amp;$N$20&amp;" "&amp;$O$21&amp;" is more than Total Positive Clients newly started on ART"&amp;CHAR(10),""),IF(P317&gt;P319," * Newly Tested Positives "&amp;$P$20&amp;" "&amp;$P$21&amp;" is more than Total Positive Clients newly started on ART"&amp;CHAR(10),""),IF(Q317&gt;Q319," * Newly Tested Positives "&amp;$P$20&amp;" "&amp;$Q$21&amp;" is more than Total Positive Clients newly started on ART"&amp;CHAR(10),""),IF(R317&gt;R319," * Newly Tested Positives "&amp;$R$20&amp;" "&amp;$R$21&amp;" is more than Total Positive Clients newly started on ART"&amp;CHAR(10),""),IF(S317&gt;S319," * Newly Tested Positives "&amp;$R$20&amp;" "&amp;$S$21&amp;" is more than Total Positive Clients newly started on ART"&amp;CHAR(10),""),IF(T317&gt;T319," * Newly Tested Positives "&amp;$T$20&amp;" "&amp;$T$21&amp;" is more than Total Positive Clients newly started on ART"&amp;CHAR(10),""),IF(U317&gt;U319," * Newly Tested Positives "&amp;$T$20&amp;" "&amp;$U$21&amp;" is more than Total Positive Clients newly started on ART"&amp;CHAR(10),""),IF(V317&gt;V319," * Newly Tested Positives "&amp;$V$20&amp;" "&amp;$V$21&amp;" is more than Total Positive Clients newly started on ART"&amp;CHAR(10),""),IF(W317&gt;W319," * Newly Tested Positives "&amp;$V$20&amp;" "&amp;$W$21&amp;" is more than Total Positive Clients newly started on ART"&amp;CHAR(10),""),IF(X317&gt;X319," * Newly Tested Positives "&amp;$X$20&amp;" "&amp;$X$21&amp;" is more than Total Positive Clients newly started on ART"&amp;CHAR(10),""),IF(Y317&gt;Y319," * Newly Tested Positives "&amp;$X$20&amp;" "&amp;$Y$21&amp;" is more than Total Positive Clients newly started on ART"&amp;CHAR(10),""),IF(Z317&gt;Z319," * Newly Tested Positives "&amp;$Z$20&amp;" "&amp;$Z$21&amp;" is more than Total Positive Clients newly started on ART"&amp;CHAR(10),""),IF(AA317&gt;AA319," * Newly Tested Positives "&amp;$Z$20&amp;" "&amp;$AA$21&amp;" is more than Total Positive Clients newly started on ART"&amp;CHAR(10),""))</f>
        <v/>
      </c>
      <c r="AF319" s="696"/>
      <c r="AG319" s="438">
        <v>318</v>
      </c>
    </row>
    <row r="320" spans="1:34" ht="61.75" x14ac:dyDescent="0.85">
      <c r="A320" s="563"/>
      <c r="B320" s="451" t="s">
        <v>550</v>
      </c>
      <c r="C320" s="146" t="s">
        <v>547</v>
      </c>
      <c r="D320" s="191"/>
      <c r="E320" s="22"/>
      <c r="F320" s="19"/>
      <c r="G320" s="231"/>
      <c r="H320" s="231"/>
      <c r="I320" s="231"/>
      <c r="J320" s="231"/>
      <c r="K320" s="231"/>
      <c r="L320" s="231"/>
      <c r="M320" s="231"/>
      <c r="N320" s="231"/>
      <c r="O320" s="231"/>
      <c r="P320" s="231"/>
      <c r="Q320" s="231"/>
      <c r="R320" s="231"/>
      <c r="S320" s="231"/>
      <c r="T320" s="231"/>
      <c r="U320" s="231"/>
      <c r="V320" s="231"/>
      <c r="W320" s="231"/>
      <c r="X320" s="231"/>
      <c r="Y320" s="231"/>
      <c r="Z320" s="231"/>
      <c r="AA320" s="231"/>
      <c r="AB320" s="37">
        <f t="shared" si="118"/>
        <v>0</v>
      </c>
      <c r="AC320" s="82" t="str">
        <f>CONCATENATE(IF(D313&lt;&gt;D320," * TB Cases Already on ART at entry in TB clinic "&amp;$D$20&amp;" "&amp;$D$21&amp;" is Not equal to  TB cases with known HIV +ve status"&amp;CHAR(10),""),IF(E313&lt;&gt;E320," * TB Cases Already on ART at entry in TB clinic "&amp;$D$20&amp;" "&amp;$E$21&amp;" is Not equal to  TB cases with known HIV +ve status"&amp;CHAR(10),""),IF(F313&lt;&gt;F320," * TB Cases Already on ART at entry in TB clinic "&amp;$F$20&amp;" "&amp;$F$21&amp;" is Not equal to  TB cases with known HIV +ve status"&amp;CHAR(10),""),IF(G313&lt;&gt;G320," * TB Cases Already on ART at entry in TB clinic "&amp;$F$20&amp;" "&amp;$G$21&amp;" is Not equal to  TB cases with known HIV +ve status"&amp;CHAR(10),""),IF(H313&lt;&gt;H320," * TB Cases Already on ART at entry in TB clinic "&amp;$H$20&amp;" "&amp;$H$21&amp;" is Not equal to  TB cases with known HIV +ve status"&amp;CHAR(10),""),IF(I313&lt;&gt;I320," * TB Cases Already on ART at entry in TB clinic "&amp;$H$20&amp;" "&amp;$I$21&amp;" is Not equal to  TB cases with known HIV +ve status"&amp;CHAR(10),""),IF(J313&lt;&gt;J320," * TB Cases Already on ART at entry in TB clinic "&amp;$J$20&amp;" "&amp;$J$21&amp;" is Not equal to  TB cases with known HIV +ve status"&amp;CHAR(10),""),IF(K313&lt;&gt;K320," * TB Cases Already on ART at entry in TB clinic "&amp;$J$20&amp;" "&amp;$K$21&amp;" is Not equal to  TB cases with known HIV +ve status"&amp;CHAR(10),""),IF(L313&lt;&gt;L320," * TB Cases Already on ART at entry in TB clinic "&amp;$L$20&amp;" "&amp;$L$21&amp;" is Not equal to  TB cases with known HIV +ve status"&amp;CHAR(10),""),IF(M313&lt;&gt;M320," * TB Cases Already on ART at entry in TB clinic "&amp;$L$20&amp;" "&amp;$M$21&amp;" is Not equal to  TB cases with known HIV +ve status"&amp;CHAR(10),""),IF(N313&lt;&gt;N320," * TB Cases Already on ART at entry in TB clinic "&amp;$N$20&amp;" "&amp;$N$21&amp;" is Not equal to  TB cases with known HIV +ve status"&amp;CHAR(10),""),IF(O313&lt;&gt;O320," * TB Cases Already on ART at entry in TB clinic "&amp;$N$20&amp;" "&amp;$O$21&amp;" is Not equal to  TB cases with known HIV +ve status"&amp;CHAR(10),""),IF(P313&lt;&gt;P320," * TB Cases Already on ART at entry in TB clinic "&amp;$P$20&amp;" "&amp;$P$21&amp;" is Not equal to  TB cases with known HIV +ve status"&amp;CHAR(10),""),IF(Q313&lt;&gt;Q320," * TB Cases Already on ART at entry in TB clinic "&amp;$P$20&amp;" "&amp;$Q$21&amp;" is Not equal to  TB cases with known HIV +ve status"&amp;CHAR(10),""),IF(R313&lt;&gt;R320," * TB Cases Already on ART at entry in TB clinic "&amp;$R$20&amp;" "&amp;$R$21&amp;" is Not equal to  TB cases with known HIV +ve status"&amp;CHAR(10),""),IF(S313&lt;&gt;S320," * TB Cases Already on ART at entry in TB clinic "&amp;$R$20&amp;" "&amp;$S$21&amp;" is Not equal to  TB cases with known HIV +ve status"&amp;CHAR(10),""),IF(T313&lt;&gt;T320," * TB Cases Already on ART at entry in TB clinic "&amp;$T$20&amp;" "&amp;$T$21&amp;" is Not equal to  TB cases with known HIV +ve status"&amp;CHAR(10),""),IF(U313&lt;&gt;U320," * TB Cases Already on ART at entry in TB clinic "&amp;$T$20&amp;" "&amp;$U$21&amp;" is Not equal to  TB cases with known HIV +ve status"&amp;CHAR(10),""),IF(V313&lt;&gt;V320," * TB Cases Already on ART at entry in TB clinic "&amp;$V$20&amp;" "&amp;$V$21&amp;" is Not equal to  TB cases with known HIV +ve status"&amp;CHAR(10),""),IF(W313&lt;&gt;W320," * TB Cases Already on ART at entry in TB clinic "&amp;$V$20&amp;" "&amp;$W$21&amp;" is Not equal to  TB cases with known HIV +ve status"&amp;CHAR(10),""),IF(X313&lt;&gt;X320," * TB Cases Already on ART at entry in TB clinic "&amp;$X$20&amp;" "&amp;$X$21&amp;" is Not equal to  TB cases with known HIV +ve status"&amp;CHAR(10),""),IF(Y313&lt;&gt;Y320," * TB Cases Already on ART at entry in TB clinic "&amp;$X$20&amp;" "&amp;$Y$21&amp;" is Not equal to  TB cases with known HIV +ve status"&amp;CHAR(10),""),IF(Z313&lt;&gt;Z320," * TB Cases Already on ART at entry in TB clinic "&amp;$Z$20&amp;" "&amp;$Z$21&amp;" is Not equal to  TB cases with known HIV +ve status"&amp;CHAR(10),""),IF(AA313&lt;&gt;AA320," * TB Cases Already on ART at entry in TB clinic "&amp;$Z$20&amp;" "&amp;$AA$21&amp;" is Not equal to  TB cases with known HIV +ve status"&amp;CHAR(10),""))</f>
        <v/>
      </c>
      <c r="AD320" s="693"/>
      <c r="AE320" s="83"/>
      <c r="AF320" s="696"/>
      <c r="AG320" s="438">
        <v>319</v>
      </c>
    </row>
    <row r="321" spans="1:34" ht="32.15" thickBot="1" x14ac:dyDescent="0.9">
      <c r="A321" s="564"/>
      <c r="B321" s="452" t="s">
        <v>556</v>
      </c>
      <c r="C321" s="147" t="s">
        <v>555</v>
      </c>
      <c r="D321" s="116"/>
      <c r="E321" s="81"/>
      <c r="F321" s="78">
        <f t="shared" ref="F321:AA321" si="122">F320+F319</f>
        <v>0</v>
      </c>
      <c r="G321" s="78">
        <f t="shared" si="122"/>
        <v>0</v>
      </c>
      <c r="H321" s="78">
        <f t="shared" si="122"/>
        <v>0</v>
      </c>
      <c r="I321" s="78">
        <f t="shared" si="122"/>
        <v>0</v>
      </c>
      <c r="J321" s="78">
        <f t="shared" si="122"/>
        <v>0</v>
      </c>
      <c r="K321" s="78">
        <f t="shared" si="122"/>
        <v>0</v>
      </c>
      <c r="L321" s="78">
        <f t="shared" si="122"/>
        <v>0</v>
      </c>
      <c r="M321" s="78">
        <f t="shared" si="122"/>
        <v>0</v>
      </c>
      <c r="N321" s="78">
        <f t="shared" si="122"/>
        <v>0</v>
      </c>
      <c r="O321" s="78">
        <f t="shared" si="122"/>
        <v>0</v>
      </c>
      <c r="P321" s="78">
        <f t="shared" si="122"/>
        <v>0</v>
      </c>
      <c r="Q321" s="78">
        <f t="shared" si="122"/>
        <v>0</v>
      </c>
      <c r="R321" s="78">
        <f t="shared" si="122"/>
        <v>0</v>
      </c>
      <c r="S321" s="78">
        <f t="shared" si="122"/>
        <v>0</v>
      </c>
      <c r="T321" s="78">
        <f t="shared" si="122"/>
        <v>0</v>
      </c>
      <c r="U321" s="78">
        <f t="shared" si="122"/>
        <v>0</v>
      </c>
      <c r="V321" s="78">
        <f t="shared" si="122"/>
        <v>0</v>
      </c>
      <c r="W321" s="78">
        <f t="shared" si="122"/>
        <v>0</v>
      </c>
      <c r="X321" s="78">
        <f t="shared" si="122"/>
        <v>0</v>
      </c>
      <c r="Y321" s="78">
        <f t="shared" si="122"/>
        <v>0</v>
      </c>
      <c r="Z321" s="78">
        <f t="shared" si="122"/>
        <v>0</v>
      </c>
      <c r="AA321" s="78">
        <f t="shared" si="122"/>
        <v>0</v>
      </c>
      <c r="AB321" s="40">
        <f t="shared" si="118"/>
        <v>0</v>
      </c>
      <c r="AC321" s="82" t="str">
        <f>CONCATENATE(IF(D316&lt;D321," * HIV coinfected clients started on ART "&amp;$D$20&amp;" "&amp;$D$21&amp;" is more than TB cases with documented HIV status"&amp;CHAR(10),""),IF(E316&lt;E321," * HIV coinfected clients started on ART "&amp;$D$20&amp;" "&amp;$E$21&amp;" is more than TB cases with documented HIV status"&amp;CHAR(10),""),IF(F316&lt;F321," * HIV coinfected clients started on ART "&amp;$F$20&amp;" "&amp;$F$21&amp;" is more than TB cases with documented HIV status"&amp;CHAR(10),""),IF(G316&lt;G321," * HIV coinfected clients started on ART "&amp;$F$20&amp;" "&amp;$G$21&amp;" is more than TB cases with documented HIV status"&amp;CHAR(10),""),IF(H316&lt;H321," * HIV coinfected clients started on ART "&amp;$H$20&amp;" "&amp;$H$21&amp;" is more than TB cases with documented HIV status"&amp;CHAR(10),""),IF(I316&lt;I321," * HIV coinfected clients started on ART "&amp;$H$20&amp;" "&amp;$I$21&amp;" is more than TB cases with documented HIV status"&amp;CHAR(10),""),IF(J316&lt;J321," * HIV coinfected clients started on ART "&amp;$J$20&amp;" "&amp;$J$21&amp;" is more than TB cases with documented HIV status"&amp;CHAR(10),""),IF(K316&lt;K321," * HIV coinfected clients started on ART "&amp;$J$20&amp;" "&amp;$K$21&amp;" is more than TB cases with documented HIV status"&amp;CHAR(10),""),IF(L316&lt;L321," * HIV coinfected clients started on ART "&amp;$L$20&amp;" "&amp;$L$21&amp;" is more than TB cases with documented HIV status"&amp;CHAR(10),""),IF(M316&lt;M321," * HIV coinfected clients started on ART "&amp;$L$20&amp;" "&amp;$M$21&amp;" is more than TB cases with documented HIV status"&amp;CHAR(10),""),IF(N316&lt;N321," * HIV coinfected clients started on ART "&amp;$N$20&amp;" "&amp;$N$21&amp;" is more than TB cases with documented HIV status"&amp;CHAR(10),""),IF(O316&lt;O321," * HIV coinfected clients started on ART "&amp;$N$20&amp;" "&amp;$O$21&amp;" is more than TB cases with documented HIV status"&amp;CHAR(10),""),IF(P316&lt;P321," * HIV coinfected clients started on ART "&amp;$P$20&amp;" "&amp;$P$21&amp;" is more than TB cases with documented HIV status"&amp;CHAR(10),""),IF(Q316&lt;Q321," * HIV coinfected clients started on ART "&amp;$P$20&amp;" "&amp;$Q$21&amp;" is more than TB cases with documented HIV status"&amp;CHAR(10),""),IF(R316&lt;R321," * HIV coinfected clients started on ART "&amp;$R$20&amp;" "&amp;$R$21&amp;" is more than TB cases with documented HIV status"&amp;CHAR(10),""),IF(S316&lt;S321," * HIV coinfected clients started on ART "&amp;$R$20&amp;" "&amp;$S$21&amp;" is more than TB cases with documented HIV status"&amp;CHAR(10),""),IF(T316&lt;T321," * HIV coinfected clients started on ART "&amp;$T$20&amp;" "&amp;$T$21&amp;" is more than TB cases with documented HIV status"&amp;CHAR(10),""),IF(U316&lt;U321," * HIV coinfected clients started on ART "&amp;$T$20&amp;" "&amp;$U$21&amp;" is more than TB cases with documented HIV status"&amp;CHAR(10),""),IF(V316&lt;V321," * HIV coinfected clients started on ART "&amp;$V$20&amp;" "&amp;$V$21&amp;" is more than TB cases with documented HIV status"&amp;CHAR(10),""),IF(W316&lt;W321," * HIV coinfected clients started on ART "&amp;$V$20&amp;" "&amp;$W$21&amp;" is more than TB cases with documented HIV status"&amp;CHAR(10),""),IF(X316&lt;X321," * HIV coinfected clients started on ART "&amp;$X$20&amp;" "&amp;$X$21&amp;" is more than TB cases with documented HIV status"&amp;CHAR(10),""),IF(Y316&lt;Y321," * HIV coinfected clients started on ART "&amp;$X$20&amp;" "&amp;$Y$21&amp;" is more than TB cases with documented HIV status"&amp;CHAR(10),""),IF(Z316&lt;Z321," * HIV coinfected clients started on ART "&amp;$Z$20&amp;" "&amp;$Z$21&amp;" is more than TB cases with documented HIV status"&amp;CHAR(10),""),IF(AA316&lt;AA321," * HIV coinfected clients started on ART "&amp;$Z$20&amp;" "&amp;$AA$21&amp;" is more than TB cases with documented HIV status"&amp;CHAR(10),""))</f>
        <v/>
      </c>
      <c r="AD321" s="694"/>
      <c r="AE321" s="83"/>
      <c r="AF321" s="697"/>
      <c r="AG321" s="438">
        <v>320</v>
      </c>
    </row>
    <row r="322" spans="1:34" ht="63" customHeight="1" thickBot="1" x14ac:dyDescent="1">
      <c r="A322" s="460" t="s">
        <v>470</v>
      </c>
      <c r="B322" s="264"/>
      <c r="F322" s="3"/>
      <c r="G322" s="3"/>
      <c r="I322" s="3"/>
      <c r="J322" s="3"/>
      <c r="M322" s="3"/>
      <c r="N322" s="3"/>
      <c r="O322" s="3"/>
      <c r="Q322" s="3"/>
      <c r="X322" s="3"/>
    </row>
    <row r="324" spans="1:34" ht="32.15" thickBot="1" x14ac:dyDescent="1">
      <c r="A324" s="454"/>
      <c r="B324" s="227"/>
      <c r="E324" s="3"/>
      <c r="F324" s="3"/>
      <c r="G324" s="3"/>
      <c r="H324" s="3"/>
      <c r="I324" s="3"/>
      <c r="J324" s="3"/>
      <c r="K324" s="3"/>
      <c r="L324" s="3"/>
      <c r="M324" s="3"/>
    </row>
    <row r="325" spans="1:34" s="465" customFormat="1" ht="41.25" customHeight="1" thickBot="1" x14ac:dyDescent="0.45">
      <c r="A325" s="745" t="s">
        <v>1037</v>
      </c>
      <c r="B325" s="746"/>
      <c r="C325" s="746"/>
      <c r="D325" s="746"/>
      <c r="E325" s="746"/>
      <c r="F325" s="746"/>
      <c r="G325" s="746"/>
      <c r="H325" s="746"/>
      <c r="I325" s="746"/>
      <c r="J325" s="746"/>
      <c r="K325" s="746"/>
      <c r="L325" s="746"/>
      <c r="M325" s="747" t="s">
        <v>1034</v>
      </c>
      <c r="N325" s="746"/>
      <c r="O325" s="746"/>
      <c r="P325" s="746"/>
      <c r="Q325" s="746"/>
      <c r="R325" s="746"/>
      <c r="S325" s="746"/>
      <c r="T325" s="746"/>
      <c r="U325" s="746"/>
      <c r="V325" s="746"/>
      <c r="W325" s="746"/>
      <c r="X325" s="746"/>
      <c r="Y325" s="746"/>
      <c r="Z325" s="746"/>
      <c r="AA325" s="746"/>
      <c r="AB325" s="746"/>
      <c r="AC325" s="746"/>
      <c r="AD325" s="746"/>
      <c r="AE325" s="746"/>
      <c r="AF325" s="748"/>
      <c r="AG325" s="464"/>
      <c r="AH325" s="464"/>
    </row>
    <row r="326" spans="1:34" ht="30.75" customHeight="1" x14ac:dyDescent="0.85">
      <c r="A326" s="736" t="str">
        <f>CONCATENATE(AD312,AD292,AD281,AD267,AD243,AD226,AD214,AD192,AD174,AD165,AD156,AD147,AD138,AD114,AD99,AD62,AD54,AD22,AD8)</f>
        <v/>
      </c>
      <c r="B326" s="737"/>
      <c r="C326" s="737"/>
      <c r="D326" s="737"/>
      <c r="E326" s="737"/>
      <c r="F326" s="737"/>
      <c r="G326" s="737"/>
      <c r="H326" s="737"/>
      <c r="I326" s="737"/>
      <c r="J326" s="737"/>
      <c r="K326" s="737"/>
      <c r="L326" s="738"/>
      <c r="M326" s="749" t="str">
        <f>IF(LEN(A326)&lt;=0,"","Please ensure you solve the errors appearing on the left . However, In the cases where the errors are valid and can be explained ( We expect this to be very rare cases), Please delete this message and type the  justification for the error here)")</f>
        <v/>
      </c>
      <c r="N326" s="750"/>
      <c r="O326" s="750"/>
      <c r="P326" s="750"/>
      <c r="Q326" s="750"/>
      <c r="R326" s="750"/>
      <c r="S326" s="750"/>
      <c r="T326" s="750"/>
      <c r="U326" s="750"/>
      <c r="V326" s="750"/>
      <c r="W326" s="750"/>
      <c r="X326" s="750"/>
      <c r="Y326" s="750"/>
      <c r="Z326" s="750"/>
      <c r="AA326" s="750"/>
      <c r="AB326" s="750"/>
      <c r="AC326" s="750"/>
      <c r="AD326" s="750"/>
      <c r="AE326" s="750"/>
      <c r="AF326" s="751"/>
    </row>
    <row r="327" spans="1:34" ht="25.5" customHeight="1" x14ac:dyDescent="0.85">
      <c r="A327" s="739"/>
      <c r="B327" s="740"/>
      <c r="C327" s="740"/>
      <c r="D327" s="740"/>
      <c r="E327" s="740"/>
      <c r="F327" s="740"/>
      <c r="G327" s="740"/>
      <c r="H327" s="740"/>
      <c r="I327" s="740"/>
      <c r="J327" s="740"/>
      <c r="K327" s="740"/>
      <c r="L327" s="741"/>
      <c r="M327" s="752"/>
      <c r="N327" s="753"/>
      <c r="O327" s="753"/>
      <c r="P327" s="753"/>
      <c r="Q327" s="753"/>
      <c r="R327" s="753"/>
      <c r="S327" s="753"/>
      <c r="T327" s="753"/>
      <c r="U327" s="753"/>
      <c r="V327" s="753"/>
      <c r="W327" s="753"/>
      <c r="X327" s="753"/>
      <c r="Y327" s="753"/>
      <c r="Z327" s="753"/>
      <c r="AA327" s="753"/>
      <c r="AB327" s="753"/>
      <c r="AC327" s="753"/>
      <c r="AD327" s="753"/>
      <c r="AE327" s="753"/>
      <c r="AF327" s="754"/>
    </row>
    <row r="328" spans="1:34" ht="30.75" customHeight="1" x14ac:dyDescent="0.85">
      <c r="A328" s="739"/>
      <c r="B328" s="740"/>
      <c r="C328" s="740"/>
      <c r="D328" s="740"/>
      <c r="E328" s="740"/>
      <c r="F328" s="740"/>
      <c r="G328" s="740"/>
      <c r="H328" s="740"/>
      <c r="I328" s="740"/>
      <c r="J328" s="740"/>
      <c r="K328" s="740"/>
      <c r="L328" s="741"/>
      <c r="M328" s="752"/>
      <c r="N328" s="753"/>
      <c r="O328" s="753"/>
      <c r="P328" s="753"/>
      <c r="Q328" s="753"/>
      <c r="R328" s="753"/>
      <c r="S328" s="753"/>
      <c r="T328" s="753"/>
      <c r="U328" s="753"/>
      <c r="V328" s="753"/>
      <c r="W328" s="753"/>
      <c r="X328" s="753"/>
      <c r="Y328" s="753"/>
      <c r="Z328" s="753"/>
      <c r="AA328" s="753"/>
      <c r="AB328" s="753"/>
      <c r="AC328" s="753"/>
      <c r="AD328" s="753"/>
      <c r="AE328" s="753"/>
      <c r="AF328" s="754"/>
    </row>
    <row r="329" spans="1:34" ht="25.5" customHeight="1" x14ac:dyDescent="0.85">
      <c r="A329" s="739"/>
      <c r="B329" s="740"/>
      <c r="C329" s="740"/>
      <c r="D329" s="740"/>
      <c r="E329" s="740"/>
      <c r="F329" s="740"/>
      <c r="G329" s="740"/>
      <c r="H329" s="740"/>
      <c r="I329" s="740"/>
      <c r="J329" s="740"/>
      <c r="K329" s="740"/>
      <c r="L329" s="741"/>
      <c r="M329" s="752"/>
      <c r="N329" s="753"/>
      <c r="O329" s="753"/>
      <c r="P329" s="753"/>
      <c r="Q329" s="753"/>
      <c r="R329" s="753"/>
      <c r="S329" s="753"/>
      <c r="T329" s="753"/>
      <c r="U329" s="753"/>
      <c r="V329" s="753"/>
      <c r="W329" s="753"/>
      <c r="X329" s="753"/>
      <c r="Y329" s="753"/>
      <c r="Z329" s="753"/>
      <c r="AA329" s="753"/>
      <c r="AB329" s="753"/>
      <c r="AC329" s="753"/>
      <c r="AD329" s="753"/>
      <c r="AE329" s="753"/>
      <c r="AF329" s="754"/>
    </row>
    <row r="330" spans="1:34" ht="25.5" customHeight="1" x14ac:dyDescent="0.85">
      <c r="A330" s="739"/>
      <c r="B330" s="740"/>
      <c r="C330" s="740"/>
      <c r="D330" s="740"/>
      <c r="E330" s="740"/>
      <c r="F330" s="740"/>
      <c r="G330" s="740"/>
      <c r="H330" s="740"/>
      <c r="I330" s="740"/>
      <c r="J330" s="740"/>
      <c r="K330" s="740"/>
      <c r="L330" s="741"/>
      <c r="M330" s="752"/>
      <c r="N330" s="753"/>
      <c r="O330" s="753"/>
      <c r="P330" s="753"/>
      <c r="Q330" s="753"/>
      <c r="R330" s="753"/>
      <c r="S330" s="753"/>
      <c r="T330" s="753"/>
      <c r="U330" s="753"/>
      <c r="V330" s="753"/>
      <c r="W330" s="753"/>
      <c r="X330" s="753"/>
      <c r="Y330" s="753"/>
      <c r="Z330" s="753"/>
      <c r="AA330" s="753"/>
      <c r="AB330" s="753"/>
      <c r="AC330" s="753"/>
      <c r="AD330" s="753"/>
      <c r="AE330" s="753"/>
      <c r="AF330" s="754"/>
    </row>
    <row r="331" spans="1:34" ht="25.5" customHeight="1" x14ac:dyDescent="0.85">
      <c r="A331" s="739"/>
      <c r="B331" s="740"/>
      <c r="C331" s="740"/>
      <c r="D331" s="740"/>
      <c r="E331" s="740"/>
      <c r="F331" s="740"/>
      <c r="G331" s="740"/>
      <c r="H331" s="740"/>
      <c r="I331" s="740"/>
      <c r="J331" s="740"/>
      <c r="K331" s="740"/>
      <c r="L331" s="741"/>
      <c r="M331" s="752"/>
      <c r="N331" s="753"/>
      <c r="O331" s="753"/>
      <c r="P331" s="753"/>
      <c r="Q331" s="753"/>
      <c r="R331" s="753"/>
      <c r="S331" s="753"/>
      <c r="T331" s="753"/>
      <c r="U331" s="753"/>
      <c r="V331" s="753"/>
      <c r="W331" s="753"/>
      <c r="X331" s="753"/>
      <c r="Y331" s="753"/>
      <c r="Z331" s="753"/>
      <c r="AA331" s="753"/>
      <c r="AB331" s="753"/>
      <c r="AC331" s="753"/>
      <c r="AD331" s="753"/>
      <c r="AE331" s="753"/>
      <c r="AF331" s="754"/>
    </row>
    <row r="332" spans="1:34" ht="25.5" customHeight="1" x14ac:dyDescent="0.85">
      <c r="A332" s="739"/>
      <c r="B332" s="740"/>
      <c r="C332" s="740"/>
      <c r="D332" s="740"/>
      <c r="E332" s="740"/>
      <c r="F332" s="740"/>
      <c r="G332" s="740"/>
      <c r="H332" s="740"/>
      <c r="I332" s="740"/>
      <c r="J332" s="740"/>
      <c r="K332" s="740"/>
      <c r="L332" s="741"/>
      <c r="M332" s="752"/>
      <c r="N332" s="753"/>
      <c r="O332" s="753"/>
      <c r="P332" s="753"/>
      <c r="Q332" s="753"/>
      <c r="R332" s="753"/>
      <c r="S332" s="753"/>
      <c r="T332" s="753"/>
      <c r="U332" s="753"/>
      <c r="V332" s="753"/>
      <c r="W332" s="753"/>
      <c r="X332" s="753"/>
      <c r="Y332" s="753"/>
      <c r="Z332" s="753"/>
      <c r="AA332" s="753"/>
      <c r="AB332" s="753"/>
      <c r="AC332" s="753"/>
      <c r="AD332" s="753"/>
      <c r="AE332" s="753"/>
      <c r="AF332" s="754"/>
    </row>
    <row r="333" spans="1:34" ht="25.5" customHeight="1" x14ac:dyDescent="0.85">
      <c r="A333" s="739"/>
      <c r="B333" s="740"/>
      <c r="C333" s="740"/>
      <c r="D333" s="740"/>
      <c r="E333" s="740"/>
      <c r="F333" s="740"/>
      <c r="G333" s="740"/>
      <c r="H333" s="740"/>
      <c r="I333" s="740"/>
      <c r="J333" s="740"/>
      <c r="K333" s="740"/>
      <c r="L333" s="741"/>
      <c r="M333" s="752"/>
      <c r="N333" s="753"/>
      <c r="O333" s="753"/>
      <c r="P333" s="753"/>
      <c r="Q333" s="753"/>
      <c r="R333" s="753"/>
      <c r="S333" s="753"/>
      <c r="T333" s="753"/>
      <c r="U333" s="753"/>
      <c r="V333" s="753"/>
      <c r="W333" s="753"/>
      <c r="X333" s="753"/>
      <c r="Y333" s="753"/>
      <c r="Z333" s="753"/>
      <c r="AA333" s="753"/>
      <c r="AB333" s="753"/>
      <c r="AC333" s="753"/>
      <c r="AD333" s="753"/>
      <c r="AE333" s="753"/>
      <c r="AF333" s="754"/>
    </row>
    <row r="334" spans="1:34" ht="25.5" customHeight="1" x14ac:dyDescent="0.85">
      <c r="A334" s="739"/>
      <c r="B334" s="740"/>
      <c r="C334" s="740"/>
      <c r="D334" s="740"/>
      <c r="E334" s="740"/>
      <c r="F334" s="740"/>
      <c r="G334" s="740"/>
      <c r="H334" s="740"/>
      <c r="I334" s="740"/>
      <c r="J334" s="740"/>
      <c r="K334" s="740"/>
      <c r="L334" s="741"/>
      <c r="M334" s="752"/>
      <c r="N334" s="753"/>
      <c r="O334" s="753"/>
      <c r="P334" s="753"/>
      <c r="Q334" s="753"/>
      <c r="R334" s="753"/>
      <c r="S334" s="753"/>
      <c r="T334" s="753"/>
      <c r="U334" s="753"/>
      <c r="V334" s="753"/>
      <c r="W334" s="753"/>
      <c r="X334" s="753"/>
      <c r="Y334" s="753"/>
      <c r="Z334" s="753"/>
      <c r="AA334" s="753"/>
      <c r="AB334" s="753"/>
      <c r="AC334" s="753"/>
      <c r="AD334" s="753"/>
      <c r="AE334" s="753"/>
      <c r="AF334" s="754"/>
    </row>
    <row r="335" spans="1:34" ht="25.5" customHeight="1" x14ac:dyDescent="0.85">
      <c r="A335" s="739"/>
      <c r="B335" s="740"/>
      <c r="C335" s="740"/>
      <c r="D335" s="740"/>
      <c r="E335" s="740"/>
      <c r="F335" s="740"/>
      <c r="G335" s="740"/>
      <c r="H335" s="740"/>
      <c r="I335" s="740"/>
      <c r="J335" s="740"/>
      <c r="K335" s="740"/>
      <c r="L335" s="741"/>
      <c r="M335" s="752"/>
      <c r="N335" s="753"/>
      <c r="O335" s="753"/>
      <c r="P335" s="753"/>
      <c r="Q335" s="753"/>
      <c r="R335" s="753"/>
      <c r="S335" s="753"/>
      <c r="T335" s="753"/>
      <c r="U335" s="753"/>
      <c r="V335" s="753"/>
      <c r="W335" s="753"/>
      <c r="X335" s="753"/>
      <c r="Y335" s="753"/>
      <c r="Z335" s="753"/>
      <c r="AA335" s="753"/>
      <c r="AB335" s="753"/>
      <c r="AC335" s="753"/>
      <c r="AD335" s="753"/>
      <c r="AE335" s="753"/>
      <c r="AF335" s="754"/>
    </row>
    <row r="336" spans="1:34" ht="25.5" customHeight="1" x14ac:dyDescent="0.85">
      <c r="A336" s="739"/>
      <c r="B336" s="740"/>
      <c r="C336" s="740"/>
      <c r="D336" s="740"/>
      <c r="E336" s="740"/>
      <c r="F336" s="740"/>
      <c r="G336" s="740"/>
      <c r="H336" s="740"/>
      <c r="I336" s="740"/>
      <c r="J336" s="740"/>
      <c r="K336" s="740"/>
      <c r="L336" s="741"/>
      <c r="M336" s="752"/>
      <c r="N336" s="753"/>
      <c r="O336" s="753"/>
      <c r="P336" s="753"/>
      <c r="Q336" s="753"/>
      <c r="R336" s="753"/>
      <c r="S336" s="753"/>
      <c r="T336" s="753"/>
      <c r="U336" s="753"/>
      <c r="V336" s="753"/>
      <c r="W336" s="753"/>
      <c r="X336" s="753"/>
      <c r="Y336" s="753"/>
      <c r="Z336" s="753"/>
      <c r="AA336" s="753"/>
      <c r="AB336" s="753"/>
      <c r="AC336" s="753"/>
      <c r="AD336" s="753"/>
      <c r="AE336" s="753"/>
      <c r="AF336" s="754"/>
    </row>
    <row r="337" spans="1:34" ht="25.5" customHeight="1" x14ac:dyDescent="0.85">
      <c r="A337" s="739"/>
      <c r="B337" s="740"/>
      <c r="C337" s="740"/>
      <c r="D337" s="740"/>
      <c r="E337" s="740"/>
      <c r="F337" s="740"/>
      <c r="G337" s="740"/>
      <c r="H337" s="740"/>
      <c r="I337" s="740"/>
      <c r="J337" s="740"/>
      <c r="K337" s="740"/>
      <c r="L337" s="741"/>
      <c r="M337" s="752"/>
      <c r="N337" s="753"/>
      <c r="O337" s="753"/>
      <c r="P337" s="753"/>
      <c r="Q337" s="753"/>
      <c r="R337" s="753"/>
      <c r="S337" s="753"/>
      <c r="T337" s="753"/>
      <c r="U337" s="753"/>
      <c r="V337" s="753"/>
      <c r="W337" s="753"/>
      <c r="X337" s="753"/>
      <c r="Y337" s="753"/>
      <c r="Z337" s="753"/>
      <c r="AA337" s="753"/>
      <c r="AB337" s="753"/>
      <c r="AC337" s="753"/>
      <c r="AD337" s="753"/>
      <c r="AE337" s="753"/>
      <c r="AF337" s="754"/>
    </row>
    <row r="338" spans="1:34" ht="25.5" customHeight="1" x14ac:dyDescent="0.85">
      <c r="A338" s="739"/>
      <c r="B338" s="740"/>
      <c r="C338" s="740"/>
      <c r="D338" s="740"/>
      <c r="E338" s="740"/>
      <c r="F338" s="740"/>
      <c r="G338" s="740"/>
      <c r="H338" s="740"/>
      <c r="I338" s="740"/>
      <c r="J338" s="740"/>
      <c r="K338" s="740"/>
      <c r="L338" s="741"/>
      <c r="M338" s="752"/>
      <c r="N338" s="753"/>
      <c r="O338" s="753"/>
      <c r="P338" s="753"/>
      <c r="Q338" s="753"/>
      <c r="R338" s="753"/>
      <c r="S338" s="753"/>
      <c r="T338" s="753"/>
      <c r="U338" s="753"/>
      <c r="V338" s="753"/>
      <c r="W338" s="753"/>
      <c r="X338" s="753"/>
      <c r="Y338" s="753"/>
      <c r="Z338" s="753"/>
      <c r="AA338" s="753"/>
      <c r="AB338" s="753"/>
      <c r="AC338" s="753"/>
      <c r="AD338" s="753"/>
      <c r="AE338" s="753"/>
      <c r="AF338" s="754"/>
    </row>
    <row r="339" spans="1:34" ht="25.5" customHeight="1" x14ac:dyDescent="0.85">
      <c r="A339" s="739"/>
      <c r="B339" s="740"/>
      <c r="C339" s="740"/>
      <c r="D339" s="740"/>
      <c r="E339" s="740"/>
      <c r="F339" s="740"/>
      <c r="G339" s="740"/>
      <c r="H339" s="740"/>
      <c r="I339" s="740"/>
      <c r="J339" s="740"/>
      <c r="K339" s="740"/>
      <c r="L339" s="741"/>
      <c r="M339" s="752"/>
      <c r="N339" s="753"/>
      <c r="O339" s="753"/>
      <c r="P339" s="753"/>
      <c r="Q339" s="753"/>
      <c r="R339" s="753"/>
      <c r="S339" s="753"/>
      <c r="T339" s="753"/>
      <c r="U339" s="753"/>
      <c r="V339" s="753"/>
      <c r="W339" s="753"/>
      <c r="X339" s="753"/>
      <c r="Y339" s="753"/>
      <c r="Z339" s="753"/>
      <c r="AA339" s="753"/>
      <c r="AB339" s="753"/>
      <c r="AC339" s="753"/>
      <c r="AD339" s="753"/>
      <c r="AE339" s="753"/>
      <c r="AF339" s="754"/>
    </row>
    <row r="340" spans="1:34" ht="25.5" customHeight="1" x14ac:dyDescent="0.85">
      <c r="A340" s="739"/>
      <c r="B340" s="740"/>
      <c r="C340" s="740"/>
      <c r="D340" s="740"/>
      <c r="E340" s="740"/>
      <c r="F340" s="740"/>
      <c r="G340" s="740"/>
      <c r="H340" s="740"/>
      <c r="I340" s="740"/>
      <c r="J340" s="740"/>
      <c r="K340" s="740"/>
      <c r="L340" s="741"/>
      <c r="M340" s="752"/>
      <c r="N340" s="753"/>
      <c r="O340" s="753"/>
      <c r="P340" s="753"/>
      <c r="Q340" s="753"/>
      <c r="R340" s="753"/>
      <c r="S340" s="753"/>
      <c r="T340" s="753"/>
      <c r="U340" s="753"/>
      <c r="V340" s="753"/>
      <c r="W340" s="753"/>
      <c r="X340" s="753"/>
      <c r="Y340" s="753"/>
      <c r="Z340" s="753"/>
      <c r="AA340" s="753"/>
      <c r="AB340" s="753"/>
      <c r="AC340" s="753"/>
      <c r="AD340" s="753"/>
      <c r="AE340" s="753"/>
      <c r="AF340" s="754"/>
    </row>
    <row r="341" spans="1:34" ht="25.5" customHeight="1" x14ac:dyDescent="0.85">
      <c r="A341" s="739"/>
      <c r="B341" s="740"/>
      <c r="C341" s="740"/>
      <c r="D341" s="740"/>
      <c r="E341" s="740"/>
      <c r="F341" s="740"/>
      <c r="G341" s="740"/>
      <c r="H341" s="740"/>
      <c r="I341" s="740"/>
      <c r="J341" s="740"/>
      <c r="K341" s="740"/>
      <c r="L341" s="741"/>
      <c r="M341" s="752"/>
      <c r="N341" s="753"/>
      <c r="O341" s="753"/>
      <c r="P341" s="753"/>
      <c r="Q341" s="753"/>
      <c r="R341" s="753"/>
      <c r="S341" s="753"/>
      <c r="T341" s="753"/>
      <c r="U341" s="753"/>
      <c r="V341" s="753"/>
      <c r="W341" s="753"/>
      <c r="X341" s="753"/>
      <c r="Y341" s="753"/>
      <c r="Z341" s="753"/>
      <c r="AA341" s="753"/>
      <c r="AB341" s="753"/>
      <c r="AC341" s="753"/>
      <c r="AD341" s="753"/>
      <c r="AE341" s="753"/>
      <c r="AF341" s="754"/>
    </row>
    <row r="342" spans="1:34" ht="25.5" customHeight="1" x14ac:dyDescent="0.85">
      <c r="A342" s="739"/>
      <c r="B342" s="740"/>
      <c r="C342" s="740"/>
      <c r="D342" s="740"/>
      <c r="E342" s="740"/>
      <c r="F342" s="740"/>
      <c r="G342" s="740"/>
      <c r="H342" s="740"/>
      <c r="I342" s="740"/>
      <c r="J342" s="740"/>
      <c r="K342" s="740"/>
      <c r="L342" s="741"/>
      <c r="M342" s="752"/>
      <c r="N342" s="753"/>
      <c r="O342" s="753"/>
      <c r="P342" s="753"/>
      <c r="Q342" s="753"/>
      <c r="R342" s="753"/>
      <c r="S342" s="753"/>
      <c r="T342" s="753"/>
      <c r="U342" s="753"/>
      <c r="V342" s="753"/>
      <c r="W342" s="753"/>
      <c r="X342" s="753"/>
      <c r="Y342" s="753"/>
      <c r="Z342" s="753"/>
      <c r="AA342" s="753"/>
      <c r="AB342" s="753"/>
      <c r="AC342" s="753"/>
      <c r="AD342" s="753"/>
      <c r="AE342" s="753"/>
      <c r="AF342" s="754"/>
    </row>
    <row r="343" spans="1:34" ht="25.5" customHeight="1" x14ac:dyDescent="0.85">
      <c r="A343" s="739"/>
      <c r="B343" s="740"/>
      <c r="C343" s="740"/>
      <c r="D343" s="740"/>
      <c r="E343" s="740"/>
      <c r="F343" s="740"/>
      <c r="G343" s="740"/>
      <c r="H343" s="740"/>
      <c r="I343" s="740"/>
      <c r="J343" s="740"/>
      <c r="K343" s="740"/>
      <c r="L343" s="741"/>
      <c r="M343" s="752"/>
      <c r="N343" s="753"/>
      <c r="O343" s="753"/>
      <c r="P343" s="753"/>
      <c r="Q343" s="753"/>
      <c r="R343" s="753"/>
      <c r="S343" s="753"/>
      <c r="T343" s="753"/>
      <c r="U343" s="753"/>
      <c r="V343" s="753"/>
      <c r="W343" s="753"/>
      <c r="X343" s="753"/>
      <c r="Y343" s="753"/>
      <c r="Z343" s="753"/>
      <c r="AA343" s="753"/>
      <c r="AB343" s="753"/>
      <c r="AC343" s="753"/>
      <c r="AD343" s="753"/>
      <c r="AE343" s="753"/>
      <c r="AF343" s="754"/>
    </row>
    <row r="344" spans="1:34" ht="25.5" customHeight="1" x14ac:dyDescent="0.85">
      <c r="A344" s="739"/>
      <c r="B344" s="740"/>
      <c r="C344" s="740"/>
      <c r="D344" s="740"/>
      <c r="E344" s="740"/>
      <c r="F344" s="740"/>
      <c r="G344" s="740"/>
      <c r="H344" s="740"/>
      <c r="I344" s="740"/>
      <c r="J344" s="740"/>
      <c r="K344" s="740"/>
      <c r="L344" s="741"/>
      <c r="M344" s="752"/>
      <c r="N344" s="753"/>
      <c r="O344" s="753"/>
      <c r="P344" s="753"/>
      <c r="Q344" s="753"/>
      <c r="R344" s="753"/>
      <c r="S344" s="753"/>
      <c r="T344" s="753"/>
      <c r="U344" s="753"/>
      <c r="V344" s="753"/>
      <c r="W344" s="753"/>
      <c r="X344" s="753"/>
      <c r="Y344" s="753"/>
      <c r="Z344" s="753"/>
      <c r="AA344" s="753"/>
      <c r="AB344" s="753"/>
      <c r="AC344" s="753"/>
      <c r="AD344" s="753"/>
      <c r="AE344" s="753"/>
      <c r="AF344" s="754"/>
    </row>
    <row r="345" spans="1:34" ht="25.5" customHeight="1" x14ac:dyDescent="0.85">
      <c r="A345" s="739"/>
      <c r="B345" s="740"/>
      <c r="C345" s="740"/>
      <c r="D345" s="740"/>
      <c r="E345" s="740"/>
      <c r="F345" s="740"/>
      <c r="G345" s="740"/>
      <c r="H345" s="740"/>
      <c r="I345" s="740"/>
      <c r="J345" s="740"/>
      <c r="K345" s="740"/>
      <c r="L345" s="741"/>
      <c r="M345" s="752"/>
      <c r="N345" s="753"/>
      <c r="O345" s="753"/>
      <c r="P345" s="753"/>
      <c r="Q345" s="753"/>
      <c r="R345" s="753"/>
      <c r="S345" s="753"/>
      <c r="T345" s="753"/>
      <c r="U345" s="753"/>
      <c r="V345" s="753"/>
      <c r="W345" s="753"/>
      <c r="X345" s="753"/>
      <c r="Y345" s="753"/>
      <c r="Z345" s="753"/>
      <c r="AA345" s="753"/>
      <c r="AB345" s="753"/>
      <c r="AC345" s="753"/>
      <c r="AD345" s="753"/>
      <c r="AE345" s="753"/>
      <c r="AF345" s="754"/>
    </row>
    <row r="346" spans="1:34" ht="26.25" customHeight="1" thickBot="1" x14ac:dyDescent="0.9">
      <c r="A346" s="742"/>
      <c r="B346" s="743"/>
      <c r="C346" s="743"/>
      <c r="D346" s="743"/>
      <c r="E346" s="743"/>
      <c r="F346" s="743"/>
      <c r="G346" s="743"/>
      <c r="H346" s="743"/>
      <c r="I346" s="743"/>
      <c r="J346" s="743"/>
      <c r="K346" s="743"/>
      <c r="L346" s="744"/>
      <c r="M346" s="755"/>
      <c r="N346" s="756"/>
      <c r="O346" s="756"/>
      <c r="P346" s="756"/>
      <c r="Q346" s="756"/>
      <c r="R346" s="756"/>
      <c r="S346" s="756"/>
      <c r="T346" s="756"/>
      <c r="U346" s="756"/>
      <c r="V346" s="756"/>
      <c r="W346" s="756"/>
      <c r="X346" s="756"/>
      <c r="Y346" s="756"/>
      <c r="Z346" s="756"/>
      <c r="AA346" s="756"/>
      <c r="AB346" s="756"/>
      <c r="AC346" s="756"/>
      <c r="AD346" s="756"/>
      <c r="AE346" s="756"/>
      <c r="AF346" s="757"/>
    </row>
    <row r="347" spans="1:34" s="463" customFormat="1" ht="41.25" customHeight="1" thickBot="1" x14ac:dyDescent="1.35">
      <c r="A347" s="731" t="s">
        <v>1033</v>
      </c>
      <c r="B347" s="732"/>
      <c r="C347" s="732"/>
      <c r="D347" s="732"/>
      <c r="E347" s="732"/>
      <c r="F347" s="732"/>
      <c r="G347" s="732"/>
      <c r="H347" s="732"/>
      <c r="I347" s="732"/>
      <c r="J347" s="732"/>
      <c r="K347" s="732"/>
      <c r="L347" s="733"/>
      <c r="M347" s="734" t="s">
        <v>1035</v>
      </c>
      <c r="N347" s="734"/>
      <c r="O347" s="734"/>
      <c r="P347" s="734"/>
      <c r="Q347" s="734"/>
      <c r="R347" s="734"/>
      <c r="S347" s="734"/>
      <c r="T347" s="734"/>
      <c r="U347" s="734"/>
      <c r="V347" s="734"/>
      <c r="W347" s="734"/>
      <c r="X347" s="734"/>
      <c r="Y347" s="734"/>
      <c r="Z347" s="734"/>
      <c r="AA347" s="734"/>
      <c r="AB347" s="734"/>
      <c r="AC347" s="734"/>
      <c r="AD347" s="734"/>
      <c r="AE347" s="734"/>
      <c r="AF347" s="735"/>
      <c r="AG347" s="462"/>
      <c r="AH347" s="462"/>
    </row>
    <row r="348" spans="1:34" ht="30.75" customHeight="1" x14ac:dyDescent="0.85">
      <c r="A348" s="713" t="str">
        <f>CONCATENATE(AF312,AF292,AF281,AF267,AF243,AF226,AF214,AF192,AF138,AF114,AF99,AF62,AF54,AF22,AF8)</f>
        <v/>
      </c>
      <c r="B348" s="714"/>
      <c r="C348" s="714"/>
      <c r="D348" s="714"/>
      <c r="E348" s="714"/>
      <c r="F348" s="714"/>
      <c r="G348" s="714"/>
      <c r="H348" s="714"/>
      <c r="I348" s="714"/>
      <c r="J348" s="714"/>
      <c r="K348" s="714"/>
      <c r="L348" s="715"/>
      <c r="M348" s="722"/>
      <c r="N348" s="723"/>
      <c r="O348" s="723"/>
      <c r="P348" s="723"/>
      <c r="Q348" s="723"/>
      <c r="R348" s="723"/>
      <c r="S348" s="723"/>
      <c r="T348" s="723"/>
      <c r="U348" s="723"/>
      <c r="V348" s="723"/>
      <c r="W348" s="723"/>
      <c r="X348" s="723"/>
      <c r="Y348" s="723"/>
      <c r="Z348" s="723"/>
      <c r="AA348" s="723"/>
      <c r="AB348" s="723"/>
      <c r="AC348" s="723"/>
      <c r="AD348" s="723"/>
      <c r="AE348" s="723"/>
      <c r="AF348" s="724"/>
    </row>
    <row r="349" spans="1:34" ht="30.75" customHeight="1" x14ac:dyDescent="0.85">
      <c r="A349" s="716"/>
      <c r="B349" s="717"/>
      <c r="C349" s="717"/>
      <c r="D349" s="717"/>
      <c r="E349" s="717"/>
      <c r="F349" s="717"/>
      <c r="G349" s="717"/>
      <c r="H349" s="717"/>
      <c r="I349" s="717"/>
      <c r="J349" s="717"/>
      <c r="K349" s="717"/>
      <c r="L349" s="718"/>
      <c r="M349" s="725"/>
      <c r="N349" s="726"/>
      <c r="O349" s="726"/>
      <c r="P349" s="726"/>
      <c r="Q349" s="726"/>
      <c r="R349" s="726"/>
      <c r="S349" s="726"/>
      <c r="T349" s="726"/>
      <c r="U349" s="726"/>
      <c r="V349" s="726"/>
      <c r="W349" s="726"/>
      <c r="X349" s="726"/>
      <c r="Y349" s="726"/>
      <c r="Z349" s="726"/>
      <c r="AA349" s="726"/>
      <c r="AB349" s="726"/>
      <c r="AC349" s="726"/>
      <c r="AD349" s="726"/>
      <c r="AE349" s="726"/>
      <c r="AF349" s="727"/>
    </row>
    <row r="350" spans="1:34" ht="30.75" customHeight="1" x14ac:dyDescent="0.85">
      <c r="A350" s="716"/>
      <c r="B350" s="717"/>
      <c r="C350" s="717"/>
      <c r="D350" s="717"/>
      <c r="E350" s="717"/>
      <c r="F350" s="717"/>
      <c r="G350" s="717"/>
      <c r="H350" s="717"/>
      <c r="I350" s="717"/>
      <c r="J350" s="717"/>
      <c r="K350" s="717"/>
      <c r="L350" s="718"/>
      <c r="M350" s="725"/>
      <c r="N350" s="726"/>
      <c r="O350" s="726"/>
      <c r="P350" s="726"/>
      <c r="Q350" s="726"/>
      <c r="R350" s="726"/>
      <c r="S350" s="726"/>
      <c r="T350" s="726"/>
      <c r="U350" s="726"/>
      <c r="V350" s="726"/>
      <c r="W350" s="726"/>
      <c r="X350" s="726"/>
      <c r="Y350" s="726"/>
      <c r="Z350" s="726"/>
      <c r="AA350" s="726"/>
      <c r="AB350" s="726"/>
      <c r="AC350" s="726"/>
      <c r="AD350" s="726"/>
      <c r="AE350" s="726"/>
      <c r="AF350" s="727"/>
    </row>
    <row r="351" spans="1:34" ht="30.75" customHeight="1" x14ac:dyDescent="0.85">
      <c r="A351" s="716"/>
      <c r="B351" s="717"/>
      <c r="C351" s="717"/>
      <c r="D351" s="717"/>
      <c r="E351" s="717"/>
      <c r="F351" s="717"/>
      <c r="G351" s="717"/>
      <c r="H351" s="717"/>
      <c r="I351" s="717"/>
      <c r="J351" s="717"/>
      <c r="K351" s="717"/>
      <c r="L351" s="718"/>
      <c r="M351" s="725"/>
      <c r="N351" s="726"/>
      <c r="O351" s="726"/>
      <c r="P351" s="726"/>
      <c r="Q351" s="726"/>
      <c r="R351" s="726"/>
      <c r="S351" s="726"/>
      <c r="T351" s="726"/>
      <c r="U351" s="726"/>
      <c r="V351" s="726"/>
      <c r="W351" s="726"/>
      <c r="X351" s="726"/>
      <c r="Y351" s="726"/>
      <c r="Z351" s="726"/>
      <c r="AA351" s="726"/>
      <c r="AB351" s="726"/>
      <c r="AC351" s="726"/>
      <c r="AD351" s="726"/>
      <c r="AE351" s="726"/>
      <c r="AF351" s="727"/>
    </row>
    <row r="352" spans="1:34" ht="30.75" customHeight="1" x14ac:dyDescent="0.85">
      <c r="A352" s="716"/>
      <c r="B352" s="717"/>
      <c r="C352" s="717"/>
      <c r="D352" s="717"/>
      <c r="E352" s="717"/>
      <c r="F352" s="717"/>
      <c r="G352" s="717"/>
      <c r="H352" s="717"/>
      <c r="I352" s="717"/>
      <c r="J352" s="717"/>
      <c r="K352" s="717"/>
      <c r="L352" s="718"/>
      <c r="M352" s="725"/>
      <c r="N352" s="726"/>
      <c r="O352" s="726"/>
      <c r="P352" s="726"/>
      <c r="Q352" s="726"/>
      <c r="R352" s="726"/>
      <c r="S352" s="726"/>
      <c r="T352" s="726"/>
      <c r="U352" s="726"/>
      <c r="V352" s="726"/>
      <c r="W352" s="726"/>
      <c r="X352" s="726"/>
      <c r="Y352" s="726"/>
      <c r="Z352" s="726"/>
      <c r="AA352" s="726"/>
      <c r="AB352" s="726"/>
      <c r="AC352" s="726"/>
      <c r="AD352" s="726"/>
      <c r="AE352" s="726"/>
      <c r="AF352" s="727"/>
    </row>
    <row r="353" spans="1:32" ht="30.75" customHeight="1" x14ac:dyDescent="0.85">
      <c r="A353" s="716"/>
      <c r="B353" s="717"/>
      <c r="C353" s="717"/>
      <c r="D353" s="717"/>
      <c r="E353" s="717"/>
      <c r="F353" s="717"/>
      <c r="G353" s="717"/>
      <c r="H353" s="717"/>
      <c r="I353" s="717"/>
      <c r="J353" s="717"/>
      <c r="K353" s="717"/>
      <c r="L353" s="718"/>
      <c r="M353" s="725"/>
      <c r="N353" s="726"/>
      <c r="O353" s="726"/>
      <c r="P353" s="726"/>
      <c r="Q353" s="726"/>
      <c r="R353" s="726"/>
      <c r="S353" s="726"/>
      <c r="T353" s="726"/>
      <c r="U353" s="726"/>
      <c r="V353" s="726"/>
      <c r="W353" s="726"/>
      <c r="X353" s="726"/>
      <c r="Y353" s="726"/>
      <c r="Z353" s="726"/>
      <c r="AA353" s="726"/>
      <c r="AB353" s="726"/>
      <c r="AC353" s="726"/>
      <c r="AD353" s="726"/>
      <c r="AE353" s="726"/>
      <c r="AF353" s="727"/>
    </row>
    <row r="354" spans="1:32" ht="30.75" customHeight="1" x14ac:dyDescent="0.85">
      <c r="A354" s="716"/>
      <c r="B354" s="717"/>
      <c r="C354" s="717"/>
      <c r="D354" s="717"/>
      <c r="E354" s="717"/>
      <c r="F354" s="717"/>
      <c r="G354" s="717"/>
      <c r="H354" s="717"/>
      <c r="I354" s="717"/>
      <c r="J354" s="717"/>
      <c r="K354" s="717"/>
      <c r="L354" s="718"/>
      <c r="M354" s="725"/>
      <c r="N354" s="726"/>
      <c r="O354" s="726"/>
      <c r="P354" s="726"/>
      <c r="Q354" s="726"/>
      <c r="R354" s="726"/>
      <c r="S354" s="726"/>
      <c r="T354" s="726"/>
      <c r="U354" s="726"/>
      <c r="V354" s="726"/>
      <c r="W354" s="726"/>
      <c r="X354" s="726"/>
      <c r="Y354" s="726"/>
      <c r="Z354" s="726"/>
      <c r="AA354" s="726"/>
      <c r="AB354" s="726"/>
      <c r="AC354" s="726"/>
      <c r="AD354" s="726"/>
      <c r="AE354" s="726"/>
      <c r="AF354" s="727"/>
    </row>
    <row r="355" spans="1:32" ht="30.75" customHeight="1" x14ac:dyDescent="0.85">
      <c r="A355" s="716"/>
      <c r="B355" s="717"/>
      <c r="C355" s="717"/>
      <c r="D355" s="717"/>
      <c r="E355" s="717"/>
      <c r="F355" s="717"/>
      <c r="G355" s="717"/>
      <c r="H355" s="717"/>
      <c r="I355" s="717"/>
      <c r="J355" s="717"/>
      <c r="K355" s="717"/>
      <c r="L355" s="718"/>
      <c r="M355" s="725"/>
      <c r="N355" s="726"/>
      <c r="O355" s="726"/>
      <c r="P355" s="726"/>
      <c r="Q355" s="726"/>
      <c r="R355" s="726"/>
      <c r="S355" s="726"/>
      <c r="T355" s="726"/>
      <c r="U355" s="726"/>
      <c r="V355" s="726"/>
      <c r="W355" s="726"/>
      <c r="X355" s="726"/>
      <c r="Y355" s="726"/>
      <c r="Z355" s="726"/>
      <c r="AA355" s="726"/>
      <c r="AB355" s="726"/>
      <c r="AC355" s="726"/>
      <c r="AD355" s="726"/>
      <c r="AE355" s="726"/>
      <c r="AF355" s="727"/>
    </row>
    <row r="356" spans="1:32" ht="30.75" customHeight="1" x14ac:dyDescent="0.85">
      <c r="A356" s="716"/>
      <c r="B356" s="717"/>
      <c r="C356" s="717"/>
      <c r="D356" s="717"/>
      <c r="E356" s="717"/>
      <c r="F356" s="717"/>
      <c r="G356" s="717"/>
      <c r="H356" s="717"/>
      <c r="I356" s="717"/>
      <c r="J356" s="717"/>
      <c r="K356" s="717"/>
      <c r="L356" s="718"/>
      <c r="M356" s="725"/>
      <c r="N356" s="726"/>
      <c r="O356" s="726"/>
      <c r="P356" s="726"/>
      <c r="Q356" s="726"/>
      <c r="R356" s="726"/>
      <c r="S356" s="726"/>
      <c r="T356" s="726"/>
      <c r="U356" s="726"/>
      <c r="V356" s="726"/>
      <c r="W356" s="726"/>
      <c r="X356" s="726"/>
      <c r="Y356" s="726"/>
      <c r="Z356" s="726"/>
      <c r="AA356" s="726"/>
      <c r="AB356" s="726"/>
      <c r="AC356" s="726"/>
      <c r="AD356" s="726"/>
      <c r="AE356" s="726"/>
      <c r="AF356" s="727"/>
    </row>
    <row r="357" spans="1:32" ht="30.75" customHeight="1" x14ac:dyDescent="0.85">
      <c r="A357" s="716"/>
      <c r="B357" s="717"/>
      <c r="C357" s="717"/>
      <c r="D357" s="717"/>
      <c r="E357" s="717"/>
      <c r="F357" s="717"/>
      <c r="G357" s="717"/>
      <c r="H357" s="717"/>
      <c r="I357" s="717"/>
      <c r="J357" s="717"/>
      <c r="K357" s="717"/>
      <c r="L357" s="718"/>
      <c r="M357" s="725"/>
      <c r="N357" s="726"/>
      <c r="O357" s="726"/>
      <c r="P357" s="726"/>
      <c r="Q357" s="726"/>
      <c r="R357" s="726"/>
      <c r="S357" s="726"/>
      <c r="T357" s="726"/>
      <c r="U357" s="726"/>
      <c r="V357" s="726"/>
      <c r="W357" s="726"/>
      <c r="X357" s="726"/>
      <c r="Y357" s="726"/>
      <c r="Z357" s="726"/>
      <c r="AA357" s="726"/>
      <c r="AB357" s="726"/>
      <c r="AC357" s="726"/>
      <c r="AD357" s="726"/>
      <c r="AE357" s="726"/>
      <c r="AF357" s="727"/>
    </row>
    <row r="358" spans="1:32" ht="30.75" customHeight="1" x14ac:dyDescent="0.85">
      <c r="A358" s="716"/>
      <c r="B358" s="717"/>
      <c r="C358" s="717"/>
      <c r="D358" s="717"/>
      <c r="E358" s="717"/>
      <c r="F358" s="717"/>
      <c r="G358" s="717"/>
      <c r="H358" s="717"/>
      <c r="I358" s="717"/>
      <c r="J358" s="717"/>
      <c r="K358" s="717"/>
      <c r="L358" s="718"/>
      <c r="M358" s="725"/>
      <c r="N358" s="726"/>
      <c r="O358" s="726"/>
      <c r="P358" s="726"/>
      <c r="Q358" s="726"/>
      <c r="R358" s="726"/>
      <c r="S358" s="726"/>
      <c r="T358" s="726"/>
      <c r="U358" s="726"/>
      <c r="V358" s="726"/>
      <c r="W358" s="726"/>
      <c r="X358" s="726"/>
      <c r="Y358" s="726"/>
      <c r="Z358" s="726"/>
      <c r="AA358" s="726"/>
      <c r="AB358" s="726"/>
      <c r="AC358" s="726"/>
      <c r="AD358" s="726"/>
      <c r="AE358" s="726"/>
      <c r="AF358" s="727"/>
    </row>
    <row r="359" spans="1:32" ht="30.75" customHeight="1" x14ac:dyDescent="0.85">
      <c r="A359" s="716"/>
      <c r="B359" s="717"/>
      <c r="C359" s="717"/>
      <c r="D359" s="717"/>
      <c r="E359" s="717"/>
      <c r="F359" s="717"/>
      <c r="G359" s="717"/>
      <c r="H359" s="717"/>
      <c r="I359" s="717"/>
      <c r="J359" s="717"/>
      <c r="K359" s="717"/>
      <c r="L359" s="718"/>
      <c r="M359" s="725"/>
      <c r="N359" s="726"/>
      <c r="O359" s="726"/>
      <c r="P359" s="726"/>
      <c r="Q359" s="726"/>
      <c r="R359" s="726"/>
      <c r="S359" s="726"/>
      <c r="T359" s="726"/>
      <c r="U359" s="726"/>
      <c r="V359" s="726"/>
      <c r="W359" s="726"/>
      <c r="X359" s="726"/>
      <c r="Y359" s="726"/>
      <c r="Z359" s="726"/>
      <c r="AA359" s="726"/>
      <c r="AB359" s="726"/>
      <c r="AC359" s="726"/>
      <c r="AD359" s="726"/>
      <c r="AE359" s="726"/>
      <c r="AF359" s="727"/>
    </row>
    <row r="360" spans="1:32" ht="30.75" customHeight="1" x14ac:dyDescent="0.85">
      <c r="A360" s="716"/>
      <c r="B360" s="717"/>
      <c r="C360" s="717"/>
      <c r="D360" s="717"/>
      <c r="E360" s="717"/>
      <c r="F360" s="717"/>
      <c r="G360" s="717"/>
      <c r="H360" s="717"/>
      <c r="I360" s="717"/>
      <c r="J360" s="717"/>
      <c r="K360" s="717"/>
      <c r="L360" s="718"/>
      <c r="M360" s="725"/>
      <c r="N360" s="726"/>
      <c r="O360" s="726"/>
      <c r="P360" s="726"/>
      <c r="Q360" s="726"/>
      <c r="R360" s="726"/>
      <c r="S360" s="726"/>
      <c r="T360" s="726"/>
      <c r="U360" s="726"/>
      <c r="V360" s="726"/>
      <c r="W360" s="726"/>
      <c r="X360" s="726"/>
      <c r="Y360" s="726"/>
      <c r="Z360" s="726"/>
      <c r="AA360" s="726"/>
      <c r="AB360" s="726"/>
      <c r="AC360" s="726"/>
      <c r="AD360" s="726"/>
      <c r="AE360" s="726"/>
      <c r="AF360" s="727"/>
    </row>
    <row r="361" spans="1:32" ht="30.75" customHeight="1" x14ac:dyDescent="0.85">
      <c r="A361" s="716"/>
      <c r="B361" s="717"/>
      <c r="C361" s="717"/>
      <c r="D361" s="717"/>
      <c r="E361" s="717"/>
      <c r="F361" s="717"/>
      <c r="G361" s="717"/>
      <c r="H361" s="717"/>
      <c r="I361" s="717"/>
      <c r="J361" s="717"/>
      <c r="K361" s="717"/>
      <c r="L361" s="718"/>
      <c r="M361" s="725"/>
      <c r="N361" s="726"/>
      <c r="O361" s="726"/>
      <c r="P361" s="726"/>
      <c r="Q361" s="726"/>
      <c r="R361" s="726"/>
      <c r="S361" s="726"/>
      <c r="T361" s="726"/>
      <c r="U361" s="726"/>
      <c r="V361" s="726"/>
      <c r="W361" s="726"/>
      <c r="X361" s="726"/>
      <c r="Y361" s="726"/>
      <c r="Z361" s="726"/>
      <c r="AA361" s="726"/>
      <c r="AB361" s="726"/>
      <c r="AC361" s="726"/>
      <c r="AD361" s="726"/>
      <c r="AE361" s="726"/>
      <c r="AF361" s="727"/>
    </row>
    <row r="362" spans="1:32" ht="30.75" customHeight="1" x14ac:dyDescent="0.85">
      <c r="A362" s="716"/>
      <c r="B362" s="717"/>
      <c r="C362" s="717"/>
      <c r="D362" s="717"/>
      <c r="E362" s="717"/>
      <c r="F362" s="717"/>
      <c r="G362" s="717"/>
      <c r="H362" s="717"/>
      <c r="I362" s="717"/>
      <c r="J362" s="717"/>
      <c r="K362" s="717"/>
      <c r="L362" s="718"/>
      <c r="M362" s="725"/>
      <c r="N362" s="726"/>
      <c r="O362" s="726"/>
      <c r="P362" s="726"/>
      <c r="Q362" s="726"/>
      <c r="R362" s="726"/>
      <c r="S362" s="726"/>
      <c r="T362" s="726"/>
      <c r="U362" s="726"/>
      <c r="V362" s="726"/>
      <c r="W362" s="726"/>
      <c r="X362" s="726"/>
      <c r="Y362" s="726"/>
      <c r="Z362" s="726"/>
      <c r="AA362" s="726"/>
      <c r="AB362" s="726"/>
      <c r="AC362" s="726"/>
      <c r="AD362" s="726"/>
      <c r="AE362" s="726"/>
      <c r="AF362" s="727"/>
    </row>
    <row r="363" spans="1:32" ht="30.75" customHeight="1" x14ac:dyDescent="0.85">
      <c r="A363" s="716"/>
      <c r="B363" s="717"/>
      <c r="C363" s="717"/>
      <c r="D363" s="717"/>
      <c r="E363" s="717"/>
      <c r="F363" s="717"/>
      <c r="G363" s="717"/>
      <c r="H363" s="717"/>
      <c r="I363" s="717"/>
      <c r="J363" s="717"/>
      <c r="K363" s="717"/>
      <c r="L363" s="718"/>
      <c r="M363" s="725"/>
      <c r="N363" s="726"/>
      <c r="O363" s="726"/>
      <c r="P363" s="726"/>
      <c r="Q363" s="726"/>
      <c r="R363" s="726"/>
      <c r="S363" s="726"/>
      <c r="T363" s="726"/>
      <c r="U363" s="726"/>
      <c r="V363" s="726"/>
      <c r="W363" s="726"/>
      <c r="X363" s="726"/>
      <c r="Y363" s="726"/>
      <c r="Z363" s="726"/>
      <c r="AA363" s="726"/>
      <c r="AB363" s="726"/>
      <c r="AC363" s="726"/>
      <c r="AD363" s="726"/>
      <c r="AE363" s="726"/>
      <c r="AF363" s="727"/>
    </row>
    <row r="364" spans="1:32" ht="30.75" customHeight="1" x14ac:dyDescent="0.85">
      <c r="A364" s="716"/>
      <c r="B364" s="717"/>
      <c r="C364" s="717"/>
      <c r="D364" s="717"/>
      <c r="E364" s="717"/>
      <c r="F364" s="717"/>
      <c r="G364" s="717"/>
      <c r="H364" s="717"/>
      <c r="I364" s="717"/>
      <c r="J364" s="717"/>
      <c r="K364" s="717"/>
      <c r="L364" s="718"/>
      <c r="M364" s="725"/>
      <c r="N364" s="726"/>
      <c r="O364" s="726"/>
      <c r="P364" s="726"/>
      <c r="Q364" s="726"/>
      <c r="R364" s="726"/>
      <c r="S364" s="726"/>
      <c r="T364" s="726"/>
      <c r="U364" s="726"/>
      <c r="V364" s="726"/>
      <c r="W364" s="726"/>
      <c r="X364" s="726"/>
      <c r="Y364" s="726"/>
      <c r="Z364" s="726"/>
      <c r="AA364" s="726"/>
      <c r="AB364" s="726"/>
      <c r="AC364" s="726"/>
      <c r="AD364" s="726"/>
      <c r="AE364" s="726"/>
      <c r="AF364" s="727"/>
    </row>
    <row r="365" spans="1:32" ht="30.75" customHeight="1" x14ac:dyDescent="0.85">
      <c r="A365" s="716"/>
      <c r="B365" s="717"/>
      <c r="C365" s="717"/>
      <c r="D365" s="717"/>
      <c r="E365" s="717"/>
      <c r="F365" s="717"/>
      <c r="G365" s="717"/>
      <c r="H365" s="717"/>
      <c r="I365" s="717"/>
      <c r="J365" s="717"/>
      <c r="K365" s="717"/>
      <c r="L365" s="718"/>
      <c r="M365" s="725"/>
      <c r="N365" s="726"/>
      <c r="O365" s="726"/>
      <c r="P365" s="726"/>
      <c r="Q365" s="726"/>
      <c r="R365" s="726"/>
      <c r="S365" s="726"/>
      <c r="T365" s="726"/>
      <c r="U365" s="726"/>
      <c r="V365" s="726"/>
      <c r="W365" s="726"/>
      <c r="X365" s="726"/>
      <c r="Y365" s="726"/>
      <c r="Z365" s="726"/>
      <c r="AA365" s="726"/>
      <c r="AB365" s="726"/>
      <c r="AC365" s="726"/>
      <c r="AD365" s="726"/>
      <c r="AE365" s="726"/>
      <c r="AF365" s="727"/>
    </row>
    <row r="366" spans="1:32" ht="30.75" customHeight="1" x14ac:dyDescent="0.85">
      <c r="A366" s="716"/>
      <c r="B366" s="717"/>
      <c r="C366" s="717"/>
      <c r="D366" s="717"/>
      <c r="E366" s="717"/>
      <c r="F366" s="717"/>
      <c r="G366" s="717"/>
      <c r="H366" s="717"/>
      <c r="I366" s="717"/>
      <c r="J366" s="717"/>
      <c r="K366" s="717"/>
      <c r="L366" s="718"/>
      <c r="M366" s="725"/>
      <c r="N366" s="726"/>
      <c r="O366" s="726"/>
      <c r="P366" s="726"/>
      <c r="Q366" s="726"/>
      <c r="R366" s="726"/>
      <c r="S366" s="726"/>
      <c r="T366" s="726"/>
      <c r="U366" s="726"/>
      <c r="V366" s="726"/>
      <c r="W366" s="726"/>
      <c r="X366" s="726"/>
      <c r="Y366" s="726"/>
      <c r="Z366" s="726"/>
      <c r="AA366" s="726"/>
      <c r="AB366" s="726"/>
      <c r="AC366" s="726"/>
      <c r="AD366" s="726"/>
      <c r="AE366" s="726"/>
      <c r="AF366" s="727"/>
    </row>
    <row r="367" spans="1:32" ht="30.75" customHeight="1" x14ac:dyDescent="0.85">
      <c r="A367" s="716"/>
      <c r="B367" s="717"/>
      <c r="C367" s="717"/>
      <c r="D367" s="717"/>
      <c r="E367" s="717"/>
      <c r="F367" s="717"/>
      <c r="G367" s="717"/>
      <c r="H367" s="717"/>
      <c r="I367" s="717"/>
      <c r="J367" s="717"/>
      <c r="K367" s="717"/>
      <c r="L367" s="718"/>
      <c r="M367" s="725"/>
      <c r="N367" s="726"/>
      <c r="O367" s="726"/>
      <c r="P367" s="726"/>
      <c r="Q367" s="726"/>
      <c r="R367" s="726"/>
      <c r="S367" s="726"/>
      <c r="T367" s="726"/>
      <c r="U367" s="726"/>
      <c r="V367" s="726"/>
      <c r="W367" s="726"/>
      <c r="X367" s="726"/>
      <c r="Y367" s="726"/>
      <c r="Z367" s="726"/>
      <c r="AA367" s="726"/>
      <c r="AB367" s="726"/>
      <c r="AC367" s="726"/>
      <c r="AD367" s="726"/>
      <c r="AE367" s="726"/>
      <c r="AF367" s="727"/>
    </row>
    <row r="368" spans="1:32" ht="30.75" customHeight="1" x14ac:dyDescent="0.85">
      <c r="A368" s="716"/>
      <c r="B368" s="717"/>
      <c r="C368" s="717"/>
      <c r="D368" s="717"/>
      <c r="E368" s="717"/>
      <c r="F368" s="717"/>
      <c r="G368" s="717"/>
      <c r="H368" s="717"/>
      <c r="I368" s="717"/>
      <c r="J368" s="717"/>
      <c r="K368" s="717"/>
      <c r="L368" s="718"/>
      <c r="M368" s="725"/>
      <c r="N368" s="726"/>
      <c r="O368" s="726"/>
      <c r="P368" s="726"/>
      <c r="Q368" s="726"/>
      <c r="R368" s="726"/>
      <c r="S368" s="726"/>
      <c r="T368" s="726"/>
      <c r="U368" s="726"/>
      <c r="V368" s="726"/>
      <c r="W368" s="726"/>
      <c r="X368" s="726"/>
      <c r="Y368" s="726"/>
      <c r="Z368" s="726"/>
      <c r="AA368" s="726"/>
      <c r="AB368" s="726"/>
      <c r="AC368" s="726"/>
      <c r="AD368" s="726"/>
      <c r="AE368" s="726"/>
      <c r="AF368" s="727"/>
    </row>
    <row r="369" spans="1:32" ht="30.75" customHeight="1" x14ac:dyDescent="0.85">
      <c r="A369" s="716"/>
      <c r="B369" s="717"/>
      <c r="C369" s="717"/>
      <c r="D369" s="717"/>
      <c r="E369" s="717"/>
      <c r="F369" s="717"/>
      <c r="G369" s="717"/>
      <c r="H369" s="717"/>
      <c r="I369" s="717"/>
      <c r="J369" s="717"/>
      <c r="K369" s="717"/>
      <c r="L369" s="718"/>
      <c r="M369" s="725"/>
      <c r="N369" s="726"/>
      <c r="O369" s="726"/>
      <c r="P369" s="726"/>
      <c r="Q369" s="726"/>
      <c r="R369" s="726"/>
      <c r="S369" s="726"/>
      <c r="T369" s="726"/>
      <c r="U369" s="726"/>
      <c r="V369" s="726"/>
      <c r="W369" s="726"/>
      <c r="X369" s="726"/>
      <c r="Y369" s="726"/>
      <c r="Z369" s="726"/>
      <c r="AA369" s="726"/>
      <c r="AB369" s="726"/>
      <c r="AC369" s="726"/>
      <c r="AD369" s="726"/>
      <c r="AE369" s="726"/>
      <c r="AF369" s="727"/>
    </row>
    <row r="370" spans="1:32" ht="30.75" customHeight="1" x14ac:dyDescent="0.85">
      <c r="A370" s="716"/>
      <c r="B370" s="717"/>
      <c r="C370" s="717"/>
      <c r="D370" s="717"/>
      <c r="E370" s="717"/>
      <c r="F370" s="717"/>
      <c r="G370" s="717"/>
      <c r="H370" s="717"/>
      <c r="I370" s="717"/>
      <c r="J370" s="717"/>
      <c r="K370" s="717"/>
      <c r="L370" s="718"/>
      <c r="M370" s="725"/>
      <c r="N370" s="726"/>
      <c r="O370" s="726"/>
      <c r="P370" s="726"/>
      <c r="Q370" s="726"/>
      <c r="R370" s="726"/>
      <c r="S370" s="726"/>
      <c r="T370" s="726"/>
      <c r="U370" s="726"/>
      <c r="V370" s="726"/>
      <c r="W370" s="726"/>
      <c r="X370" s="726"/>
      <c r="Y370" s="726"/>
      <c r="Z370" s="726"/>
      <c r="AA370" s="726"/>
      <c r="AB370" s="726"/>
      <c r="AC370" s="726"/>
      <c r="AD370" s="726"/>
      <c r="AE370" s="726"/>
      <c r="AF370" s="727"/>
    </row>
    <row r="371" spans="1:32" ht="30.75" customHeight="1" x14ac:dyDescent="0.85">
      <c r="A371" s="716"/>
      <c r="B371" s="717"/>
      <c r="C371" s="717"/>
      <c r="D371" s="717"/>
      <c r="E371" s="717"/>
      <c r="F371" s="717"/>
      <c r="G371" s="717"/>
      <c r="H371" s="717"/>
      <c r="I371" s="717"/>
      <c r="J371" s="717"/>
      <c r="K371" s="717"/>
      <c r="L371" s="718"/>
      <c r="M371" s="725"/>
      <c r="N371" s="726"/>
      <c r="O371" s="726"/>
      <c r="P371" s="726"/>
      <c r="Q371" s="726"/>
      <c r="R371" s="726"/>
      <c r="S371" s="726"/>
      <c r="T371" s="726"/>
      <c r="U371" s="726"/>
      <c r="V371" s="726"/>
      <c r="W371" s="726"/>
      <c r="X371" s="726"/>
      <c r="Y371" s="726"/>
      <c r="Z371" s="726"/>
      <c r="AA371" s="726"/>
      <c r="AB371" s="726"/>
      <c r="AC371" s="726"/>
      <c r="AD371" s="726"/>
      <c r="AE371" s="726"/>
      <c r="AF371" s="727"/>
    </row>
    <row r="372" spans="1:32" ht="30.75" customHeight="1" x14ac:dyDescent="0.85">
      <c r="A372" s="716"/>
      <c r="B372" s="717"/>
      <c r="C372" s="717"/>
      <c r="D372" s="717"/>
      <c r="E372" s="717"/>
      <c r="F372" s="717"/>
      <c r="G372" s="717"/>
      <c r="H372" s="717"/>
      <c r="I372" s="717"/>
      <c r="J372" s="717"/>
      <c r="K372" s="717"/>
      <c r="L372" s="718"/>
      <c r="M372" s="725"/>
      <c r="N372" s="726"/>
      <c r="O372" s="726"/>
      <c r="P372" s="726"/>
      <c r="Q372" s="726"/>
      <c r="R372" s="726"/>
      <c r="S372" s="726"/>
      <c r="T372" s="726"/>
      <c r="U372" s="726"/>
      <c r="V372" s="726"/>
      <c r="W372" s="726"/>
      <c r="X372" s="726"/>
      <c r="Y372" s="726"/>
      <c r="Z372" s="726"/>
      <c r="AA372" s="726"/>
      <c r="AB372" s="726"/>
      <c r="AC372" s="726"/>
      <c r="AD372" s="726"/>
      <c r="AE372" s="726"/>
      <c r="AF372" s="727"/>
    </row>
    <row r="373" spans="1:32" ht="30.75" customHeight="1" x14ac:dyDescent="0.85">
      <c r="A373" s="716"/>
      <c r="B373" s="717"/>
      <c r="C373" s="717"/>
      <c r="D373" s="717"/>
      <c r="E373" s="717"/>
      <c r="F373" s="717"/>
      <c r="G373" s="717"/>
      <c r="H373" s="717"/>
      <c r="I373" s="717"/>
      <c r="J373" s="717"/>
      <c r="K373" s="717"/>
      <c r="L373" s="718"/>
      <c r="M373" s="725"/>
      <c r="N373" s="726"/>
      <c r="O373" s="726"/>
      <c r="P373" s="726"/>
      <c r="Q373" s="726"/>
      <c r="R373" s="726"/>
      <c r="S373" s="726"/>
      <c r="T373" s="726"/>
      <c r="U373" s="726"/>
      <c r="V373" s="726"/>
      <c r="W373" s="726"/>
      <c r="X373" s="726"/>
      <c r="Y373" s="726"/>
      <c r="Z373" s="726"/>
      <c r="AA373" s="726"/>
      <c r="AB373" s="726"/>
      <c r="AC373" s="726"/>
      <c r="AD373" s="726"/>
      <c r="AE373" s="726"/>
      <c r="AF373" s="727"/>
    </row>
    <row r="374" spans="1:32" ht="30.75" customHeight="1" x14ac:dyDescent="0.85">
      <c r="A374" s="716"/>
      <c r="B374" s="717"/>
      <c r="C374" s="717"/>
      <c r="D374" s="717"/>
      <c r="E374" s="717"/>
      <c r="F374" s="717"/>
      <c r="G374" s="717"/>
      <c r="H374" s="717"/>
      <c r="I374" s="717"/>
      <c r="J374" s="717"/>
      <c r="K374" s="717"/>
      <c r="L374" s="718"/>
      <c r="M374" s="725"/>
      <c r="N374" s="726"/>
      <c r="O374" s="726"/>
      <c r="P374" s="726"/>
      <c r="Q374" s="726"/>
      <c r="R374" s="726"/>
      <c r="S374" s="726"/>
      <c r="T374" s="726"/>
      <c r="U374" s="726"/>
      <c r="V374" s="726"/>
      <c r="W374" s="726"/>
      <c r="X374" s="726"/>
      <c r="Y374" s="726"/>
      <c r="Z374" s="726"/>
      <c r="AA374" s="726"/>
      <c r="AB374" s="726"/>
      <c r="AC374" s="726"/>
      <c r="AD374" s="726"/>
      <c r="AE374" s="726"/>
      <c r="AF374" s="727"/>
    </row>
    <row r="375" spans="1:32" ht="30.75" customHeight="1" x14ac:dyDescent="0.85">
      <c r="A375" s="716"/>
      <c r="B375" s="717"/>
      <c r="C375" s="717"/>
      <c r="D375" s="717"/>
      <c r="E375" s="717"/>
      <c r="F375" s="717"/>
      <c r="G375" s="717"/>
      <c r="H375" s="717"/>
      <c r="I375" s="717"/>
      <c r="J375" s="717"/>
      <c r="K375" s="717"/>
      <c r="L375" s="718"/>
      <c r="M375" s="725"/>
      <c r="N375" s="726"/>
      <c r="O375" s="726"/>
      <c r="P375" s="726"/>
      <c r="Q375" s="726"/>
      <c r="R375" s="726"/>
      <c r="S375" s="726"/>
      <c r="T375" s="726"/>
      <c r="U375" s="726"/>
      <c r="V375" s="726"/>
      <c r="W375" s="726"/>
      <c r="X375" s="726"/>
      <c r="Y375" s="726"/>
      <c r="Z375" s="726"/>
      <c r="AA375" s="726"/>
      <c r="AB375" s="726"/>
      <c r="AC375" s="726"/>
      <c r="AD375" s="726"/>
      <c r="AE375" s="726"/>
      <c r="AF375" s="727"/>
    </row>
    <row r="376" spans="1:32" ht="30.75" customHeight="1" x14ac:dyDescent="0.85">
      <c r="A376" s="716"/>
      <c r="B376" s="717"/>
      <c r="C376" s="717"/>
      <c r="D376" s="717"/>
      <c r="E376" s="717"/>
      <c r="F376" s="717"/>
      <c r="G376" s="717"/>
      <c r="H376" s="717"/>
      <c r="I376" s="717"/>
      <c r="J376" s="717"/>
      <c r="K376" s="717"/>
      <c r="L376" s="718"/>
      <c r="M376" s="725"/>
      <c r="N376" s="726"/>
      <c r="O376" s="726"/>
      <c r="P376" s="726"/>
      <c r="Q376" s="726"/>
      <c r="R376" s="726"/>
      <c r="S376" s="726"/>
      <c r="T376" s="726"/>
      <c r="U376" s="726"/>
      <c r="V376" s="726"/>
      <c r="W376" s="726"/>
      <c r="X376" s="726"/>
      <c r="Y376" s="726"/>
      <c r="Z376" s="726"/>
      <c r="AA376" s="726"/>
      <c r="AB376" s="726"/>
      <c r="AC376" s="726"/>
      <c r="AD376" s="726"/>
      <c r="AE376" s="726"/>
      <c r="AF376" s="727"/>
    </row>
    <row r="377" spans="1:32" ht="30.75" customHeight="1" thickBot="1" x14ac:dyDescent="0.9">
      <c r="A377" s="719"/>
      <c r="B377" s="720"/>
      <c r="C377" s="720"/>
      <c r="D377" s="720"/>
      <c r="E377" s="720"/>
      <c r="F377" s="720"/>
      <c r="G377" s="720"/>
      <c r="H377" s="720"/>
      <c r="I377" s="720"/>
      <c r="J377" s="720"/>
      <c r="K377" s="720"/>
      <c r="L377" s="721"/>
      <c r="M377" s="728"/>
      <c r="N377" s="729"/>
      <c r="O377" s="729"/>
      <c r="P377" s="729"/>
      <c r="Q377" s="729"/>
      <c r="R377" s="729"/>
      <c r="S377" s="729"/>
      <c r="T377" s="729"/>
      <c r="U377" s="729"/>
      <c r="V377" s="729"/>
      <c r="W377" s="729"/>
      <c r="X377" s="729"/>
      <c r="Y377" s="729"/>
      <c r="Z377" s="729"/>
      <c r="AA377" s="729"/>
      <c r="AB377" s="729"/>
      <c r="AC377" s="729"/>
      <c r="AD377" s="729"/>
      <c r="AE377" s="729"/>
      <c r="AF377" s="730"/>
    </row>
  </sheetData>
  <sheetProtection algorithmName="SHA-512" hashValue="iaudTWHBWzwSE+++iBjlSxzsPDhMb3+qsczi6Gd6An0qpnkJlUzuu5yasua2FYpMq2bWsxJ/rz/E0iS4MaMdXA==" saltValue="U/yxnagCkMBqRJWCnG3aSQ==" spinCount="100000" sheet="1" selectLockedCells="1"/>
  <mergeCells count="359">
    <mergeCell ref="A348:L377"/>
    <mergeCell ref="M348:AF377"/>
    <mergeCell ref="A347:L347"/>
    <mergeCell ref="M347:AF347"/>
    <mergeCell ref="A326:L346"/>
    <mergeCell ref="A325:L325"/>
    <mergeCell ref="M325:AF325"/>
    <mergeCell ref="M326:AF346"/>
    <mergeCell ref="AD138:AD146"/>
    <mergeCell ref="AD147:AD155"/>
    <mergeCell ref="AD156:AD164"/>
    <mergeCell ref="AD165:AD173"/>
    <mergeCell ref="AD174:AD188"/>
    <mergeCell ref="AD243:AD266"/>
    <mergeCell ref="AD267:AD280"/>
    <mergeCell ref="AF243:AF266"/>
    <mergeCell ref="AF267:AF280"/>
    <mergeCell ref="AD192:AD213"/>
    <mergeCell ref="AD214:AD222"/>
    <mergeCell ref="AF192:AF213"/>
    <mergeCell ref="AF214:AF222"/>
    <mergeCell ref="A138:A146"/>
    <mergeCell ref="A185:A188"/>
    <mergeCell ref="A176:A177"/>
    <mergeCell ref="A4:C4"/>
    <mergeCell ref="A278:A280"/>
    <mergeCell ref="A267:A277"/>
    <mergeCell ref="AD312:AD321"/>
    <mergeCell ref="AF312:AF321"/>
    <mergeCell ref="AD62:AD95"/>
    <mergeCell ref="A231:A232"/>
    <mergeCell ref="A202:A205"/>
    <mergeCell ref="AF292:AF310"/>
    <mergeCell ref="A298:A303"/>
    <mergeCell ref="C20:C21"/>
    <mergeCell ref="C97:C98"/>
    <mergeCell ref="B136:B137"/>
    <mergeCell ref="B20:B21"/>
    <mergeCell ref="A20:A21"/>
    <mergeCell ref="C60:C61"/>
    <mergeCell ref="A52:A53"/>
    <mergeCell ref="B52:B53"/>
    <mergeCell ref="A73:A76"/>
    <mergeCell ref="A174:A175"/>
    <mergeCell ref="AD290:AD291"/>
    <mergeCell ref="D60:I61"/>
    <mergeCell ref="D112:K113"/>
    <mergeCell ref="AD292:AD310"/>
    <mergeCell ref="AA1:AB1"/>
    <mergeCell ref="AE290:AE291"/>
    <mergeCell ref="X241:Y241"/>
    <mergeCell ref="J224:K224"/>
    <mergeCell ref="Z190:AA190"/>
    <mergeCell ref="AB190:AB191"/>
    <mergeCell ref="AB224:AB225"/>
    <mergeCell ref="L60:M60"/>
    <mergeCell ref="N60:O60"/>
    <mergeCell ref="P60:Q60"/>
    <mergeCell ref="R60:S60"/>
    <mergeCell ref="T60:U60"/>
    <mergeCell ref="AB60:AB61"/>
    <mergeCell ref="AD20:AD21"/>
    <mergeCell ref="AD136:AD137"/>
    <mergeCell ref="AD114:AD134"/>
    <mergeCell ref="AD112:AD113"/>
    <mergeCell ref="T190:U190"/>
    <mergeCell ref="R190:S190"/>
    <mergeCell ref="N290:O290"/>
    <mergeCell ref="P290:Q290"/>
    <mergeCell ref="R290:S290"/>
    <mergeCell ref="T290:U290"/>
    <mergeCell ref="V136:W136"/>
    <mergeCell ref="D1:E1"/>
    <mergeCell ref="F1:G1"/>
    <mergeCell ref="H1:J1"/>
    <mergeCell ref="A7:AF7"/>
    <mergeCell ref="A5:A6"/>
    <mergeCell ref="B5:B6"/>
    <mergeCell ref="C5:C6"/>
    <mergeCell ref="D5:E5"/>
    <mergeCell ref="AD99:AD110"/>
    <mergeCell ref="AD97:AD98"/>
    <mergeCell ref="D4:V4"/>
    <mergeCell ref="V60:W60"/>
    <mergeCell ref="K1:Q1"/>
    <mergeCell ref="R1:S1"/>
    <mergeCell ref="T1:V1"/>
    <mergeCell ref="W1:X1"/>
    <mergeCell ref="X60:Y60"/>
    <mergeCell ref="P20:Q20"/>
    <mergeCell ref="R20:S20"/>
    <mergeCell ref="A41:A42"/>
    <mergeCell ref="A87:A93"/>
    <mergeCell ref="A94:A95"/>
    <mergeCell ref="A54:A58"/>
    <mergeCell ref="AC84:AC85"/>
    <mergeCell ref="A147:A155"/>
    <mergeCell ref="A156:A164"/>
    <mergeCell ref="A165:A173"/>
    <mergeCell ref="A178:A184"/>
    <mergeCell ref="V224:W224"/>
    <mergeCell ref="X224:Y224"/>
    <mergeCell ref="Z224:AA224"/>
    <mergeCell ref="L224:M224"/>
    <mergeCell ref="N224:O224"/>
    <mergeCell ref="P224:Q224"/>
    <mergeCell ref="R224:S224"/>
    <mergeCell ref="T224:U224"/>
    <mergeCell ref="D224:E224"/>
    <mergeCell ref="F224:G224"/>
    <mergeCell ref="H224:I224"/>
    <mergeCell ref="A212:A213"/>
    <mergeCell ref="AC290:AC291"/>
    <mergeCell ref="AC241:AC242"/>
    <mergeCell ref="AC224:AC225"/>
    <mergeCell ref="P136:Q136"/>
    <mergeCell ref="R136:S136"/>
    <mergeCell ref="T136:U136"/>
    <mergeCell ref="N190:O190"/>
    <mergeCell ref="P190:Q190"/>
    <mergeCell ref="B190:B191"/>
    <mergeCell ref="C190:C191"/>
    <mergeCell ref="J190:K190"/>
    <mergeCell ref="A103:A104"/>
    <mergeCell ref="A105:A106"/>
    <mergeCell ref="A128:A134"/>
    <mergeCell ref="A121:A127"/>
    <mergeCell ref="A114:A120"/>
    <mergeCell ref="D136:E136"/>
    <mergeCell ref="F136:G136"/>
    <mergeCell ref="H136:I136"/>
    <mergeCell ref="J136:K136"/>
    <mergeCell ref="C112:C113"/>
    <mergeCell ref="C136:C137"/>
    <mergeCell ref="B60:B61"/>
    <mergeCell ref="H241:I241"/>
    <mergeCell ref="J241:K241"/>
    <mergeCell ref="L241:M241"/>
    <mergeCell ref="A84:A86"/>
    <mergeCell ref="A224:A225"/>
    <mergeCell ref="AC190:AC191"/>
    <mergeCell ref="AC136:AC137"/>
    <mergeCell ref="AC206:AC207"/>
    <mergeCell ref="AC212:AC213"/>
    <mergeCell ref="AC202:AC203"/>
    <mergeCell ref="AC198:AC199"/>
    <mergeCell ref="X136:Y136"/>
    <mergeCell ref="Z136:AA136"/>
    <mergeCell ref="J60:K60"/>
    <mergeCell ref="AC112:AC113"/>
    <mergeCell ref="R112:S112"/>
    <mergeCell ref="T112:U112"/>
    <mergeCell ref="V112:W112"/>
    <mergeCell ref="X112:Y112"/>
    <mergeCell ref="Z112:AA112"/>
    <mergeCell ref="AB112:AB113"/>
    <mergeCell ref="AB136:AB137"/>
    <mergeCell ref="L136:M136"/>
    <mergeCell ref="A97:A98"/>
    <mergeCell ref="B97:B98"/>
    <mergeCell ref="A99:A100"/>
    <mergeCell ref="A101:A102"/>
    <mergeCell ref="A198:A201"/>
    <mergeCell ref="A206:A211"/>
    <mergeCell ref="A229:A230"/>
    <mergeCell ref="A223:AF223"/>
    <mergeCell ref="A189:AF189"/>
    <mergeCell ref="A135:AF135"/>
    <mergeCell ref="A111:AF111"/>
    <mergeCell ref="AF224:AF225"/>
    <mergeCell ref="J97:K97"/>
    <mergeCell ref="AF112:AF113"/>
    <mergeCell ref="L112:M112"/>
    <mergeCell ref="N112:O112"/>
    <mergeCell ref="P112:Q112"/>
    <mergeCell ref="L97:M97"/>
    <mergeCell ref="N97:O97"/>
    <mergeCell ref="D97:E97"/>
    <mergeCell ref="F97:G97"/>
    <mergeCell ref="H97:I97"/>
    <mergeCell ref="C224:C225"/>
    <mergeCell ref="N136:O136"/>
    <mergeCell ref="A304:A310"/>
    <mergeCell ref="V290:W290"/>
    <mergeCell ref="X290:Y290"/>
    <mergeCell ref="D241:E241"/>
    <mergeCell ref="F241:G241"/>
    <mergeCell ref="Z241:AA241"/>
    <mergeCell ref="B241:B242"/>
    <mergeCell ref="A290:A291"/>
    <mergeCell ref="B290:B291"/>
    <mergeCell ref="A292:A297"/>
    <mergeCell ref="C290:C291"/>
    <mergeCell ref="Z290:AA290"/>
    <mergeCell ref="L290:M290"/>
    <mergeCell ref="H290:I290"/>
    <mergeCell ref="J290:K290"/>
    <mergeCell ref="V241:W241"/>
    <mergeCell ref="N241:O241"/>
    <mergeCell ref="P241:Q241"/>
    <mergeCell ref="R241:S241"/>
    <mergeCell ref="T241:U241"/>
    <mergeCell ref="C241:C242"/>
    <mergeCell ref="A241:A242"/>
    <mergeCell ref="D290:E290"/>
    <mergeCell ref="F290:G290"/>
    <mergeCell ref="R5:S5"/>
    <mergeCell ref="T5:U5"/>
    <mergeCell ref="V5:W5"/>
    <mergeCell ref="X5:Y5"/>
    <mergeCell ref="Z5:AA5"/>
    <mergeCell ref="AC43:AC44"/>
    <mergeCell ref="AB5:AB6"/>
    <mergeCell ref="AC5:AC6"/>
    <mergeCell ref="P97:Q97"/>
    <mergeCell ref="AC97:AC98"/>
    <mergeCell ref="Z60:AA60"/>
    <mergeCell ref="R97:S97"/>
    <mergeCell ref="T97:U97"/>
    <mergeCell ref="AC1:AF1"/>
    <mergeCell ref="V52:W52"/>
    <mergeCell ref="X20:Y20"/>
    <mergeCell ref="Z20:AA20"/>
    <mergeCell ref="A2:AC2"/>
    <mergeCell ref="H20:I20"/>
    <mergeCell ref="A35:A36"/>
    <mergeCell ref="A37:A38"/>
    <mergeCell ref="A39:A40"/>
    <mergeCell ref="A22:A30"/>
    <mergeCell ref="V20:W20"/>
    <mergeCell ref="C52:C53"/>
    <mergeCell ref="AC20:AC21"/>
    <mergeCell ref="AE52:AE53"/>
    <mergeCell ref="AB20:AB21"/>
    <mergeCell ref="T20:U20"/>
    <mergeCell ref="J20:K20"/>
    <mergeCell ref="L20:M20"/>
    <mergeCell ref="Z52:AA52"/>
    <mergeCell ref="J52:K52"/>
    <mergeCell ref="L52:M52"/>
    <mergeCell ref="N52:O52"/>
    <mergeCell ref="P52:Q52"/>
    <mergeCell ref="AC35:AC36"/>
    <mergeCell ref="B1:C1"/>
    <mergeCell ref="AC41:AC42"/>
    <mergeCell ref="AC22:AC23"/>
    <mergeCell ref="AE112:AE113"/>
    <mergeCell ref="A51:AF51"/>
    <mergeCell ref="AF54:AF58"/>
    <mergeCell ref="AF62:AF95"/>
    <mergeCell ref="AF99:AF110"/>
    <mergeCell ref="AC45:AC46"/>
    <mergeCell ref="AF22:AF50"/>
    <mergeCell ref="AF20:AF21"/>
    <mergeCell ref="A19:AF19"/>
    <mergeCell ref="AD22:AD50"/>
    <mergeCell ref="AC26:AC27"/>
    <mergeCell ref="AC31:AC32"/>
    <mergeCell ref="AC33:AC34"/>
    <mergeCell ref="F5:G5"/>
    <mergeCell ref="H5:I5"/>
    <mergeCell ref="J5:K5"/>
    <mergeCell ref="L5:M5"/>
    <mergeCell ref="N5:O5"/>
    <mergeCell ref="P5:Q5"/>
    <mergeCell ref="AD52:AD53"/>
    <mergeCell ref="A49:A50"/>
    <mergeCell ref="AD60:AD61"/>
    <mergeCell ref="AD54:AD58"/>
    <mergeCell ref="A59:AF59"/>
    <mergeCell ref="AF52:AF53"/>
    <mergeCell ref="AF60:AF61"/>
    <mergeCell ref="AF97:AF98"/>
    <mergeCell ref="AE20:AE21"/>
    <mergeCell ref="AC37:AC38"/>
    <mergeCell ref="AC39:AC40"/>
    <mergeCell ref="AC47:AC48"/>
    <mergeCell ref="R52:S52"/>
    <mergeCell ref="T52:U52"/>
    <mergeCell ref="A47:A48"/>
    <mergeCell ref="A43:A44"/>
    <mergeCell ref="A31:A32"/>
    <mergeCell ref="A33:A34"/>
    <mergeCell ref="D20:E20"/>
    <mergeCell ref="F20:G20"/>
    <mergeCell ref="X52:Y52"/>
    <mergeCell ref="D52:I53"/>
    <mergeCell ref="N20:O20"/>
    <mergeCell ref="A67:A72"/>
    <mergeCell ref="A96:AF96"/>
    <mergeCell ref="AB97:AB98"/>
    <mergeCell ref="AE5:AE6"/>
    <mergeCell ref="A45:A46"/>
    <mergeCell ref="A8:A10"/>
    <mergeCell ref="A192:A197"/>
    <mergeCell ref="A62:A65"/>
    <mergeCell ref="AF136:AF137"/>
    <mergeCell ref="AF190:AF191"/>
    <mergeCell ref="AF138:AF188"/>
    <mergeCell ref="AE190:AE191"/>
    <mergeCell ref="AC185:AC186"/>
    <mergeCell ref="AC183:AC184"/>
    <mergeCell ref="AE97:AE98"/>
    <mergeCell ref="AC52:AC53"/>
    <mergeCell ref="AE136:AE137"/>
    <mergeCell ref="AC60:AC61"/>
    <mergeCell ref="AE60:AE61"/>
    <mergeCell ref="AF114:AF134"/>
    <mergeCell ref="A60:A61"/>
    <mergeCell ref="V97:W97"/>
    <mergeCell ref="X97:Y97"/>
    <mergeCell ref="Z97:AA97"/>
    <mergeCell ref="F190:G190"/>
    <mergeCell ref="H190:I190"/>
    <mergeCell ref="AB52:AB53"/>
    <mergeCell ref="AF226:AF239"/>
    <mergeCell ref="AE224:AE225"/>
    <mergeCell ref="AD226:AD239"/>
    <mergeCell ref="L190:M190"/>
    <mergeCell ref="D190:E190"/>
    <mergeCell ref="A281:A288"/>
    <mergeCell ref="A214:A216"/>
    <mergeCell ref="A220:A222"/>
    <mergeCell ref="B224:B225"/>
    <mergeCell ref="AB241:AB242"/>
    <mergeCell ref="A226:A228"/>
    <mergeCell ref="A233:A235"/>
    <mergeCell ref="A217:A219"/>
    <mergeCell ref="AD281:AD288"/>
    <mergeCell ref="AF281:AF288"/>
    <mergeCell ref="V190:W190"/>
    <mergeCell ref="X190:Y190"/>
    <mergeCell ref="AD190:AD191"/>
    <mergeCell ref="A237:A239"/>
    <mergeCell ref="A190:A191"/>
    <mergeCell ref="A11:A13"/>
    <mergeCell ref="A15:A17"/>
    <mergeCell ref="AD8:AD18"/>
    <mergeCell ref="AF8:AF18"/>
    <mergeCell ref="A311:AF311"/>
    <mergeCell ref="A312:A321"/>
    <mergeCell ref="A244:A249"/>
    <mergeCell ref="A251:A252"/>
    <mergeCell ref="A259:A266"/>
    <mergeCell ref="A78:A83"/>
    <mergeCell ref="AF290:AF291"/>
    <mergeCell ref="A289:AF289"/>
    <mergeCell ref="A240:AF240"/>
    <mergeCell ref="A253:A258"/>
    <mergeCell ref="AF241:AF242"/>
    <mergeCell ref="AE241:AE242"/>
    <mergeCell ref="AD224:AD225"/>
    <mergeCell ref="AD241:AD242"/>
    <mergeCell ref="A107:A108"/>
    <mergeCell ref="A112:A113"/>
    <mergeCell ref="B112:B113"/>
    <mergeCell ref="A136:A137"/>
    <mergeCell ref="A109:A110"/>
    <mergeCell ref="AB290:AB291"/>
  </mergeCells>
  <phoneticPr fontId="3" type="noConversion"/>
  <conditionalFormatting sqref="AC22">
    <cfRule type="notContainsBlanks" dxfId="910" priority="1387">
      <formula>LEN(TRIM(AC22))&gt;0</formula>
    </cfRule>
  </conditionalFormatting>
  <conditionalFormatting sqref="AC26:AC27">
    <cfRule type="notContainsBlanks" dxfId="909" priority="1388">
      <formula>LEN(TRIM(AC26))&gt;0</formula>
    </cfRule>
  </conditionalFormatting>
  <conditionalFormatting sqref="AC31:AC32">
    <cfRule type="notContainsBlanks" dxfId="908" priority="1391">
      <formula>LEN(TRIM(AC31))&gt;0</formula>
    </cfRule>
  </conditionalFormatting>
  <conditionalFormatting sqref="AC33:AC34">
    <cfRule type="notContainsBlanks" dxfId="907" priority="1389">
      <formula>LEN(TRIM(AC33))&gt;0</formula>
    </cfRule>
  </conditionalFormatting>
  <conditionalFormatting sqref="AC35:AC36">
    <cfRule type="notContainsBlanks" dxfId="906" priority="1382">
      <formula>LEN(TRIM(AC35))&gt;0</formula>
    </cfRule>
  </conditionalFormatting>
  <conditionalFormatting sqref="AC37:AC38">
    <cfRule type="notContainsBlanks" dxfId="905" priority="1381">
      <formula>LEN(TRIM(AC37))&gt;0</formula>
    </cfRule>
  </conditionalFormatting>
  <conditionalFormatting sqref="AC39:AC40">
    <cfRule type="notContainsBlanks" dxfId="904" priority="1380">
      <formula>LEN(TRIM(AC39))&gt;0</formula>
    </cfRule>
  </conditionalFormatting>
  <conditionalFormatting sqref="AC41:AC42">
    <cfRule type="notContainsBlanks" dxfId="903" priority="1379">
      <formula>LEN(TRIM(AC41))&gt;0</formula>
    </cfRule>
  </conditionalFormatting>
  <conditionalFormatting sqref="AC43:AC44">
    <cfRule type="notContainsBlanks" dxfId="902" priority="1378">
      <formula>LEN(TRIM(AC43))&gt;0</formula>
    </cfRule>
  </conditionalFormatting>
  <conditionalFormatting sqref="AC45:AC46">
    <cfRule type="notContainsBlanks" dxfId="901" priority="1377">
      <formula>LEN(TRIM(AC45))&gt;0</formula>
    </cfRule>
  </conditionalFormatting>
  <conditionalFormatting sqref="AC47:AC48">
    <cfRule type="notContainsBlanks" dxfId="900" priority="1376">
      <formula>LEN(TRIM(AC47))&gt;0</formula>
    </cfRule>
  </conditionalFormatting>
  <conditionalFormatting sqref="AC49:AC50">
    <cfRule type="notContainsBlanks" dxfId="899" priority="1375">
      <formula>LEN(TRIM(AC49))&gt;0</formula>
    </cfRule>
  </conditionalFormatting>
  <conditionalFormatting sqref="AC62 AC64:AC65">
    <cfRule type="notContainsBlanks" dxfId="898" priority="1392">
      <formula>LEN(TRIM(AC62))&gt;0</formula>
    </cfRule>
  </conditionalFormatting>
  <conditionalFormatting sqref="AC66:AC72">
    <cfRule type="notContainsBlanks" dxfId="897" priority="1393">
      <formula>LEN(TRIM(AC66))&gt;0</formula>
    </cfRule>
  </conditionalFormatting>
  <conditionalFormatting sqref="AC84:AC85">
    <cfRule type="notContainsBlanks" dxfId="896" priority="1372">
      <formula>LEN(TRIM(AC84))&gt;0</formula>
    </cfRule>
  </conditionalFormatting>
  <conditionalFormatting sqref="AC99">
    <cfRule type="notContainsBlanks" dxfId="895" priority="1371">
      <formula>LEN(TRIM(AC99))&gt;0</formula>
    </cfRule>
  </conditionalFormatting>
  <conditionalFormatting sqref="AC24">
    <cfRule type="notContainsBlanks" dxfId="894" priority="1370">
      <formula>LEN(TRIM(AC24))&gt;0</formula>
    </cfRule>
  </conditionalFormatting>
  <conditionalFormatting sqref="AC100">
    <cfRule type="notContainsBlanks" dxfId="893" priority="1369">
      <formula>LEN(TRIM(AC100))&gt;0</formula>
    </cfRule>
  </conditionalFormatting>
  <conditionalFormatting sqref="AC101">
    <cfRule type="notContainsBlanks" dxfId="892" priority="1368">
      <formula>LEN(TRIM(AC101))&gt;0</formula>
    </cfRule>
  </conditionalFormatting>
  <conditionalFormatting sqref="AC102">
    <cfRule type="notContainsBlanks" dxfId="891" priority="1367">
      <formula>LEN(TRIM(AC102))&gt;0</formula>
    </cfRule>
  </conditionalFormatting>
  <conditionalFormatting sqref="AC115">
    <cfRule type="notContainsBlanks" dxfId="890" priority="1366">
      <formula>LEN(TRIM(AC115))&gt;0</formula>
    </cfRule>
  </conditionalFormatting>
  <conditionalFormatting sqref="AC175">
    <cfRule type="notContainsBlanks" dxfId="889" priority="1363">
      <formula>LEN(TRIM(AC175))&gt;0</formula>
    </cfRule>
  </conditionalFormatting>
  <conditionalFormatting sqref="AC178">
    <cfRule type="notContainsBlanks" dxfId="888" priority="1362">
      <formula>LEN(TRIM(AC178))&gt;0</formula>
    </cfRule>
  </conditionalFormatting>
  <conditionalFormatting sqref="AC179:AC180">
    <cfRule type="notContainsBlanks" dxfId="887" priority="1361">
      <formula>LEN(TRIM(AC179))&gt;0</formula>
    </cfRule>
  </conditionalFormatting>
  <conditionalFormatting sqref="AC181:AC182 AC194 AC196 AC284:AC286 AC253:AC266 AC272">
    <cfRule type="notContainsBlanks" dxfId="886" priority="1360">
      <formula>LEN(TRIM(AC181))&gt;0</formula>
    </cfRule>
  </conditionalFormatting>
  <conditionalFormatting sqref="AC183:AC184">
    <cfRule type="notContainsBlanks" dxfId="885" priority="1359">
      <formula>LEN(TRIM(AC183))&gt;0</formula>
    </cfRule>
  </conditionalFormatting>
  <conditionalFormatting sqref="AC185:AC186">
    <cfRule type="notContainsBlanks" dxfId="884" priority="1358">
      <formula>LEN(TRIM(AC185))&gt;0</formula>
    </cfRule>
  </conditionalFormatting>
  <conditionalFormatting sqref="AC187">
    <cfRule type="notContainsBlanks" dxfId="883" priority="1357">
      <formula>LEN(TRIM(AC187))&gt;0</formula>
    </cfRule>
  </conditionalFormatting>
  <conditionalFormatting sqref="AC188">
    <cfRule type="notContainsBlanks" dxfId="882" priority="1356">
      <formula>LEN(TRIM(AC188))&gt;0</formula>
    </cfRule>
  </conditionalFormatting>
  <conditionalFormatting sqref="AC192">
    <cfRule type="notContainsBlanks" dxfId="881" priority="1355">
      <formula>LEN(TRIM(AC192))&gt;0</formula>
    </cfRule>
  </conditionalFormatting>
  <conditionalFormatting sqref="AC193">
    <cfRule type="notContainsBlanks" dxfId="880" priority="1354">
      <formula>LEN(TRIM(AC193))&gt;0</formula>
    </cfRule>
  </conditionalFormatting>
  <conditionalFormatting sqref="AC195:AC197">
    <cfRule type="notContainsBlanks" dxfId="879" priority="1352">
      <formula>LEN(TRIM(AC195))&gt;0</formula>
    </cfRule>
  </conditionalFormatting>
  <conditionalFormatting sqref="AC198:AC199 AC201">
    <cfRule type="notContainsBlanks" dxfId="878" priority="1351">
      <formula>LEN(TRIM(AC198))&gt;0</formula>
    </cfRule>
  </conditionalFormatting>
  <conditionalFormatting sqref="AC202:AC203 AC205">
    <cfRule type="notContainsBlanks" dxfId="877" priority="1350">
      <formula>LEN(TRIM(AC202))&gt;0</formula>
    </cfRule>
  </conditionalFormatting>
  <conditionalFormatting sqref="AC206:AC207 AC209 AC211">
    <cfRule type="notContainsBlanks" dxfId="876" priority="1349">
      <formula>LEN(TRIM(AC206))&gt;0</formula>
    </cfRule>
  </conditionalFormatting>
  <conditionalFormatting sqref="AC212:AC221">
    <cfRule type="notContainsBlanks" dxfId="875" priority="1348">
      <formula>LEN(TRIM(AC212))&gt;0</formula>
    </cfRule>
  </conditionalFormatting>
  <conditionalFormatting sqref="AC227:AC230">
    <cfRule type="notContainsBlanks" dxfId="874" priority="1347">
      <formula>LEN(TRIM(AC227))&gt;0</formula>
    </cfRule>
  </conditionalFormatting>
  <conditionalFormatting sqref="AC231:AC232">
    <cfRule type="notContainsBlanks" dxfId="873" priority="1346">
      <formula>LEN(TRIM(AC231))&gt;0</formula>
    </cfRule>
  </conditionalFormatting>
  <conditionalFormatting sqref="AC233:AC235">
    <cfRule type="notContainsBlanks" dxfId="872" priority="1345">
      <formula>LEN(TRIM(AC233))&gt;0</formula>
    </cfRule>
  </conditionalFormatting>
  <conditionalFormatting sqref="AC237">
    <cfRule type="notContainsBlanks" dxfId="871" priority="1344">
      <formula>LEN(TRIM(AC237))&gt;0</formula>
    </cfRule>
  </conditionalFormatting>
  <conditionalFormatting sqref="AC238">
    <cfRule type="notContainsBlanks" dxfId="870" priority="1343">
      <formula>LEN(TRIM(AC238))&gt;0</formula>
    </cfRule>
  </conditionalFormatting>
  <conditionalFormatting sqref="AC239">
    <cfRule type="notContainsBlanks" dxfId="869" priority="1342">
      <formula>LEN(TRIM(AC239))&gt;0</formula>
    </cfRule>
  </conditionalFormatting>
  <conditionalFormatting sqref="AC243:AC249">
    <cfRule type="notContainsBlanks" dxfId="868" priority="1341">
      <formula>LEN(TRIM(AC243))&gt;0</formula>
    </cfRule>
  </conditionalFormatting>
  <conditionalFormatting sqref="AC250:AC251">
    <cfRule type="notContainsBlanks" priority="1340">
      <formula>LEN(TRIM(AC250))&gt;0</formula>
    </cfRule>
  </conditionalFormatting>
  <conditionalFormatting sqref="AC298:AC300">
    <cfRule type="notContainsBlanks" dxfId="867" priority="1338">
      <formula>LEN(TRIM(AC298))&gt;0</formula>
    </cfRule>
  </conditionalFormatting>
  <conditionalFormatting sqref="AE33">
    <cfRule type="notContainsBlanks" dxfId="866" priority="1331">
      <formula>LEN(TRIM(AE33))&gt;0</formula>
    </cfRule>
  </conditionalFormatting>
  <conditionalFormatting sqref="AE192:AF192">
    <cfRule type="notContainsBlanks" dxfId="865" priority="1330">
      <formula>LEN(TRIM(AE192))&gt;0</formula>
    </cfRule>
  </conditionalFormatting>
  <conditionalFormatting sqref="AE193">
    <cfRule type="notContainsBlanks" dxfId="864" priority="1329">
      <formula>LEN(TRIM(AE193))&gt;0</formula>
    </cfRule>
  </conditionalFormatting>
  <conditionalFormatting sqref="AE54:AF54 AE99:AF99 AE114:AF114 AE138:AF138 AE226:AF226 AE243:AF243 AE62:AF64 AE22:AF22 AE55:AE58 AE65:AE95 AE100:AE110 AE115:AE134 AE175:AE188 AE23:AE50 AF292 AE298:AE310 AE194:AE216 AE220:AE221 AE284:AE286 AE227:AE239 AE244:AE266 AE272">
    <cfRule type="notContainsBlanks" dxfId="863" priority="1328">
      <formula>LEN(TRIM(AE22))&gt;0</formula>
    </cfRule>
  </conditionalFormatting>
  <conditionalFormatting sqref="AE35">
    <cfRule type="notContainsBlanks" dxfId="862" priority="1327">
      <formula>LEN(TRIM(AE35))&gt;0</formula>
    </cfRule>
  </conditionalFormatting>
  <conditionalFormatting sqref="AE47">
    <cfRule type="notContainsBlanks" dxfId="861" priority="1321">
      <formula>LEN(TRIM(AE47))&gt;0</formula>
    </cfRule>
  </conditionalFormatting>
  <conditionalFormatting sqref="AE37">
    <cfRule type="notContainsBlanks" dxfId="860" priority="1326">
      <formula>LEN(TRIM(AE37))&gt;0</formula>
    </cfRule>
  </conditionalFormatting>
  <conditionalFormatting sqref="AE39">
    <cfRule type="notContainsBlanks" dxfId="859" priority="1325">
      <formula>LEN(TRIM(AE39))&gt;0</formula>
    </cfRule>
  </conditionalFormatting>
  <conditionalFormatting sqref="AE41">
    <cfRule type="notContainsBlanks" dxfId="858" priority="1324">
      <formula>LEN(TRIM(AE41))&gt;0</formula>
    </cfRule>
  </conditionalFormatting>
  <conditionalFormatting sqref="AE43">
    <cfRule type="notContainsBlanks" dxfId="857" priority="1323">
      <formula>LEN(TRIM(AE43))&gt;0</formula>
    </cfRule>
  </conditionalFormatting>
  <conditionalFormatting sqref="AE45">
    <cfRule type="notContainsBlanks" dxfId="856" priority="1322">
      <formula>LEN(TRIM(AE45))&gt;0</formula>
    </cfRule>
  </conditionalFormatting>
  <conditionalFormatting sqref="AD22:AD50 AD54:AD58 AD62 AD99:AD110 AD114:AD134 AD138 AD226:AD239 AD243 AD292 AD192">
    <cfRule type="notContainsBlanks" dxfId="855" priority="1557">
      <formula>LEN(TRIM(AD22))&gt;0</formula>
    </cfRule>
  </conditionalFormatting>
  <conditionalFormatting sqref="D252:AB252">
    <cfRule type="cellIs" dxfId="854" priority="1318" operator="equal">
      <formula>0</formula>
    </cfRule>
  </conditionalFormatting>
  <conditionalFormatting sqref="D265:AA265">
    <cfRule type="cellIs" dxfId="853" priority="1317" operator="equal">
      <formula>0</formula>
    </cfRule>
  </conditionalFormatting>
  <conditionalFormatting sqref="D265:AA265">
    <cfRule type="cellIs" dxfId="852" priority="1316" operator="equal">
      <formula>0</formula>
    </cfRule>
  </conditionalFormatting>
  <conditionalFormatting sqref="D50:F50 D49:AA49">
    <cfRule type="cellIs" dxfId="851" priority="1315" operator="equal">
      <formula>0</formula>
    </cfRule>
  </conditionalFormatting>
  <conditionalFormatting sqref="AB22:AB26 AB54:AB58 AB99:AB110 AB304:AB310 AB292:AB302 AB43 AB45 AB33 AB28:AB31 AB47:AB49 AB35:AB41 AB175 AB243:AB251 AB253:AB277 AB114:AB134 AB177:AB188 AB62:AB93 AB192:AB221 AB226:AB239">
    <cfRule type="cellIs" dxfId="850" priority="1312" operator="equal">
      <formula>0</formula>
    </cfRule>
  </conditionalFormatting>
  <conditionalFormatting sqref="D50:F50 D265:AA265 D252:AB252 D49:AA49">
    <cfRule type="cellIs" dxfId="849" priority="1311" operator="equal">
      <formula>0</formula>
    </cfRule>
  </conditionalFormatting>
  <conditionalFormatting sqref="A1">
    <cfRule type="cellIs" dxfId="848" priority="1310" operator="equal">
      <formula>0</formula>
    </cfRule>
  </conditionalFormatting>
  <conditionalFormatting sqref="D303:AB303">
    <cfRule type="cellIs" dxfId="847" priority="1307" operator="equal">
      <formula>0</formula>
    </cfRule>
  </conditionalFormatting>
  <conditionalFormatting sqref="AB42">
    <cfRule type="cellIs" dxfId="846" priority="1306" operator="equal">
      <formula>0</formula>
    </cfRule>
  </conditionalFormatting>
  <conditionalFormatting sqref="AB44">
    <cfRule type="cellIs" dxfId="845" priority="1305" operator="equal">
      <formula>0</formula>
    </cfRule>
  </conditionalFormatting>
  <conditionalFormatting sqref="AB34">
    <cfRule type="cellIs" dxfId="844" priority="1304" operator="equal">
      <formula>0</formula>
    </cfRule>
  </conditionalFormatting>
  <conditionalFormatting sqref="AB32">
    <cfRule type="cellIs" dxfId="843" priority="1303" operator="equal">
      <formula>0</formula>
    </cfRule>
  </conditionalFormatting>
  <conditionalFormatting sqref="AB27">
    <cfRule type="cellIs" dxfId="842" priority="1302" operator="equal">
      <formula>0</formula>
    </cfRule>
  </conditionalFormatting>
  <conditionalFormatting sqref="AB46">
    <cfRule type="cellIs" dxfId="841" priority="1301" operator="equal">
      <formula>0</formula>
    </cfRule>
  </conditionalFormatting>
  <conditionalFormatting sqref="G50:AB50">
    <cfRule type="cellIs" dxfId="840" priority="1283" operator="equal">
      <formula>0</formula>
    </cfRule>
  </conditionalFormatting>
  <conditionalFormatting sqref="G50:AB50">
    <cfRule type="cellIs" dxfId="839" priority="1282" operator="equal">
      <formula>0</formula>
    </cfRule>
  </conditionalFormatting>
  <conditionalFormatting sqref="D101:AA101 D99:AA99">
    <cfRule type="expression" dxfId="838" priority="1271">
      <formula>D101&gt;D99</formula>
    </cfRule>
  </conditionalFormatting>
  <conditionalFormatting sqref="D102:AA102 D100:AA100">
    <cfRule type="expression" dxfId="837" priority="1270">
      <formula>D102&gt;D100</formula>
    </cfRule>
  </conditionalFormatting>
  <conditionalFormatting sqref="D178:AA178">
    <cfRule type="expression" dxfId="836" priority="1267">
      <formula>D179&gt;D178</formula>
    </cfRule>
  </conditionalFormatting>
  <conditionalFormatting sqref="D179:AA179">
    <cfRule type="expression" dxfId="835" priority="1266">
      <formula>D180&gt;D179</formula>
    </cfRule>
  </conditionalFormatting>
  <conditionalFormatting sqref="K181 M181 O181 Q181 S181 U181 W181 Y181 AA181">
    <cfRule type="expression" dxfId="834" priority="1265">
      <formula>K182&gt;K181</formula>
    </cfRule>
  </conditionalFormatting>
  <conditionalFormatting sqref="D183:AA183">
    <cfRule type="expression" dxfId="833" priority="1264">
      <formula>D184&gt;D183</formula>
    </cfRule>
  </conditionalFormatting>
  <conditionalFormatting sqref="D185:AA185">
    <cfRule type="expression" dxfId="832" priority="1261">
      <formula>D188&gt;D185</formula>
    </cfRule>
    <cfRule type="expression" dxfId="831" priority="1263">
      <formula>D186&gt;D185</formula>
    </cfRule>
  </conditionalFormatting>
  <conditionalFormatting sqref="D186:AA186">
    <cfRule type="expression" dxfId="830" priority="1262">
      <formula>D187&gt;D186</formula>
    </cfRule>
  </conditionalFormatting>
  <conditionalFormatting sqref="K192">
    <cfRule type="expression" dxfId="829" priority="1260">
      <formula>(K193+K194)&gt;K192</formula>
    </cfRule>
  </conditionalFormatting>
  <conditionalFormatting sqref="K194">
    <cfRule type="expression" dxfId="828" priority="774">
      <formula>K194&gt;K192</formula>
    </cfRule>
    <cfRule type="expression" dxfId="827" priority="1259">
      <formula>K195&gt;K194</formula>
    </cfRule>
  </conditionalFormatting>
  <conditionalFormatting sqref="K198">
    <cfRule type="expression" dxfId="826" priority="1258">
      <formula>K199&gt;K198</formula>
    </cfRule>
  </conditionalFormatting>
  <conditionalFormatting sqref="K202">
    <cfRule type="expression" dxfId="825" priority="1257">
      <formula>K203&gt;K202</formula>
    </cfRule>
  </conditionalFormatting>
  <conditionalFormatting sqref="K206">
    <cfRule type="expression" dxfId="824" priority="1256">
      <formula>K207&gt;K206</formula>
    </cfRule>
  </conditionalFormatting>
  <conditionalFormatting sqref="M192">
    <cfRule type="expression" dxfId="823" priority="1255">
      <formula>(M193+M194)&gt;M192</formula>
    </cfRule>
  </conditionalFormatting>
  <conditionalFormatting sqref="M194">
    <cfRule type="expression" dxfId="822" priority="1254">
      <formula>M195&gt;M194</formula>
    </cfRule>
  </conditionalFormatting>
  <conditionalFormatting sqref="M198">
    <cfRule type="expression" dxfId="821" priority="1253">
      <formula>M199&gt;M198</formula>
    </cfRule>
  </conditionalFormatting>
  <conditionalFormatting sqref="M202">
    <cfRule type="expression" dxfId="820" priority="1252">
      <formula>M203&gt;M202</formula>
    </cfRule>
  </conditionalFormatting>
  <conditionalFormatting sqref="M206">
    <cfRule type="expression" dxfId="819" priority="1251">
      <formula>M207&gt;M206</formula>
    </cfRule>
  </conditionalFormatting>
  <conditionalFormatting sqref="O192">
    <cfRule type="expression" dxfId="818" priority="1250">
      <formula>(O193+O194)&gt;O192</formula>
    </cfRule>
  </conditionalFormatting>
  <conditionalFormatting sqref="O194">
    <cfRule type="expression" dxfId="817" priority="1249">
      <formula>O195&gt;O194</formula>
    </cfRule>
  </conditionalFormatting>
  <conditionalFormatting sqref="O198">
    <cfRule type="expression" dxfId="816" priority="1248">
      <formula>O199&gt;O198</formula>
    </cfRule>
  </conditionalFormatting>
  <conditionalFormatting sqref="O202">
    <cfRule type="expression" dxfId="815" priority="1247">
      <formula>O203&gt;O202</formula>
    </cfRule>
  </conditionalFormatting>
  <conditionalFormatting sqref="O206">
    <cfRule type="expression" dxfId="814" priority="1246">
      <formula>O207&gt;O206</formula>
    </cfRule>
  </conditionalFormatting>
  <conditionalFormatting sqref="Q192">
    <cfRule type="expression" dxfId="813" priority="1245">
      <formula>(Q193+Q194)&gt;Q192</formula>
    </cfRule>
  </conditionalFormatting>
  <conditionalFormatting sqref="Q194">
    <cfRule type="expression" dxfId="812" priority="1244">
      <formula>Q195&gt;Q194</formula>
    </cfRule>
  </conditionalFormatting>
  <conditionalFormatting sqref="Q198">
    <cfRule type="expression" dxfId="811" priority="1243">
      <formula>Q199&gt;Q198</formula>
    </cfRule>
  </conditionalFormatting>
  <conditionalFormatting sqref="Q202">
    <cfRule type="expression" dxfId="810" priority="1242">
      <formula>Q203&gt;Q202</formula>
    </cfRule>
  </conditionalFormatting>
  <conditionalFormatting sqref="Q206">
    <cfRule type="expression" dxfId="809" priority="1241">
      <formula>Q207&gt;Q206</formula>
    </cfRule>
  </conditionalFormatting>
  <conditionalFormatting sqref="S192">
    <cfRule type="expression" dxfId="808" priority="1240">
      <formula>(S193+S194)&gt;S192</formula>
    </cfRule>
  </conditionalFormatting>
  <conditionalFormatting sqref="S194">
    <cfRule type="expression" dxfId="807" priority="1239">
      <formula>S195&gt;S194</formula>
    </cfRule>
  </conditionalFormatting>
  <conditionalFormatting sqref="S198">
    <cfRule type="expression" dxfId="806" priority="1238">
      <formula>S199&gt;S198</formula>
    </cfRule>
  </conditionalFormatting>
  <conditionalFormatting sqref="S202">
    <cfRule type="expression" dxfId="805" priority="1237">
      <formula>S203&gt;S202</formula>
    </cfRule>
  </conditionalFormatting>
  <conditionalFormatting sqref="S206">
    <cfRule type="expression" dxfId="804" priority="1236">
      <formula>S207&gt;S206</formula>
    </cfRule>
  </conditionalFormatting>
  <conditionalFormatting sqref="U192">
    <cfRule type="expression" dxfId="803" priority="1235">
      <formula>(U193+U194)&gt;U192</formula>
    </cfRule>
  </conditionalFormatting>
  <conditionalFormatting sqref="U194">
    <cfRule type="expression" dxfId="802" priority="1234">
      <formula>U195&gt;U194</formula>
    </cfRule>
  </conditionalFormatting>
  <conditionalFormatting sqref="U198">
    <cfRule type="expression" dxfId="801" priority="1233">
      <formula>U199&gt;U198</formula>
    </cfRule>
  </conditionalFormatting>
  <conditionalFormatting sqref="U202">
    <cfRule type="expression" dxfId="800" priority="1232">
      <formula>U203&gt;U202</formula>
    </cfRule>
  </conditionalFormatting>
  <conditionalFormatting sqref="U206">
    <cfRule type="expression" dxfId="799" priority="1231">
      <formula>U207&gt;U206</formula>
    </cfRule>
  </conditionalFormatting>
  <conditionalFormatting sqref="W192">
    <cfRule type="expression" dxfId="798" priority="1230">
      <formula>(W193+W194)&gt;W192</formula>
    </cfRule>
  </conditionalFormatting>
  <conditionalFormatting sqref="W194">
    <cfRule type="expression" dxfId="797" priority="1229">
      <formula>W195&gt;W194</formula>
    </cfRule>
  </conditionalFormatting>
  <conditionalFormatting sqref="W198">
    <cfRule type="expression" dxfId="796" priority="1228">
      <formula>W199&gt;W198</formula>
    </cfRule>
  </conditionalFormatting>
  <conditionalFormatting sqref="W202">
    <cfRule type="expression" dxfId="795" priority="1227">
      <formula>W203&gt;W202</formula>
    </cfRule>
  </conditionalFormatting>
  <conditionalFormatting sqref="W206">
    <cfRule type="expression" dxfId="794" priority="1226">
      <formula>W207&gt;W206</formula>
    </cfRule>
  </conditionalFormatting>
  <conditionalFormatting sqref="Y192">
    <cfRule type="expression" dxfId="793" priority="1225">
      <formula>(Y193+Y194)&gt;Y192</formula>
    </cfRule>
  </conditionalFormatting>
  <conditionalFormatting sqref="Y194">
    <cfRule type="expression" dxfId="792" priority="1224">
      <formula>Y195&gt;Y194</formula>
    </cfRule>
  </conditionalFormatting>
  <conditionalFormatting sqref="Y198">
    <cfRule type="expression" dxfId="791" priority="1223">
      <formula>Y199&gt;Y198</formula>
    </cfRule>
  </conditionalFormatting>
  <conditionalFormatting sqref="Y202">
    <cfRule type="expression" dxfId="790" priority="1222">
      <formula>Y203&gt;Y202</formula>
    </cfRule>
  </conditionalFormatting>
  <conditionalFormatting sqref="Y206">
    <cfRule type="expression" dxfId="789" priority="1221">
      <formula>Y207&gt;Y206</formula>
    </cfRule>
  </conditionalFormatting>
  <conditionalFormatting sqref="J212">
    <cfRule type="expression" dxfId="788" priority="1220">
      <formula>J213&gt;J212</formula>
    </cfRule>
  </conditionalFormatting>
  <conditionalFormatting sqref="L212">
    <cfRule type="expression" dxfId="787" priority="1219">
      <formula>L213&gt;L212</formula>
    </cfRule>
  </conditionalFormatting>
  <conditionalFormatting sqref="N212">
    <cfRule type="expression" dxfId="786" priority="1218">
      <formula>N213&gt;N212</formula>
    </cfRule>
  </conditionalFormatting>
  <conditionalFormatting sqref="P212">
    <cfRule type="expression" dxfId="785" priority="1217">
      <formula>P213&gt;P212</formula>
    </cfRule>
  </conditionalFormatting>
  <conditionalFormatting sqref="R212">
    <cfRule type="expression" dxfId="784" priority="1216">
      <formula>R213&gt;R212</formula>
    </cfRule>
  </conditionalFormatting>
  <conditionalFormatting sqref="T212">
    <cfRule type="expression" dxfId="783" priority="1215">
      <formula>T213&gt;T212</formula>
    </cfRule>
  </conditionalFormatting>
  <conditionalFormatting sqref="V212">
    <cfRule type="expression" dxfId="782" priority="1214">
      <formula>V213&gt;V212</formula>
    </cfRule>
  </conditionalFormatting>
  <conditionalFormatting sqref="X212">
    <cfRule type="expression" dxfId="781" priority="1213">
      <formula>X213&gt;X212</formula>
    </cfRule>
  </conditionalFormatting>
  <conditionalFormatting sqref="Z212">
    <cfRule type="expression" dxfId="780" priority="1212">
      <formula>Z213&gt;Z212</formula>
    </cfRule>
  </conditionalFormatting>
  <conditionalFormatting sqref="K193">
    <cfRule type="expression" dxfId="779" priority="767">
      <formula>K193&gt;K192</formula>
    </cfRule>
    <cfRule type="expression" dxfId="778" priority="1211">
      <formula>K226&gt;K193</formula>
    </cfRule>
  </conditionalFormatting>
  <conditionalFormatting sqref="M193">
    <cfRule type="expression" dxfId="777" priority="1210">
      <formula>M226&gt;M193</formula>
    </cfRule>
  </conditionalFormatting>
  <conditionalFormatting sqref="O193">
    <cfRule type="expression" dxfId="776" priority="1209">
      <formula>O226&gt;O193</formula>
    </cfRule>
  </conditionalFormatting>
  <conditionalFormatting sqref="Q193">
    <cfRule type="expression" dxfId="775" priority="1208">
      <formula>Q226&gt;Q193</formula>
    </cfRule>
  </conditionalFormatting>
  <conditionalFormatting sqref="S193">
    <cfRule type="expression" dxfId="774" priority="1207">
      <formula>S226&gt;S193</formula>
    </cfRule>
  </conditionalFormatting>
  <conditionalFormatting sqref="U193">
    <cfRule type="expression" dxfId="773" priority="1206">
      <formula>U226&gt;U193</formula>
    </cfRule>
  </conditionalFormatting>
  <conditionalFormatting sqref="W193">
    <cfRule type="expression" dxfId="772" priority="1205">
      <formula>W226&gt;W193</formula>
    </cfRule>
  </conditionalFormatting>
  <conditionalFormatting sqref="Y193">
    <cfRule type="expression" dxfId="771" priority="1204">
      <formula>Y226&gt;Y193</formula>
    </cfRule>
  </conditionalFormatting>
  <conditionalFormatting sqref="K195 M195 O195 Q195 S195 U195 W195 Y195">
    <cfRule type="expression" dxfId="770" priority="1203">
      <formula>K227&gt;K195</formula>
    </cfRule>
  </conditionalFormatting>
  <conditionalFormatting sqref="M210 O210 Q210 S210 U210 W210 Y210 O207 M207 Q207 S207 U207 W207 Y207">
    <cfRule type="expression" dxfId="769" priority="1201">
      <formula>M233&gt;M207</formula>
    </cfRule>
  </conditionalFormatting>
  <conditionalFormatting sqref="K211 M211 O211 Q211 S211 U211 W211 Y211">
    <cfRule type="expression" dxfId="768" priority="1200">
      <formula>K236&gt;K211</formula>
    </cfRule>
  </conditionalFormatting>
  <conditionalFormatting sqref="M192">
    <cfRule type="expression" dxfId="767" priority="1199">
      <formula>(M193+M194)&gt;M192</formula>
    </cfRule>
  </conditionalFormatting>
  <conditionalFormatting sqref="M194">
    <cfRule type="expression" dxfId="766" priority="1198">
      <formula>M195&gt;M194</formula>
    </cfRule>
  </conditionalFormatting>
  <conditionalFormatting sqref="M198">
    <cfRule type="expression" dxfId="765" priority="1197">
      <formula>M199&gt;M198</formula>
    </cfRule>
  </conditionalFormatting>
  <conditionalFormatting sqref="M202">
    <cfRule type="expression" dxfId="764" priority="1196">
      <formula>M203&gt;M202</formula>
    </cfRule>
  </conditionalFormatting>
  <conditionalFormatting sqref="M206">
    <cfRule type="expression" dxfId="763" priority="1195">
      <formula>M207&gt;M206</formula>
    </cfRule>
  </conditionalFormatting>
  <conditionalFormatting sqref="M193">
    <cfRule type="expression" dxfId="762" priority="1194">
      <formula>M226&gt;M193</formula>
    </cfRule>
  </conditionalFormatting>
  <conditionalFormatting sqref="K205 M205 O205 Q205 S205 U205 W205 Y205">
    <cfRule type="expression" dxfId="761" priority="1192">
      <formula>K232&gt;K205</formula>
    </cfRule>
  </conditionalFormatting>
  <conditionalFormatting sqref="O192">
    <cfRule type="expression" dxfId="760" priority="1190">
      <formula>(O193+O194)&gt;O192</formula>
    </cfRule>
  </conditionalFormatting>
  <conditionalFormatting sqref="O194">
    <cfRule type="expression" dxfId="759" priority="1189">
      <formula>O195&gt;O194</formula>
    </cfRule>
  </conditionalFormatting>
  <conditionalFormatting sqref="O198">
    <cfRule type="expression" dxfId="758" priority="1188">
      <formula>O199&gt;O198</formula>
    </cfRule>
  </conditionalFormatting>
  <conditionalFormatting sqref="O202">
    <cfRule type="expression" dxfId="757" priority="1187">
      <formula>O203&gt;O202</formula>
    </cfRule>
  </conditionalFormatting>
  <conditionalFormatting sqref="O206">
    <cfRule type="expression" dxfId="756" priority="1186">
      <formula>O207&gt;O206</formula>
    </cfRule>
  </conditionalFormatting>
  <conditionalFormatting sqref="O193">
    <cfRule type="expression" dxfId="755" priority="1185">
      <formula>O226&gt;O193</formula>
    </cfRule>
  </conditionalFormatting>
  <conditionalFormatting sqref="Q192">
    <cfRule type="expression" dxfId="754" priority="1181">
      <formula>(Q193+Q194)&gt;Q192</formula>
    </cfRule>
  </conditionalFormatting>
  <conditionalFormatting sqref="Q194">
    <cfRule type="expression" dxfId="753" priority="1180">
      <formula>Q195&gt;Q194</formula>
    </cfRule>
  </conditionalFormatting>
  <conditionalFormatting sqref="Q198">
    <cfRule type="expression" dxfId="752" priority="1179">
      <formula>Q199&gt;Q198</formula>
    </cfRule>
  </conditionalFormatting>
  <conditionalFormatting sqref="Q202">
    <cfRule type="expression" dxfId="751" priority="1178">
      <formula>Q203&gt;Q202</formula>
    </cfRule>
  </conditionalFormatting>
  <conditionalFormatting sqref="Q206">
    <cfRule type="expression" dxfId="750" priority="1177">
      <formula>Q207&gt;Q206</formula>
    </cfRule>
  </conditionalFormatting>
  <conditionalFormatting sqref="Q193">
    <cfRule type="expression" dxfId="749" priority="1176">
      <formula>Q226&gt;Q193</formula>
    </cfRule>
  </conditionalFormatting>
  <conditionalFormatting sqref="S192">
    <cfRule type="expression" dxfId="748" priority="1172">
      <formula>(S193+S194)&gt;S192</formula>
    </cfRule>
  </conditionalFormatting>
  <conditionalFormatting sqref="S194">
    <cfRule type="expression" dxfId="747" priority="1171">
      <formula>S195&gt;S194</formula>
    </cfRule>
  </conditionalFormatting>
  <conditionalFormatting sqref="S198">
    <cfRule type="expression" dxfId="746" priority="1170">
      <formula>S199&gt;S198</formula>
    </cfRule>
  </conditionalFormatting>
  <conditionalFormatting sqref="S202">
    <cfRule type="expression" dxfId="745" priority="1169">
      <formula>S203&gt;S202</formula>
    </cfRule>
  </conditionalFormatting>
  <conditionalFormatting sqref="S206">
    <cfRule type="expression" dxfId="744" priority="1168">
      <formula>S207&gt;S206</formula>
    </cfRule>
  </conditionalFormatting>
  <conditionalFormatting sqref="S193">
    <cfRule type="expression" dxfId="743" priority="1167">
      <formula>S226&gt;S193</formula>
    </cfRule>
  </conditionalFormatting>
  <conditionalFormatting sqref="U192">
    <cfRule type="expression" dxfId="742" priority="1163">
      <formula>(U193+U194)&gt;U192</formula>
    </cfRule>
  </conditionalFormatting>
  <conditionalFormatting sqref="U194">
    <cfRule type="expression" dxfId="741" priority="1162">
      <formula>U195&gt;U194</formula>
    </cfRule>
  </conditionalFormatting>
  <conditionalFormatting sqref="U198">
    <cfRule type="expression" dxfId="740" priority="1161">
      <formula>U199&gt;U198</formula>
    </cfRule>
  </conditionalFormatting>
  <conditionalFormatting sqref="U202">
    <cfRule type="expression" dxfId="739" priority="1160">
      <formula>U203&gt;U202</formula>
    </cfRule>
  </conditionalFormatting>
  <conditionalFormatting sqref="U206">
    <cfRule type="expression" dxfId="738" priority="1159">
      <formula>U207&gt;U206</formula>
    </cfRule>
  </conditionalFormatting>
  <conditionalFormatting sqref="U193">
    <cfRule type="expression" dxfId="737" priority="1158">
      <formula>U226&gt;U193</formula>
    </cfRule>
  </conditionalFormatting>
  <conditionalFormatting sqref="W192">
    <cfRule type="expression" dxfId="736" priority="1154">
      <formula>(W193+W194)&gt;W192</formula>
    </cfRule>
  </conditionalFormatting>
  <conditionalFormatting sqref="W194">
    <cfRule type="expression" dxfId="735" priority="1153">
      <formula>W195&gt;W194</formula>
    </cfRule>
  </conditionalFormatting>
  <conditionalFormatting sqref="W198">
    <cfRule type="expression" dxfId="734" priority="1152">
      <formula>W199&gt;W198</formula>
    </cfRule>
  </conditionalFormatting>
  <conditionalFormatting sqref="W202">
    <cfRule type="expression" dxfId="733" priority="1151">
      <formula>W203&gt;W202</formula>
    </cfRule>
  </conditionalFormatting>
  <conditionalFormatting sqref="W206">
    <cfRule type="expression" dxfId="732" priority="1150">
      <formula>W207&gt;W206</formula>
    </cfRule>
  </conditionalFormatting>
  <conditionalFormatting sqref="W193">
    <cfRule type="expression" dxfId="731" priority="1149">
      <formula>W226&gt;W193</formula>
    </cfRule>
  </conditionalFormatting>
  <conditionalFormatting sqref="Y192">
    <cfRule type="expression" dxfId="730" priority="1145">
      <formula>(Y193+Y194)&gt;Y192</formula>
    </cfRule>
  </conditionalFormatting>
  <conditionalFormatting sqref="Y194">
    <cfRule type="expression" dxfId="729" priority="1144">
      <formula>Y195&gt;Y194</formula>
    </cfRule>
  </conditionalFormatting>
  <conditionalFormatting sqref="Y198">
    <cfRule type="expression" dxfId="728" priority="1143">
      <formula>Y199&gt;Y198</formula>
    </cfRule>
  </conditionalFormatting>
  <conditionalFormatting sqref="Y202">
    <cfRule type="expression" dxfId="727" priority="1142">
      <formula>Y203&gt;Y202</formula>
    </cfRule>
  </conditionalFormatting>
  <conditionalFormatting sqref="Y206">
    <cfRule type="expression" dxfId="726" priority="1141">
      <formula>Y207&gt;Y206</formula>
    </cfRule>
  </conditionalFormatting>
  <conditionalFormatting sqref="Y193">
    <cfRule type="expression" dxfId="725" priority="1140">
      <formula>Y226&gt;Y193</formula>
    </cfRule>
  </conditionalFormatting>
  <conditionalFormatting sqref="K236 M236 O236 Q236 S236 U236 W236 Y236">
    <cfRule type="expression" dxfId="724" priority="1136">
      <formula>K236&gt;K252</formula>
    </cfRule>
  </conditionalFormatting>
  <conditionalFormatting sqref="D265:AA265">
    <cfRule type="expression" dxfId="723" priority="1126">
      <formula>D265&lt;&gt;D252</formula>
    </cfRule>
  </conditionalFormatting>
  <conditionalFormatting sqref="F26:AA26">
    <cfRule type="expression" dxfId="722" priority="1109">
      <formula>F27&gt;F26</formula>
    </cfRule>
  </conditionalFormatting>
  <conditionalFormatting sqref="F31:AA31">
    <cfRule type="expression" dxfId="721" priority="1108">
      <formula>F32&gt;F31</formula>
    </cfRule>
  </conditionalFormatting>
  <conditionalFormatting sqref="F33:AA33">
    <cfRule type="expression" dxfId="720" priority="1107">
      <formula>F34&gt;F33</formula>
    </cfRule>
  </conditionalFormatting>
  <conditionalFormatting sqref="F35">
    <cfRule type="expression" dxfId="719" priority="1106">
      <formula>F36&gt;F35</formula>
    </cfRule>
  </conditionalFormatting>
  <conditionalFormatting sqref="G35">
    <cfRule type="expression" dxfId="718" priority="1105">
      <formula>G36&gt;G35</formula>
    </cfRule>
  </conditionalFormatting>
  <conditionalFormatting sqref="F37:G37">
    <cfRule type="expression" dxfId="717" priority="1104">
      <formula>F38&gt;F37</formula>
    </cfRule>
  </conditionalFormatting>
  <conditionalFormatting sqref="F39:AA39">
    <cfRule type="expression" dxfId="716" priority="1103">
      <formula>F40&gt;F39</formula>
    </cfRule>
  </conditionalFormatting>
  <conditionalFormatting sqref="F41:AA41">
    <cfRule type="expression" dxfId="715" priority="1102">
      <formula>F42&gt;F41</formula>
    </cfRule>
  </conditionalFormatting>
  <conditionalFormatting sqref="F43:AA43">
    <cfRule type="expression" dxfId="714" priority="1101">
      <formula>F44&gt;F43</formula>
    </cfRule>
  </conditionalFormatting>
  <conditionalFormatting sqref="L45:AA45">
    <cfRule type="expression" dxfId="713" priority="1100">
      <formula>L46&gt;L45</formula>
    </cfRule>
  </conditionalFormatting>
  <conditionalFormatting sqref="L47">
    <cfRule type="expression" dxfId="712" priority="1099">
      <formula>L48&gt;L47</formula>
    </cfRule>
  </conditionalFormatting>
  <conditionalFormatting sqref="N47">
    <cfRule type="expression" dxfId="711" priority="1098">
      <formula>N48&gt;N47</formula>
    </cfRule>
  </conditionalFormatting>
  <conditionalFormatting sqref="P47">
    <cfRule type="expression" dxfId="710" priority="1097">
      <formula>P48&gt;P47</formula>
    </cfRule>
  </conditionalFormatting>
  <conditionalFormatting sqref="R47">
    <cfRule type="expression" dxfId="709" priority="1096">
      <formula>R48&gt;R47</formula>
    </cfRule>
  </conditionalFormatting>
  <conditionalFormatting sqref="T47">
    <cfRule type="expression" dxfId="708" priority="1095">
      <formula>T48&gt;T47</formula>
    </cfRule>
  </conditionalFormatting>
  <conditionalFormatting sqref="V47">
    <cfRule type="expression" dxfId="707" priority="1094">
      <formula>V48&gt;V47</formula>
    </cfRule>
  </conditionalFormatting>
  <conditionalFormatting sqref="X47">
    <cfRule type="expression" dxfId="706" priority="1093">
      <formula>X48&gt;X47</formula>
    </cfRule>
  </conditionalFormatting>
  <conditionalFormatting sqref="Z47">
    <cfRule type="expression" dxfId="705" priority="1092">
      <formula>Z48&gt;Z47</formula>
    </cfRule>
  </conditionalFormatting>
  <conditionalFormatting sqref="AC10 AC13 AC17:AC18">
    <cfRule type="notContainsBlanks" dxfId="704" priority="1090">
      <formula>LEN(TRIM(AC10))&gt;0</formula>
    </cfRule>
  </conditionalFormatting>
  <conditionalFormatting sqref="AE8:AF8 AE9:AE18">
    <cfRule type="notContainsBlanks" dxfId="703" priority="1089">
      <formula>LEN(TRIM(AE8))&gt;0</formula>
    </cfRule>
  </conditionalFormatting>
  <conditionalFormatting sqref="AD8">
    <cfRule type="notContainsBlanks" dxfId="702" priority="1558">
      <formula>LEN(TRIM(AD8))&gt;0</formula>
    </cfRule>
  </conditionalFormatting>
  <conditionalFormatting sqref="Y196">
    <cfRule type="cellIs" dxfId="701" priority="1077" operator="equal">
      <formula>0</formula>
    </cfRule>
  </conditionalFormatting>
  <conditionalFormatting sqref="W196">
    <cfRule type="cellIs" dxfId="700" priority="1076" operator="equal">
      <formula>0</formula>
    </cfRule>
  </conditionalFormatting>
  <conditionalFormatting sqref="U196">
    <cfRule type="cellIs" dxfId="699" priority="1075" operator="equal">
      <formula>0</formula>
    </cfRule>
  </conditionalFormatting>
  <conditionalFormatting sqref="S196">
    <cfRule type="cellIs" dxfId="698" priority="1074" operator="equal">
      <formula>0</formula>
    </cfRule>
  </conditionalFormatting>
  <conditionalFormatting sqref="Q196">
    <cfRule type="cellIs" dxfId="697" priority="1073" operator="equal">
      <formula>0</formula>
    </cfRule>
  </conditionalFormatting>
  <conditionalFormatting sqref="O196">
    <cfRule type="cellIs" dxfId="696" priority="1072" operator="equal">
      <formula>0</formula>
    </cfRule>
  </conditionalFormatting>
  <conditionalFormatting sqref="M196">
    <cfRule type="cellIs" dxfId="695" priority="1071" operator="equal">
      <formula>0</formula>
    </cfRule>
  </conditionalFormatting>
  <conditionalFormatting sqref="K196">
    <cfRule type="cellIs" dxfId="694" priority="1070" operator="equal">
      <formula>0</formula>
    </cfRule>
  </conditionalFormatting>
  <conditionalFormatting sqref="B196">
    <cfRule type="cellIs" dxfId="693" priority="1069" operator="equal">
      <formula>0</formula>
    </cfRule>
  </conditionalFormatting>
  <conditionalFormatting sqref="B197">
    <cfRule type="cellIs" dxfId="692" priority="1068" operator="equal">
      <formula>0</formula>
    </cfRule>
  </conditionalFormatting>
  <conditionalFormatting sqref="K197">
    <cfRule type="cellIs" dxfId="691" priority="1060" operator="equal">
      <formula>0</formula>
    </cfRule>
  </conditionalFormatting>
  <conditionalFormatting sqref="M197">
    <cfRule type="cellIs" dxfId="690" priority="1059" operator="equal">
      <formula>0</formula>
    </cfRule>
  </conditionalFormatting>
  <conditionalFormatting sqref="O197">
    <cfRule type="cellIs" dxfId="689" priority="1058" operator="equal">
      <formula>0</formula>
    </cfRule>
  </conditionalFormatting>
  <conditionalFormatting sqref="Q197">
    <cfRule type="cellIs" dxfId="688" priority="1057" operator="equal">
      <formula>0</formula>
    </cfRule>
  </conditionalFormatting>
  <conditionalFormatting sqref="S197">
    <cfRule type="cellIs" dxfId="687" priority="1056" operator="equal">
      <formula>0</formula>
    </cfRule>
  </conditionalFormatting>
  <conditionalFormatting sqref="U197">
    <cfRule type="cellIs" dxfId="686" priority="1055" operator="equal">
      <formula>0</formula>
    </cfRule>
  </conditionalFormatting>
  <conditionalFormatting sqref="W197">
    <cfRule type="cellIs" dxfId="685" priority="1054" operator="equal">
      <formula>0</formula>
    </cfRule>
  </conditionalFormatting>
  <conditionalFormatting sqref="Y197">
    <cfRule type="cellIs" dxfId="684" priority="1053" operator="equal">
      <formula>0</formula>
    </cfRule>
  </conditionalFormatting>
  <conditionalFormatting sqref="K210">
    <cfRule type="expression" dxfId="683" priority="1394">
      <formula>K236&gt;K210</formula>
    </cfRule>
  </conditionalFormatting>
  <conditionalFormatting sqref="K207">
    <cfRule type="expression" dxfId="682" priority="1395">
      <formula>K233&gt;K207</formula>
    </cfRule>
  </conditionalFormatting>
  <conditionalFormatting sqref="M196 O196 Q196 S196 U196 W196 Y196 K196">
    <cfRule type="expression" dxfId="681" priority="1396">
      <formula>K231&gt;K196</formula>
    </cfRule>
  </conditionalFormatting>
  <conditionalFormatting sqref="K228">
    <cfRule type="cellIs" dxfId="680" priority="1052" operator="equal">
      <formula>0</formula>
    </cfRule>
  </conditionalFormatting>
  <conditionalFormatting sqref="O228">
    <cfRule type="cellIs" dxfId="679" priority="1043" operator="equal">
      <formula>0</formula>
    </cfRule>
  </conditionalFormatting>
  <conditionalFormatting sqref="M228">
    <cfRule type="cellIs" dxfId="678" priority="1044" operator="equal">
      <formula>0</formula>
    </cfRule>
  </conditionalFormatting>
  <conditionalFormatting sqref="Q228">
    <cfRule type="cellIs" dxfId="677" priority="1042" operator="equal">
      <formula>0</formula>
    </cfRule>
  </conditionalFormatting>
  <conditionalFormatting sqref="S228">
    <cfRule type="cellIs" dxfId="676" priority="1041" operator="equal">
      <formula>0</formula>
    </cfRule>
  </conditionalFormatting>
  <conditionalFormatting sqref="U228">
    <cfRule type="cellIs" dxfId="675" priority="1040" operator="equal">
      <formula>0</formula>
    </cfRule>
  </conditionalFormatting>
  <conditionalFormatting sqref="W228">
    <cfRule type="cellIs" dxfId="674" priority="1039" operator="equal">
      <formula>0</formula>
    </cfRule>
  </conditionalFormatting>
  <conditionalFormatting sqref="Y228">
    <cfRule type="cellIs" dxfId="673" priority="1038" operator="equal">
      <formula>0</formula>
    </cfRule>
  </conditionalFormatting>
  <conditionalFormatting sqref="B228">
    <cfRule type="cellIs" dxfId="672" priority="1037" operator="equal">
      <formula>0</formula>
    </cfRule>
  </conditionalFormatting>
  <conditionalFormatting sqref="B216">
    <cfRule type="cellIs" dxfId="671" priority="1036" operator="equal">
      <formula>0</formula>
    </cfRule>
  </conditionalFormatting>
  <conditionalFormatting sqref="B219">
    <cfRule type="cellIs" dxfId="670" priority="1023" operator="equal">
      <formula>0</formula>
    </cfRule>
  </conditionalFormatting>
  <conditionalFormatting sqref="AC222">
    <cfRule type="notContainsBlanks" dxfId="669" priority="1013">
      <formula>LEN(TRIM(AC222))&gt;0</formula>
    </cfRule>
  </conditionalFormatting>
  <conditionalFormatting sqref="AE222">
    <cfRule type="notContainsBlanks" dxfId="668" priority="1012">
      <formula>LEN(TRIM(AE222))&gt;0</formula>
    </cfRule>
  </conditionalFormatting>
  <conditionalFormatting sqref="AB222">
    <cfRule type="cellIs" dxfId="667" priority="1011" operator="equal">
      <formula>0</formula>
    </cfRule>
  </conditionalFormatting>
  <conditionalFormatting sqref="B222">
    <cfRule type="cellIs" dxfId="666" priority="1000" operator="equal">
      <formula>0</formula>
    </cfRule>
  </conditionalFormatting>
  <conditionalFormatting sqref="AC174">
    <cfRule type="notContainsBlanks" dxfId="665" priority="999">
      <formula>LEN(TRIM(AC174))&gt;0</formula>
    </cfRule>
  </conditionalFormatting>
  <conditionalFormatting sqref="AE174:AF174">
    <cfRule type="notContainsBlanks" dxfId="664" priority="998">
      <formula>LEN(TRIM(AE174))&gt;0</formula>
    </cfRule>
  </conditionalFormatting>
  <conditionalFormatting sqref="AD174">
    <cfRule type="notContainsBlanks" dxfId="663" priority="1559">
      <formula>LEN(TRIM(AD174))&gt;0</formula>
    </cfRule>
  </conditionalFormatting>
  <conditionalFormatting sqref="AB174">
    <cfRule type="cellIs" dxfId="662" priority="995" operator="equal">
      <formula>0</formula>
    </cfRule>
  </conditionalFormatting>
  <conditionalFormatting sqref="AC139:AC140 AC142 AC144:AC146">
    <cfRule type="notContainsBlanks" dxfId="661" priority="993">
      <formula>LEN(TRIM(AC139))&gt;0</formula>
    </cfRule>
  </conditionalFormatting>
  <conditionalFormatting sqref="AE139:AF146">
    <cfRule type="notContainsBlanks" dxfId="660" priority="992">
      <formula>LEN(TRIM(AE139))&gt;0</formula>
    </cfRule>
  </conditionalFormatting>
  <conditionalFormatting sqref="AB139:AB146">
    <cfRule type="cellIs" dxfId="659" priority="989" operator="equal">
      <formula>0</formula>
    </cfRule>
  </conditionalFormatting>
  <conditionalFormatting sqref="D138:AB138">
    <cfRule type="cellIs" dxfId="658" priority="987" operator="equal">
      <formula>0</formula>
    </cfRule>
  </conditionalFormatting>
  <conditionalFormatting sqref="AE312 AE317:AE318">
    <cfRule type="notContainsBlanks" dxfId="657" priority="983">
      <formula>LEN(TRIM(AE312))&gt;0</formula>
    </cfRule>
  </conditionalFormatting>
  <conditionalFormatting sqref="AB312">
    <cfRule type="cellIs" dxfId="656" priority="982" operator="equal">
      <formula>0</formula>
    </cfRule>
  </conditionalFormatting>
  <conditionalFormatting sqref="AC318">
    <cfRule type="notContainsBlanks" dxfId="655" priority="984">
      <formula>LEN(TRIM(AC318))&gt;0</formula>
    </cfRule>
  </conditionalFormatting>
  <conditionalFormatting sqref="AC313:AC314">
    <cfRule type="notContainsBlanks" dxfId="654" priority="981">
      <formula>LEN(TRIM(AC313))&gt;0</formula>
    </cfRule>
  </conditionalFormatting>
  <conditionalFormatting sqref="AE313:AE316">
    <cfRule type="notContainsBlanks" dxfId="653" priority="978">
      <formula>LEN(TRIM(AE313))&gt;0</formula>
    </cfRule>
  </conditionalFormatting>
  <conditionalFormatting sqref="F315:AA315 F313:AA313">
    <cfRule type="cellIs" dxfId="652" priority="976" operator="equal">
      <formula>0</formula>
    </cfRule>
  </conditionalFormatting>
  <conditionalFormatting sqref="AB313:AB321">
    <cfRule type="cellIs" dxfId="651" priority="975" operator="equal">
      <formula>0</formula>
    </cfRule>
  </conditionalFormatting>
  <conditionalFormatting sqref="B314">
    <cfRule type="cellIs" dxfId="650" priority="971" operator="equal">
      <formula>0</formula>
    </cfRule>
  </conditionalFormatting>
  <conditionalFormatting sqref="B316">
    <cfRule type="cellIs" dxfId="649" priority="970" operator="equal">
      <formula>0</formula>
    </cfRule>
  </conditionalFormatting>
  <conditionalFormatting sqref="F314:AA314">
    <cfRule type="cellIs" dxfId="648" priority="969" operator="equal">
      <formula>0</formula>
    </cfRule>
  </conditionalFormatting>
  <conditionalFormatting sqref="F316:AA316">
    <cfRule type="cellIs" dxfId="647" priority="967" operator="equal">
      <formula>0</formula>
    </cfRule>
  </conditionalFormatting>
  <conditionalFormatting sqref="AE320">
    <cfRule type="notContainsBlanks" dxfId="646" priority="965">
      <formula>LEN(TRIM(AE320))&gt;0</formula>
    </cfRule>
  </conditionalFormatting>
  <conditionalFormatting sqref="AE321">
    <cfRule type="notContainsBlanks" dxfId="645" priority="961">
      <formula>LEN(TRIM(AE321))&gt;0</formula>
    </cfRule>
  </conditionalFormatting>
  <conditionalFormatting sqref="F318:AA318">
    <cfRule type="cellIs" dxfId="644" priority="958" operator="equal">
      <formula>0</formula>
    </cfRule>
  </conditionalFormatting>
  <conditionalFormatting sqref="B318">
    <cfRule type="cellIs" dxfId="643" priority="957" operator="equal">
      <formula>0</formula>
    </cfRule>
  </conditionalFormatting>
  <conditionalFormatting sqref="B321">
    <cfRule type="cellIs" dxfId="642" priority="956" operator="equal">
      <formula>0</formula>
    </cfRule>
  </conditionalFormatting>
  <conditionalFormatting sqref="F321:AA321">
    <cfRule type="cellIs" dxfId="641" priority="955" operator="equal">
      <formula>0</formula>
    </cfRule>
  </conditionalFormatting>
  <conditionalFormatting sqref="J65:AA65">
    <cfRule type="expression" dxfId="640" priority="1414">
      <formula>J65&gt;J62</formula>
    </cfRule>
  </conditionalFormatting>
  <conditionalFormatting sqref="D272:AA272">
    <cfRule type="expression" dxfId="639" priority="1417">
      <formula>D272&gt;D252</formula>
    </cfRule>
  </conditionalFormatting>
  <conditionalFormatting sqref="D272:AA272">
    <cfRule type="expression" dxfId="638" priority="1419">
      <formula>(D252*0.7)&gt;D272</formula>
    </cfRule>
  </conditionalFormatting>
  <conditionalFormatting sqref="D251:AA251">
    <cfRule type="cellIs" dxfId="637" priority="952" operator="equal">
      <formula>0</formula>
    </cfRule>
  </conditionalFormatting>
  <conditionalFormatting sqref="AB251">
    <cfRule type="cellIs" dxfId="636" priority="951" operator="equal">
      <formula>0</formula>
    </cfRule>
  </conditionalFormatting>
  <conditionalFormatting sqref="D243:AA243">
    <cfRule type="cellIs" dxfId="635" priority="948" operator="equal">
      <formula>0</formula>
    </cfRule>
  </conditionalFormatting>
  <conditionalFormatting sqref="D243:AA243">
    <cfRule type="cellIs" dxfId="634" priority="947" operator="equal">
      <formula>0</formula>
    </cfRule>
  </conditionalFormatting>
  <conditionalFormatting sqref="J77:AA77">
    <cfRule type="cellIs" dxfId="633" priority="943" operator="equal">
      <formula>0</formula>
    </cfRule>
  </conditionalFormatting>
  <conditionalFormatting sqref="B77">
    <cfRule type="cellIs" dxfId="632" priority="946" operator="equal">
      <formula>0</formula>
    </cfRule>
  </conditionalFormatting>
  <conditionalFormatting sqref="J77:AA77">
    <cfRule type="cellIs" dxfId="631" priority="944" operator="equal">
      <formula>0</formula>
    </cfRule>
  </conditionalFormatting>
  <conditionalFormatting sqref="J77:AA77">
    <cfRule type="expression" dxfId="630" priority="945">
      <formula>J110&gt;J77</formula>
    </cfRule>
  </conditionalFormatting>
  <conditionalFormatting sqref="B66">
    <cfRule type="cellIs" dxfId="629" priority="942" operator="equal">
      <formula>0</formula>
    </cfRule>
  </conditionalFormatting>
  <conditionalFormatting sqref="J66:AA66">
    <cfRule type="cellIs" dxfId="628" priority="939" operator="equal">
      <formula>0</formula>
    </cfRule>
  </conditionalFormatting>
  <conditionalFormatting sqref="J66:AA66">
    <cfRule type="cellIs" dxfId="627" priority="940" operator="equal">
      <formula>0</formula>
    </cfRule>
  </conditionalFormatting>
  <conditionalFormatting sqref="J66:AA66">
    <cfRule type="expression" dxfId="626" priority="941">
      <formula>J99&gt;J66</formula>
    </cfRule>
  </conditionalFormatting>
  <conditionalFormatting sqref="AC269">
    <cfRule type="notContainsBlanks" dxfId="625" priority="907">
      <formula>LEN(TRIM(AC269))&gt;0</formula>
    </cfRule>
  </conditionalFormatting>
  <conditionalFormatting sqref="AE269">
    <cfRule type="notContainsBlanks" dxfId="624" priority="906">
      <formula>LEN(TRIM(AE269))&gt;0</formula>
    </cfRule>
  </conditionalFormatting>
  <conditionalFormatting sqref="AC268:AC269">
    <cfRule type="notContainsBlanks" dxfId="623" priority="903">
      <formula>LEN(TRIM(AC268))&gt;0</formula>
    </cfRule>
  </conditionalFormatting>
  <conditionalFormatting sqref="AE267:AE269">
    <cfRule type="notContainsBlanks" dxfId="622" priority="902">
      <formula>LEN(TRIM(AE267))&gt;0</formula>
    </cfRule>
  </conditionalFormatting>
  <conditionalFormatting sqref="AE280">
    <cfRule type="notContainsBlanks" dxfId="621" priority="890">
      <formula>LEN(TRIM(AE280))&gt;0</formula>
    </cfRule>
  </conditionalFormatting>
  <conditionalFormatting sqref="AB280">
    <cfRule type="cellIs" dxfId="620" priority="889" operator="equal">
      <formula>0</formula>
    </cfRule>
  </conditionalFormatting>
  <conditionalFormatting sqref="AE277">
    <cfRule type="notContainsBlanks" dxfId="619" priority="894">
      <formula>LEN(TRIM(AE277))&gt;0</formula>
    </cfRule>
  </conditionalFormatting>
  <conditionalFormatting sqref="AC279 AC281">
    <cfRule type="notContainsBlanks" dxfId="618" priority="887">
      <formula>LEN(TRIM(AC279))&gt;0</formula>
    </cfRule>
  </conditionalFormatting>
  <conditionalFormatting sqref="AE279:AE281">
    <cfRule type="notContainsBlanks" dxfId="617" priority="886">
      <formula>LEN(TRIM(AE279))&gt;0</formula>
    </cfRule>
  </conditionalFormatting>
  <conditionalFormatting sqref="AB279:AB280">
    <cfRule type="cellIs" dxfId="616" priority="885" operator="equal">
      <formula>0</formula>
    </cfRule>
  </conditionalFormatting>
  <conditionalFormatting sqref="D269:AA269">
    <cfRule type="cellIs" dxfId="615" priority="881" operator="equal">
      <formula>0</formula>
    </cfRule>
  </conditionalFormatting>
  <conditionalFormatting sqref="D269:AA269">
    <cfRule type="cellIs" dxfId="614" priority="880" operator="equal">
      <formula>0</formula>
    </cfRule>
  </conditionalFormatting>
  <conditionalFormatting sqref="D269:AA269">
    <cfRule type="cellIs" dxfId="613" priority="879" operator="equal">
      <formula>0</formula>
    </cfRule>
  </conditionalFormatting>
  <conditionalFormatting sqref="AC270:AC275">
    <cfRule type="notContainsBlanks" dxfId="612" priority="875">
      <formula>LEN(TRIM(AC270))&gt;0</formula>
    </cfRule>
  </conditionalFormatting>
  <conditionalFormatting sqref="AE270:AE276">
    <cfRule type="notContainsBlanks" dxfId="611" priority="874">
      <formula>LEN(TRIM(AE270))&gt;0</formula>
    </cfRule>
  </conditionalFormatting>
  <conditionalFormatting sqref="AC278">
    <cfRule type="notContainsBlanks" dxfId="610" priority="866">
      <formula>LEN(TRIM(AC278))&gt;0</formula>
    </cfRule>
  </conditionalFormatting>
  <conditionalFormatting sqref="AE278">
    <cfRule type="notContainsBlanks" dxfId="609" priority="865">
      <formula>LEN(TRIM(AE278))&gt;0</formula>
    </cfRule>
  </conditionalFormatting>
  <conditionalFormatting sqref="AB278">
    <cfRule type="cellIs" dxfId="608" priority="864" operator="equal">
      <formula>0</formula>
    </cfRule>
  </conditionalFormatting>
  <conditionalFormatting sqref="D280:AA280">
    <cfRule type="cellIs" dxfId="607" priority="862" operator="equal">
      <formula>0</formula>
    </cfRule>
  </conditionalFormatting>
  <conditionalFormatting sqref="D280:AA280">
    <cfRule type="cellIs" dxfId="606" priority="861" operator="equal">
      <formula>0</formula>
    </cfRule>
  </conditionalFormatting>
  <conditionalFormatting sqref="D280:AA280">
    <cfRule type="cellIs" dxfId="605" priority="860" operator="equal">
      <formula>0</formula>
    </cfRule>
  </conditionalFormatting>
  <conditionalFormatting sqref="AC282">
    <cfRule type="notContainsBlanks" dxfId="604" priority="855">
      <formula>LEN(TRIM(AC282))&gt;0</formula>
    </cfRule>
  </conditionalFormatting>
  <conditionalFormatting sqref="AE282">
    <cfRule type="notContainsBlanks" dxfId="603" priority="854">
      <formula>LEN(TRIM(AE282))&gt;0</formula>
    </cfRule>
  </conditionalFormatting>
  <conditionalFormatting sqref="D282:AA282">
    <cfRule type="cellIs" dxfId="602" priority="853" operator="equal">
      <formula>0</formula>
    </cfRule>
  </conditionalFormatting>
  <conditionalFormatting sqref="AB282">
    <cfRule type="cellIs" dxfId="601" priority="852" operator="equal">
      <formula>0</formula>
    </cfRule>
  </conditionalFormatting>
  <conditionalFormatting sqref="D282:AA282">
    <cfRule type="cellIs" dxfId="600" priority="851" operator="equal">
      <formula>0</formula>
    </cfRule>
  </conditionalFormatting>
  <conditionalFormatting sqref="AC283">
    <cfRule type="notContainsBlanks" dxfId="599" priority="849">
      <formula>LEN(TRIM(AC283))&gt;0</formula>
    </cfRule>
  </conditionalFormatting>
  <conditionalFormatting sqref="AE283">
    <cfRule type="notContainsBlanks" dxfId="598" priority="848">
      <formula>LEN(TRIM(AE283))&gt;0</formula>
    </cfRule>
  </conditionalFormatting>
  <conditionalFormatting sqref="AB283:AB288">
    <cfRule type="cellIs" dxfId="597" priority="847" operator="equal">
      <formula>0</formula>
    </cfRule>
  </conditionalFormatting>
  <conditionalFormatting sqref="AC288">
    <cfRule type="notContainsBlanks" dxfId="596" priority="839">
      <formula>LEN(TRIM(AC288))&gt;0</formula>
    </cfRule>
  </conditionalFormatting>
  <conditionalFormatting sqref="AE288">
    <cfRule type="notContainsBlanks" dxfId="595" priority="838">
      <formula>LEN(TRIM(AE288))&gt;0</formula>
    </cfRule>
  </conditionalFormatting>
  <conditionalFormatting sqref="AC287">
    <cfRule type="notContainsBlanks" dxfId="594" priority="842">
      <formula>LEN(TRIM(AC287))&gt;0</formula>
    </cfRule>
  </conditionalFormatting>
  <conditionalFormatting sqref="AE287">
    <cfRule type="notContainsBlanks" dxfId="593" priority="841">
      <formula>LEN(TRIM(AE287))&gt;0</formula>
    </cfRule>
  </conditionalFormatting>
  <conditionalFormatting sqref="D281:AB281">
    <cfRule type="cellIs" dxfId="592" priority="811" operator="equal">
      <formula>0</formula>
    </cfRule>
  </conditionalFormatting>
  <conditionalFormatting sqref="D281:AB281">
    <cfRule type="cellIs" dxfId="591" priority="810" operator="equal">
      <formula>0</formula>
    </cfRule>
  </conditionalFormatting>
  <conditionalFormatting sqref="D281:AB281">
    <cfRule type="cellIs" dxfId="590" priority="809" operator="equal">
      <formula>0</formula>
    </cfRule>
  </conditionalFormatting>
  <conditionalFormatting sqref="AC8">
    <cfRule type="notContainsBlanks" dxfId="589" priority="802">
      <formula>LEN(TRIM(AC8))&gt;0</formula>
    </cfRule>
  </conditionalFormatting>
  <conditionalFormatting sqref="AC9">
    <cfRule type="notContainsBlanks" dxfId="588" priority="801">
      <formula>LEN(TRIM(AC9))&gt;0</formula>
    </cfRule>
  </conditionalFormatting>
  <conditionalFormatting sqref="J62:AA62">
    <cfRule type="expression" dxfId="587" priority="800">
      <formula>J65&gt;J62</formula>
    </cfRule>
  </conditionalFormatting>
  <conditionalFormatting sqref="J64:AA64">
    <cfRule type="expression" dxfId="586" priority="799">
      <formula>J64&gt;J63</formula>
    </cfRule>
  </conditionalFormatting>
  <conditionalFormatting sqref="J63:AA63">
    <cfRule type="expression" dxfId="585" priority="798">
      <formula>J64&gt;J63</formula>
    </cfRule>
  </conditionalFormatting>
  <conditionalFormatting sqref="AC63">
    <cfRule type="notContainsBlanks" dxfId="584" priority="797">
      <formula>LEN(TRIM(AC63))&gt;0</formula>
    </cfRule>
  </conditionalFormatting>
  <conditionalFormatting sqref="J77:AA77">
    <cfRule type="expression" dxfId="583" priority="796">
      <formula>J77&lt;J66</formula>
    </cfRule>
  </conditionalFormatting>
  <conditionalFormatting sqref="J66:AA66">
    <cfRule type="expression" dxfId="582" priority="795">
      <formula>J66&gt;J77</formula>
    </cfRule>
  </conditionalFormatting>
  <conditionalFormatting sqref="AC77">
    <cfRule type="notContainsBlanks" dxfId="581" priority="794">
      <formula>LEN(TRIM(AC77))&gt;0</formula>
    </cfRule>
  </conditionalFormatting>
  <conditionalFormatting sqref="J65:AA65">
    <cfRule type="expression" dxfId="580" priority="793">
      <formula>J66&gt;J65</formula>
    </cfRule>
  </conditionalFormatting>
  <conditionalFormatting sqref="J77:AA77 D252:AB252">
    <cfRule type="expression" dxfId="579" priority="792">
      <formula>D76&gt;D77</formula>
    </cfRule>
  </conditionalFormatting>
  <conditionalFormatting sqref="J76:AA76">
    <cfRule type="expression" dxfId="578" priority="791">
      <formula>J76&gt;J77</formula>
    </cfRule>
  </conditionalFormatting>
  <conditionalFormatting sqref="AC76">
    <cfRule type="notContainsBlanks" dxfId="577" priority="790">
      <formula>LEN(TRIM(AC76))&gt;0</formula>
    </cfRule>
  </conditionalFormatting>
  <conditionalFormatting sqref="J73:AA73">
    <cfRule type="expression" dxfId="576" priority="787">
      <formula>J73&gt;J77</formula>
    </cfRule>
  </conditionalFormatting>
  <conditionalFormatting sqref="J77:AA77">
    <cfRule type="expression" dxfId="575" priority="786">
      <formula>J73&gt;J77</formula>
    </cfRule>
  </conditionalFormatting>
  <conditionalFormatting sqref="AC73">
    <cfRule type="notContainsBlanks" dxfId="574" priority="785">
      <formula>LEN(TRIM(AC73))&gt;0</formula>
    </cfRule>
  </conditionalFormatting>
  <conditionalFormatting sqref="J85:AA85">
    <cfRule type="expression" dxfId="573" priority="784">
      <formula>J85&gt;J84</formula>
    </cfRule>
  </conditionalFormatting>
  <conditionalFormatting sqref="J84:AA84">
    <cfRule type="expression" dxfId="572" priority="783">
      <formula>J85&gt;J84</formula>
    </cfRule>
  </conditionalFormatting>
  <conditionalFormatting sqref="J84:AA84">
    <cfRule type="expression" dxfId="571" priority="782">
      <formula>(J84+J85+J86)&gt;J77</formula>
    </cfRule>
  </conditionalFormatting>
  <conditionalFormatting sqref="J77:AA77">
    <cfRule type="expression" dxfId="570" priority="781">
      <formula>(J84+J85+J86)&gt;J77</formula>
    </cfRule>
  </conditionalFormatting>
  <conditionalFormatting sqref="J86:AA86">
    <cfRule type="expression" dxfId="569" priority="780">
      <formula>(J84+J85+J86)&gt;J77</formula>
    </cfRule>
  </conditionalFormatting>
  <conditionalFormatting sqref="D101:AA101">
    <cfRule type="expression" dxfId="568" priority="779">
      <formula>D101&gt;D99</formula>
    </cfRule>
  </conditionalFormatting>
  <conditionalFormatting sqref="D102:AA102">
    <cfRule type="expression" dxfId="567" priority="778">
      <formula>D102&gt;D100</formula>
    </cfRule>
  </conditionalFormatting>
  <conditionalFormatting sqref="M192">
    <cfRule type="expression" dxfId="566" priority="773">
      <formula>(M193+M194)&gt;M192</formula>
    </cfRule>
  </conditionalFormatting>
  <conditionalFormatting sqref="O192">
    <cfRule type="expression" dxfId="565" priority="772">
      <formula>(O193+O194)&gt;O192</formula>
    </cfRule>
  </conditionalFormatting>
  <conditionalFormatting sqref="Q192">
    <cfRule type="expression" dxfId="564" priority="771">
      <formula>(Q193+Q194)&gt;Q192</formula>
    </cfRule>
  </conditionalFormatting>
  <conditionalFormatting sqref="U192">
    <cfRule type="expression" dxfId="563" priority="770">
      <formula>(U193+U194)&gt;U192</formula>
    </cfRule>
  </conditionalFormatting>
  <conditionalFormatting sqref="W192">
    <cfRule type="expression" dxfId="562" priority="769">
      <formula>(W193+W194)&gt;W192</formula>
    </cfRule>
  </conditionalFormatting>
  <conditionalFormatting sqref="Y192">
    <cfRule type="expression" dxfId="561" priority="768">
      <formula>(Y193+Y194)&gt;Y192</formula>
    </cfRule>
  </conditionalFormatting>
  <conditionalFormatting sqref="M193">
    <cfRule type="expression" dxfId="560" priority="765">
      <formula>M193&gt;M192</formula>
    </cfRule>
    <cfRule type="expression" dxfId="559" priority="766">
      <formula>M226&gt;M193</formula>
    </cfRule>
  </conditionalFormatting>
  <conditionalFormatting sqref="O193">
    <cfRule type="expression" dxfId="558" priority="763">
      <formula>O193&gt;O192</formula>
    </cfRule>
    <cfRule type="expression" dxfId="557" priority="764">
      <formula>O226&gt;O193</formula>
    </cfRule>
  </conditionalFormatting>
  <conditionalFormatting sqref="Q193">
    <cfRule type="expression" dxfId="556" priority="761">
      <formula>Q193&gt;Q192</formula>
    </cfRule>
    <cfRule type="expression" dxfId="555" priority="762">
      <formula>Q226&gt;Q193</formula>
    </cfRule>
  </conditionalFormatting>
  <conditionalFormatting sqref="S193">
    <cfRule type="expression" dxfId="554" priority="759">
      <formula>S193&gt;S192</formula>
    </cfRule>
    <cfRule type="expression" dxfId="553" priority="760">
      <formula>S226&gt;S193</formula>
    </cfRule>
  </conditionalFormatting>
  <conditionalFormatting sqref="U193">
    <cfRule type="expression" dxfId="552" priority="757">
      <formula>U193&gt;U192</formula>
    </cfRule>
    <cfRule type="expression" dxfId="551" priority="758">
      <formula>U226&gt;U193</formula>
    </cfRule>
  </conditionalFormatting>
  <conditionalFormatting sqref="W193">
    <cfRule type="expression" dxfId="550" priority="755">
      <formula>W193&gt;W192</formula>
    </cfRule>
    <cfRule type="expression" dxfId="549" priority="756">
      <formula>W226&gt;W193</formula>
    </cfRule>
  </conditionalFormatting>
  <conditionalFormatting sqref="Y193">
    <cfRule type="expression" dxfId="548" priority="753">
      <formula>Y193&gt;Y192</formula>
    </cfRule>
    <cfRule type="expression" dxfId="547" priority="754">
      <formula>Y226&gt;Y193</formula>
    </cfRule>
  </conditionalFormatting>
  <conditionalFormatting sqref="K195">
    <cfRule type="expression" dxfId="546" priority="752">
      <formula>K195&gt;K194</formula>
    </cfRule>
  </conditionalFormatting>
  <conditionalFormatting sqref="M195">
    <cfRule type="expression" dxfId="545" priority="751">
      <formula>M195&gt;M194</formula>
    </cfRule>
  </conditionalFormatting>
  <conditionalFormatting sqref="O195">
    <cfRule type="expression" dxfId="544" priority="750">
      <formula>O195&gt;O194</formula>
    </cfRule>
  </conditionalFormatting>
  <conditionalFormatting sqref="Q195">
    <cfRule type="expression" dxfId="543" priority="749">
      <formula>Q195&gt;Q194</formula>
    </cfRule>
  </conditionalFormatting>
  <conditionalFormatting sqref="S195">
    <cfRule type="expression" dxfId="542" priority="748">
      <formula>S195&gt;S194</formula>
    </cfRule>
  </conditionalFormatting>
  <conditionalFormatting sqref="U195">
    <cfRule type="expression" dxfId="541" priority="747">
      <formula>U195&gt;U194</formula>
    </cfRule>
  </conditionalFormatting>
  <conditionalFormatting sqref="W195">
    <cfRule type="expression" dxfId="540" priority="746">
      <formula>W195&gt;W194</formula>
    </cfRule>
  </conditionalFormatting>
  <conditionalFormatting sqref="Y195">
    <cfRule type="expression" dxfId="539" priority="745">
      <formula>Y195&gt;Y194</formula>
    </cfRule>
  </conditionalFormatting>
  <conditionalFormatting sqref="K199">
    <cfRule type="expression" dxfId="538" priority="573">
      <formula>K229&lt;&gt;K199</formula>
    </cfRule>
    <cfRule type="expression" dxfId="537" priority="744">
      <formula>K199&gt;K198</formula>
    </cfRule>
  </conditionalFormatting>
  <conditionalFormatting sqref="M199">
    <cfRule type="expression" dxfId="536" priority="743">
      <formula>M199&gt;M198</formula>
    </cfRule>
  </conditionalFormatting>
  <conditionalFormatting sqref="O199">
    <cfRule type="expression" dxfId="535" priority="742">
      <formula>O199&gt;O198</formula>
    </cfRule>
  </conditionalFormatting>
  <conditionalFormatting sqref="Q199">
    <cfRule type="expression" dxfId="534" priority="741">
      <formula>Q199&gt;Q198</formula>
    </cfRule>
  </conditionalFormatting>
  <conditionalFormatting sqref="S199">
    <cfRule type="expression" dxfId="533" priority="740">
      <formula>S199&gt;S198</formula>
    </cfRule>
  </conditionalFormatting>
  <conditionalFormatting sqref="U199">
    <cfRule type="expression" dxfId="532" priority="739">
      <formula>U199&gt;U198</formula>
    </cfRule>
  </conditionalFormatting>
  <conditionalFormatting sqref="W199">
    <cfRule type="expression" dxfId="531" priority="738">
      <formula>W199&gt;W198</formula>
    </cfRule>
  </conditionalFormatting>
  <conditionalFormatting sqref="Y199">
    <cfRule type="expression" dxfId="530" priority="737">
      <formula>Y199&gt;Y198</formula>
    </cfRule>
  </conditionalFormatting>
  <conditionalFormatting sqref="AC200">
    <cfRule type="notContainsBlanks" dxfId="529" priority="736">
      <formula>LEN(TRIM(AC200))&gt;0</formula>
    </cfRule>
  </conditionalFormatting>
  <conditionalFormatting sqref="K200">
    <cfRule type="expression" dxfId="528" priority="735">
      <formula>K201&gt;K200</formula>
    </cfRule>
  </conditionalFormatting>
  <conditionalFormatting sqref="K201">
    <cfRule type="expression" dxfId="527" priority="514">
      <formula>K230&lt;&gt;K201</formula>
    </cfRule>
    <cfRule type="expression" dxfId="526" priority="734">
      <formula>K201&gt;K200</formula>
    </cfRule>
  </conditionalFormatting>
  <conditionalFormatting sqref="M200">
    <cfRule type="expression" dxfId="525" priority="733">
      <formula>M201&gt;M200</formula>
    </cfRule>
  </conditionalFormatting>
  <conditionalFormatting sqref="M201">
    <cfRule type="expression" dxfId="524" priority="732">
      <formula>M201&gt;M200</formula>
    </cfRule>
  </conditionalFormatting>
  <conditionalFormatting sqref="O200">
    <cfRule type="expression" dxfId="523" priority="731">
      <formula>O201&gt;O200</formula>
    </cfRule>
  </conditionalFormatting>
  <conditionalFormatting sqref="O201">
    <cfRule type="expression" dxfId="522" priority="730">
      <formula>O201&gt;O200</formula>
    </cfRule>
  </conditionalFormatting>
  <conditionalFormatting sqref="Q200">
    <cfRule type="expression" dxfId="521" priority="729">
      <formula>Q201&gt;Q200</formula>
    </cfRule>
  </conditionalFormatting>
  <conditionalFormatting sqref="Q201">
    <cfRule type="expression" dxfId="520" priority="728">
      <formula>Q201&gt;Q200</formula>
    </cfRule>
  </conditionalFormatting>
  <conditionalFormatting sqref="S200">
    <cfRule type="expression" dxfId="519" priority="727">
      <formula>S201&gt;S200</formula>
    </cfRule>
  </conditionalFormatting>
  <conditionalFormatting sqref="S201">
    <cfRule type="expression" dxfId="518" priority="726">
      <formula>S201&gt;S200</formula>
    </cfRule>
  </conditionalFormatting>
  <conditionalFormatting sqref="U200">
    <cfRule type="expression" dxfId="517" priority="725">
      <formula>U201&gt;U200</formula>
    </cfRule>
  </conditionalFormatting>
  <conditionalFormatting sqref="U201">
    <cfRule type="expression" dxfId="516" priority="724">
      <formula>U201&gt;U200</formula>
    </cfRule>
  </conditionalFormatting>
  <conditionalFormatting sqref="W200">
    <cfRule type="expression" dxfId="515" priority="723">
      <formula>W201&gt;W200</formula>
    </cfRule>
  </conditionalFormatting>
  <conditionalFormatting sqref="W201">
    <cfRule type="expression" dxfId="514" priority="722">
      <formula>W201&gt;W200</formula>
    </cfRule>
  </conditionalFormatting>
  <conditionalFormatting sqref="Y200">
    <cfRule type="expression" dxfId="513" priority="721">
      <formula>Y201&gt;Y200</formula>
    </cfRule>
  </conditionalFormatting>
  <conditionalFormatting sqref="Y201">
    <cfRule type="expression" dxfId="512" priority="720">
      <formula>Y201&gt;Y200</formula>
    </cfRule>
  </conditionalFormatting>
  <conditionalFormatting sqref="AC204">
    <cfRule type="notContainsBlanks" dxfId="511" priority="719">
      <formula>LEN(TRIM(AC204))&gt;0</formula>
    </cfRule>
  </conditionalFormatting>
  <conditionalFormatting sqref="K205">
    <cfRule type="expression" dxfId="510" priority="718">
      <formula>K205&gt;K204</formula>
    </cfRule>
  </conditionalFormatting>
  <conditionalFormatting sqref="M205">
    <cfRule type="expression" dxfId="509" priority="716">
      <formula>M205&gt;M204</formula>
    </cfRule>
  </conditionalFormatting>
  <conditionalFormatting sqref="M204">
    <cfRule type="expression" dxfId="508" priority="715">
      <formula>M205&gt;M204</formula>
    </cfRule>
  </conditionalFormatting>
  <conditionalFormatting sqref="O205">
    <cfRule type="expression" dxfId="507" priority="714">
      <formula>O205&gt;O204</formula>
    </cfRule>
  </conditionalFormatting>
  <conditionalFormatting sqref="O204">
    <cfRule type="expression" dxfId="506" priority="713">
      <formula>O205&gt;O204</formula>
    </cfRule>
  </conditionalFormatting>
  <conditionalFormatting sqref="Q205">
    <cfRule type="expression" dxfId="505" priority="712">
      <formula>Q205&gt;Q204</formula>
    </cfRule>
  </conditionalFormatting>
  <conditionalFormatting sqref="Q204">
    <cfRule type="expression" dxfId="504" priority="711">
      <formula>Q205&gt;Q204</formula>
    </cfRule>
  </conditionalFormatting>
  <conditionalFormatting sqref="S205">
    <cfRule type="expression" dxfId="503" priority="710">
      <formula>S205&gt;S204</formula>
    </cfRule>
  </conditionalFormatting>
  <conditionalFormatting sqref="S204">
    <cfRule type="expression" dxfId="502" priority="709">
      <formula>S205&gt;S204</formula>
    </cfRule>
  </conditionalFormatting>
  <conditionalFormatting sqref="U205">
    <cfRule type="expression" dxfId="501" priority="708">
      <formula>U205&gt;U204</formula>
    </cfRule>
  </conditionalFormatting>
  <conditionalFormatting sqref="U204">
    <cfRule type="expression" dxfId="500" priority="707">
      <formula>U205&gt;U204</formula>
    </cfRule>
  </conditionalFormatting>
  <conditionalFormatting sqref="W205">
    <cfRule type="expression" dxfId="499" priority="706">
      <formula>W205&gt;W204</formula>
    </cfRule>
  </conditionalFormatting>
  <conditionalFormatting sqref="W204">
    <cfRule type="expression" dxfId="498" priority="705">
      <formula>W205&gt;W204</formula>
    </cfRule>
  </conditionalFormatting>
  <conditionalFormatting sqref="Y205">
    <cfRule type="expression" dxfId="497" priority="704">
      <formula>Y205&gt;Y204</formula>
    </cfRule>
  </conditionalFormatting>
  <conditionalFormatting sqref="Y204">
    <cfRule type="expression" dxfId="496" priority="703">
      <formula>Y205&gt;Y204</formula>
    </cfRule>
  </conditionalFormatting>
  <conditionalFormatting sqref="O207">
    <cfRule type="expression" dxfId="495" priority="702">
      <formula>O207&gt;O206</formula>
    </cfRule>
  </conditionalFormatting>
  <conditionalFormatting sqref="Q206">
    <cfRule type="expression" dxfId="494" priority="701">
      <formula>Q207&gt;Q206</formula>
    </cfRule>
  </conditionalFormatting>
  <conditionalFormatting sqref="Q206">
    <cfRule type="expression" dxfId="493" priority="700">
      <formula>Q207&gt;Q206</formula>
    </cfRule>
  </conditionalFormatting>
  <conditionalFormatting sqref="S206">
    <cfRule type="expression" dxfId="492" priority="699">
      <formula>S207&gt;S206</formula>
    </cfRule>
  </conditionalFormatting>
  <conditionalFormatting sqref="S206">
    <cfRule type="expression" dxfId="491" priority="698">
      <formula>S207&gt;S206</formula>
    </cfRule>
  </conditionalFormatting>
  <conditionalFormatting sqref="U206">
    <cfRule type="expression" dxfId="490" priority="697">
      <formula>U207&gt;U206</formula>
    </cfRule>
  </conditionalFormatting>
  <conditionalFormatting sqref="U206">
    <cfRule type="expression" dxfId="489" priority="696">
      <formula>U207&gt;U206</formula>
    </cfRule>
  </conditionalFormatting>
  <conditionalFormatting sqref="W206">
    <cfRule type="expression" dxfId="488" priority="695">
      <formula>W207&gt;W206</formula>
    </cfRule>
  </conditionalFormatting>
  <conditionalFormatting sqref="W206">
    <cfRule type="expression" dxfId="487" priority="694">
      <formula>W207&gt;W206</formula>
    </cfRule>
  </conditionalFormatting>
  <conditionalFormatting sqref="Y206">
    <cfRule type="expression" dxfId="486" priority="693">
      <formula>Y207&gt;Y206</formula>
    </cfRule>
  </conditionalFormatting>
  <conditionalFormatting sqref="Y206">
    <cfRule type="expression" dxfId="485" priority="692">
      <formula>Y207&gt;Y206</formula>
    </cfRule>
  </conditionalFormatting>
  <conditionalFormatting sqref="K207">
    <cfRule type="expression" dxfId="484" priority="691">
      <formula>K233&gt;K207</formula>
    </cfRule>
  </conditionalFormatting>
  <conditionalFormatting sqref="K207">
    <cfRule type="expression" dxfId="483" priority="690">
      <formula>K207&gt;K206</formula>
    </cfRule>
  </conditionalFormatting>
  <conditionalFormatting sqref="M207">
    <cfRule type="expression" dxfId="482" priority="689">
      <formula>M207&gt;M206</formula>
    </cfRule>
  </conditionalFormatting>
  <conditionalFormatting sqref="Q207">
    <cfRule type="expression" dxfId="481" priority="688">
      <formula>Q207&gt;Q206</formula>
    </cfRule>
  </conditionalFormatting>
  <conditionalFormatting sqref="S207">
    <cfRule type="expression" dxfId="480" priority="687">
      <formula>S207&gt;S206</formula>
    </cfRule>
  </conditionalFormatting>
  <conditionalFormatting sqref="U207">
    <cfRule type="expression" dxfId="479" priority="686">
      <formula>U207&gt;U206</formula>
    </cfRule>
  </conditionalFormatting>
  <conditionalFormatting sqref="W207">
    <cfRule type="expression" dxfId="478" priority="685">
      <formula>W207&gt;W206</formula>
    </cfRule>
  </conditionalFormatting>
  <conditionalFormatting sqref="Y207">
    <cfRule type="expression" dxfId="477" priority="684">
      <formula>Y207&gt;Y206</formula>
    </cfRule>
  </conditionalFormatting>
  <conditionalFormatting sqref="K208">
    <cfRule type="expression" dxfId="476" priority="682">
      <formula>K209&gt;K208</formula>
    </cfRule>
  </conditionalFormatting>
  <conditionalFormatting sqref="M208">
    <cfRule type="expression" dxfId="475" priority="678">
      <formula>M209&gt;M208</formula>
    </cfRule>
  </conditionalFormatting>
  <conditionalFormatting sqref="O208">
    <cfRule type="expression" dxfId="474" priority="674">
      <formula>O209&gt;O208</formula>
    </cfRule>
  </conditionalFormatting>
  <conditionalFormatting sqref="Q208">
    <cfRule type="expression" dxfId="473" priority="670">
      <formula>Q209&gt;Q208</formula>
    </cfRule>
  </conditionalFormatting>
  <conditionalFormatting sqref="S208">
    <cfRule type="expression" dxfId="472" priority="666">
      <formula>S209&gt;S208</formula>
    </cfRule>
  </conditionalFormatting>
  <conditionalFormatting sqref="U208">
    <cfRule type="expression" dxfId="471" priority="662">
      <formula>U209&gt;U208</formula>
    </cfRule>
  </conditionalFormatting>
  <conditionalFormatting sqref="W208">
    <cfRule type="expression" dxfId="470" priority="658">
      <formula>W209&gt;W208</formula>
    </cfRule>
  </conditionalFormatting>
  <conditionalFormatting sqref="Y208">
    <cfRule type="expression" dxfId="469" priority="654">
      <formula>Y209&gt;Y208</formula>
    </cfRule>
  </conditionalFormatting>
  <conditionalFormatting sqref="K210">
    <cfRule type="expression" dxfId="468" priority="650">
      <formula>K211&gt;K210</formula>
    </cfRule>
  </conditionalFormatting>
  <conditionalFormatting sqref="K211">
    <cfRule type="expression" dxfId="467" priority="453">
      <formula>K235&gt;K211</formula>
    </cfRule>
    <cfRule type="expression" dxfId="466" priority="651">
      <formula>K237&gt;K211</formula>
    </cfRule>
  </conditionalFormatting>
  <conditionalFormatting sqref="K211">
    <cfRule type="expression" dxfId="465" priority="649">
      <formula>K237&gt;K211</formula>
    </cfRule>
  </conditionalFormatting>
  <conditionalFormatting sqref="K211">
    <cfRule type="expression" dxfId="464" priority="648">
      <formula>K211&gt;K210</formula>
    </cfRule>
  </conditionalFormatting>
  <conditionalFormatting sqref="M210">
    <cfRule type="expression" dxfId="463" priority="646">
      <formula>M211&gt;M210</formula>
    </cfRule>
  </conditionalFormatting>
  <conditionalFormatting sqref="M211">
    <cfRule type="expression" dxfId="462" priority="647">
      <formula>M237&gt;M211</formula>
    </cfRule>
  </conditionalFormatting>
  <conditionalFormatting sqref="M211">
    <cfRule type="expression" dxfId="461" priority="645">
      <formula>M237&gt;M211</formula>
    </cfRule>
  </conditionalFormatting>
  <conditionalFormatting sqref="M211">
    <cfRule type="expression" dxfId="460" priority="644">
      <formula>M211&gt;M210</formula>
    </cfRule>
  </conditionalFormatting>
  <conditionalFormatting sqref="O210">
    <cfRule type="expression" dxfId="459" priority="642">
      <formula>O211&gt;O210</formula>
    </cfRule>
  </conditionalFormatting>
  <conditionalFormatting sqref="O211">
    <cfRule type="expression" dxfId="458" priority="643">
      <formula>O237&gt;O211</formula>
    </cfRule>
  </conditionalFormatting>
  <conditionalFormatting sqref="O211">
    <cfRule type="expression" dxfId="457" priority="641">
      <formula>O237&gt;O211</formula>
    </cfRule>
  </conditionalFormatting>
  <conditionalFormatting sqref="O211">
    <cfRule type="expression" dxfId="456" priority="640">
      <formula>O211&gt;O210</formula>
    </cfRule>
  </conditionalFormatting>
  <conditionalFormatting sqref="Q210">
    <cfRule type="expression" dxfId="455" priority="638">
      <formula>Q211&gt;Q210</formula>
    </cfRule>
  </conditionalFormatting>
  <conditionalFormatting sqref="Q211">
    <cfRule type="expression" dxfId="454" priority="639">
      <formula>Q237&gt;Q211</formula>
    </cfRule>
  </conditionalFormatting>
  <conditionalFormatting sqref="Q211">
    <cfRule type="expression" dxfId="453" priority="637">
      <formula>Q237&gt;Q211</formula>
    </cfRule>
  </conditionalFormatting>
  <conditionalFormatting sqref="Q211">
    <cfRule type="expression" dxfId="452" priority="636">
      <formula>Q211&gt;Q210</formula>
    </cfRule>
  </conditionalFormatting>
  <conditionalFormatting sqref="S210">
    <cfRule type="expression" dxfId="451" priority="634">
      <formula>S211&gt;S210</formula>
    </cfRule>
  </conditionalFormatting>
  <conditionalFormatting sqref="S211">
    <cfRule type="expression" dxfId="450" priority="635">
      <formula>S237&gt;S211</formula>
    </cfRule>
  </conditionalFormatting>
  <conditionalFormatting sqref="S211">
    <cfRule type="expression" dxfId="449" priority="633">
      <formula>S237&gt;S211</formula>
    </cfRule>
  </conditionalFormatting>
  <conditionalFormatting sqref="S211">
    <cfRule type="expression" dxfId="448" priority="632">
      <formula>S211&gt;S210</formula>
    </cfRule>
  </conditionalFormatting>
  <conditionalFormatting sqref="U210">
    <cfRule type="expression" dxfId="447" priority="630">
      <formula>U211&gt;U210</formula>
    </cfRule>
  </conditionalFormatting>
  <conditionalFormatting sqref="U211">
    <cfRule type="expression" dxfId="446" priority="631">
      <formula>U237&gt;U211</formula>
    </cfRule>
  </conditionalFormatting>
  <conditionalFormatting sqref="U211">
    <cfRule type="expression" dxfId="445" priority="629">
      <formula>U237&gt;U211</formula>
    </cfRule>
  </conditionalFormatting>
  <conditionalFormatting sqref="U211">
    <cfRule type="expression" dxfId="444" priority="628">
      <formula>U211&gt;U210</formula>
    </cfRule>
  </conditionalFormatting>
  <conditionalFormatting sqref="W210">
    <cfRule type="expression" dxfId="443" priority="626">
      <formula>W211&gt;W210</formula>
    </cfRule>
  </conditionalFormatting>
  <conditionalFormatting sqref="W211">
    <cfRule type="expression" dxfId="442" priority="627">
      <formula>W237&gt;W211</formula>
    </cfRule>
  </conditionalFormatting>
  <conditionalFormatting sqref="W211">
    <cfRule type="expression" dxfId="441" priority="625">
      <formula>W237&gt;W211</formula>
    </cfRule>
  </conditionalFormatting>
  <conditionalFormatting sqref="W211">
    <cfRule type="expression" dxfId="440" priority="624">
      <formula>W211&gt;W210</formula>
    </cfRule>
  </conditionalFormatting>
  <conditionalFormatting sqref="Y210">
    <cfRule type="expression" dxfId="439" priority="622">
      <formula>Y211&gt;Y210</formula>
    </cfRule>
  </conditionalFormatting>
  <conditionalFormatting sqref="Y211">
    <cfRule type="expression" dxfId="438" priority="623">
      <formula>Y237&gt;Y211</formula>
    </cfRule>
  </conditionalFormatting>
  <conditionalFormatting sqref="Y211">
    <cfRule type="expression" dxfId="437" priority="621">
      <formula>Y237&gt;Y211</formula>
    </cfRule>
  </conditionalFormatting>
  <conditionalFormatting sqref="Y211">
    <cfRule type="expression" dxfId="436" priority="620">
      <formula>Y211&gt;Y210</formula>
    </cfRule>
  </conditionalFormatting>
  <conditionalFormatting sqref="AC208">
    <cfRule type="notContainsBlanks" dxfId="435" priority="619">
      <formula>LEN(TRIM(AC208))&gt;0</formula>
    </cfRule>
  </conditionalFormatting>
  <conditionalFormatting sqref="AC210">
    <cfRule type="notContainsBlanks" dxfId="434" priority="618">
      <formula>LEN(TRIM(AC210))&gt;0</formula>
    </cfRule>
  </conditionalFormatting>
  <conditionalFormatting sqref="D214:E215">
    <cfRule type="cellIs" dxfId="433" priority="617" operator="equal">
      <formula>0</formula>
    </cfRule>
  </conditionalFormatting>
  <conditionalFormatting sqref="D216:E216">
    <cfRule type="expression" dxfId="432" priority="599">
      <formula>D219&gt;D216</formula>
    </cfRule>
    <cfRule type="cellIs" dxfId="431" priority="614" operator="equal">
      <formula>0</formula>
    </cfRule>
  </conditionalFormatting>
  <conditionalFormatting sqref="D217:E218">
    <cfRule type="cellIs" dxfId="430" priority="613" operator="equal">
      <formula>0</formula>
    </cfRule>
  </conditionalFormatting>
  <conditionalFormatting sqref="D219:E219">
    <cfRule type="expression" dxfId="429" priority="600">
      <formula>D219&gt;D216</formula>
    </cfRule>
    <cfRule type="cellIs" dxfId="428" priority="610" operator="equal">
      <formula>0</formula>
    </cfRule>
  </conditionalFormatting>
  <conditionalFormatting sqref="D222:E222">
    <cfRule type="expression" dxfId="427" priority="16">
      <formula>D220&lt;&gt;D243</formula>
    </cfRule>
    <cfRule type="cellIs" dxfId="426" priority="607" operator="equal">
      <formula>0</formula>
    </cfRule>
  </conditionalFormatting>
  <conditionalFormatting sqref="D214:E215">
    <cfRule type="expression" dxfId="425" priority="605">
      <formula>D217&gt;D214</formula>
    </cfRule>
  </conditionalFormatting>
  <conditionalFormatting sqref="D217:E218">
    <cfRule type="expression" dxfId="424" priority="604">
      <formula>D217&gt;D214</formula>
    </cfRule>
  </conditionalFormatting>
  <conditionalFormatting sqref="D220:E221">
    <cfRule type="cellIs" dxfId="423" priority="603" operator="equal">
      <formula>0</formula>
    </cfRule>
  </conditionalFormatting>
  <conditionalFormatting sqref="D220:E221">
    <cfRule type="expression" dxfId="422" priority="602">
      <formula>D220&gt;D217</formula>
    </cfRule>
  </conditionalFormatting>
  <conditionalFormatting sqref="AE217:AE219">
    <cfRule type="notContainsBlanks" dxfId="421" priority="1452">
      <formula>LEN(TRIM(AE217))&gt;0</formula>
    </cfRule>
  </conditionalFormatting>
  <conditionalFormatting sqref="D220:E221">
    <cfRule type="expression" dxfId="420" priority="598">
      <formula>D217&gt;D220</formula>
    </cfRule>
  </conditionalFormatting>
  <conditionalFormatting sqref="D217:E218">
    <cfRule type="expression" dxfId="419" priority="597">
      <formula>D217&gt;D220</formula>
    </cfRule>
  </conditionalFormatting>
  <conditionalFormatting sqref="K226">
    <cfRule type="expression" dxfId="418" priority="596">
      <formula>K226&gt;K193</formula>
    </cfRule>
  </conditionalFormatting>
  <conditionalFormatting sqref="M226">
    <cfRule type="expression" dxfId="417" priority="595">
      <formula>M226&gt;M193</formula>
    </cfRule>
  </conditionalFormatting>
  <conditionalFormatting sqref="O226">
    <cfRule type="expression" dxfId="416" priority="594">
      <formula>O226&gt;O193</formula>
    </cfRule>
  </conditionalFormatting>
  <conditionalFormatting sqref="Q226">
    <cfRule type="expression" dxfId="415" priority="593">
      <formula>Q226&gt;Q193</formula>
    </cfRule>
  </conditionalFormatting>
  <conditionalFormatting sqref="S226">
    <cfRule type="expression" dxfId="414" priority="592">
      <formula>S226&gt;S193</formula>
    </cfRule>
  </conditionalFormatting>
  <conditionalFormatting sqref="U226">
    <cfRule type="expression" dxfId="413" priority="591">
      <formula>U226&gt;U193</formula>
    </cfRule>
  </conditionalFormatting>
  <conditionalFormatting sqref="W226">
    <cfRule type="expression" dxfId="412" priority="590">
      <formula>W226&gt;W193</formula>
    </cfRule>
  </conditionalFormatting>
  <conditionalFormatting sqref="Y226">
    <cfRule type="expression" dxfId="411" priority="589">
      <formula>Y226&gt;Y193</formula>
    </cfRule>
  </conditionalFormatting>
  <conditionalFormatting sqref="K229">
    <cfRule type="expression" dxfId="410" priority="574">
      <formula>K229&lt;&gt;K199</formula>
    </cfRule>
  </conditionalFormatting>
  <conditionalFormatting sqref="M199">
    <cfRule type="expression" dxfId="409" priority="571">
      <formula>M229&lt;&gt;M199</formula>
    </cfRule>
    <cfRule type="expression" dxfId="408" priority="572">
      <formula>M199&gt;M198</formula>
    </cfRule>
  </conditionalFormatting>
  <conditionalFormatting sqref="O199">
    <cfRule type="expression" dxfId="407" priority="569">
      <formula>O229&lt;&gt;O199</formula>
    </cfRule>
    <cfRule type="expression" dxfId="406" priority="570">
      <formula>O199&gt;O198</formula>
    </cfRule>
  </conditionalFormatting>
  <conditionalFormatting sqref="Q199">
    <cfRule type="expression" dxfId="405" priority="567">
      <formula>Q229&lt;&gt;Q199</formula>
    </cfRule>
    <cfRule type="expression" dxfId="404" priority="568">
      <formula>Q199&gt;Q198</formula>
    </cfRule>
  </conditionalFormatting>
  <conditionalFormatting sqref="S199">
    <cfRule type="expression" dxfId="403" priority="565">
      <formula>S229&lt;&gt;S199</formula>
    </cfRule>
    <cfRule type="expression" dxfId="402" priority="566">
      <formula>S199&gt;S198</formula>
    </cfRule>
  </conditionalFormatting>
  <conditionalFormatting sqref="U199">
    <cfRule type="expression" dxfId="401" priority="563">
      <formula>U229&lt;&gt;U199</formula>
    </cfRule>
    <cfRule type="expression" dxfId="400" priority="564">
      <formula>U199&gt;U198</formula>
    </cfRule>
  </conditionalFormatting>
  <conditionalFormatting sqref="W199">
    <cfRule type="expression" dxfId="399" priority="561">
      <formula>W229&lt;&gt;W199</formula>
    </cfRule>
    <cfRule type="expression" dxfId="398" priority="562">
      <formula>W199&gt;W198</formula>
    </cfRule>
  </conditionalFormatting>
  <conditionalFormatting sqref="Y199">
    <cfRule type="expression" dxfId="397" priority="559">
      <formula>Y229&lt;&gt;Y199</formula>
    </cfRule>
    <cfRule type="expression" dxfId="396" priority="560">
      <formula>Y199&gt;Y198</formula>
    </cfRule>
  </conditionalFormatting>
  <conditionalFormatting sqref="M229">
    <cfRule type="cellIs" dxfId="395" priority="558" operator="equal">
      <formula>0</formula>
    </cfRule>
  </conditionalFormatting>
  <conditionalFormatting sqref="M229">
    <cfRule type="expression" dxfId="394" priority="557">
      <formula>M229&lt;&gt;M199</formula>
    </cfRule>
  </conditionalFormatting>
  <conditionalFormatting sqref="O229">
    <cfRule type="cellIs" dxfId="393" priority="556" operator="equal">
      <formula>0</formula>
    </cfRule>
  </conditionalFormatting>
  <conditionalFormatting sqref="O229">
    <cfRule type="expression" dxfId="392" priority="555">
      <formula>O229&lt;&gt;O199</formula>
    </cfRule>
  </conditionalFormatting>
  <conditionalFormatting sqref="Q229">
    <cfRule type="cellIs" dxfId="391" priority="554" operator="equal">
      <formula>0</formula>
    </cfRule>
  </conditionalFormatting>
  <conditionalFormatting sqref="Q229">
    <cfRule type="expression" dxfId="390" priority="553">
      <formula>Q229&lt;&gt;Q199</formula>
    </cfRule>
  </conditionalFormatting>
  <conditionalFormatting sqref="S229">
    <cfRule type="cellIs" dxfId="389" priority="552" operator="equal">
      <formula>0</formula>
    </cfRule>
  </conditionalFormatting>
  <conditionalFormatting sqref="S229">
    <cfRule type="expression" dxfId="388" priority="551">
      <formula>S229&lt;&gt;S199</formula>
    </cfRule>
  </conditionalFormatting>
  <conditionalFormatting sqref="U229">
    <cfRule type="cellIs" dxfId="387" priority="550" operator="equal">
      <formula>0</formula>
    </cfRule>
  </conditionalFormatting>
  <conditionalFormatting sqref="U229">
    <cfRule type="expression" dxfId="386" priority="549">
      <formula>U229&lt;&gt;U199</formula>
    </cfRule>
  </conditionalFormatting>
  <conditionalFormatting sqref="W229">
    <cfRule type="cellIs" dxfId="385" priority="548" operator="equal">
      <formula>0</formula>
    </cfRule>
  </conditionalFormatting>
  <conditionalFormatting sqref="W229">
    <cfRule type="expression" dxfId="384" priority="547">
      <formula>W229&lt;&gt;W199</formula>
    </cfRule>
  </conditionalFormatting>
  <conditionalFormatting sqref="Y229">
    <cfRule type="cellIs" dxfId="383" priority="546" operator="equal">
      <formula>0</formula>
    </cfRule>
  </conditionalFormatting>
  <conditionalFormatting sqref="Y229">
    <cfRule type="expression" dxfId="382" priority="545">
      <formula>Y229&lt;&gt;Y199</formula>
    </cfRule>
  </conditionalFormatting>
  <conditionalFormatting sqref="K230">
    <cfRule type="expression" dxfId="381" priority="544">
      <formula>K230&lt;&gt;K201</formula>
    </cfRule>
  </conditionalFormatting>
  <conditionalFormatting sqref="M200">
    <cfRule type="expression" dxfId="380" priority="542">
      <formula>M201&gt;M200</formula>
    </cfRule>
  </conditionalFormatting>
  <conditionalFormatting sqref="O200">
    <cfRule type="expression" dxfId="379" priority="540">
      <formula>O201&gt;O200</formula>
    </cfRule>
  </conditionalFormatting>
  <conditionalFormatting sqref="Q200">
    <cfRule type="expression" dxfId="378" priority="538">
      <formula>Q201&gt;Q200</formula>
    </cfRule>
  </conditionalFormatting>
  <conditionalFormatting sqref="S200">
    <cfRule type="expression" dxfId="377" priority="536">
      <formula>S201&gt;S200</formula>
    </cfRule>
  </conditionalFormatting>
  <conditionalFormatting sqref="U200">
    <cfRule type="expression" dxfId="376" priority="534">
      <formula>U201&gt;U200</formula>
    </cfRule>
  </conditionalFormatting>
  <conditionalFormatting sqref="W200">
    <cfRule type="expression" dxfId="375" priority="532">
      <formula>W201&gt;W200</formula>
    </cfRule>
  </conditionalFormatting>
  <conditionalFormatting sqref="Y200">
    <cfRule type="expression" dxfId="374" priority="530">
      <formula>Y201&gt;Y200</formula>
    </cfRule>
  </conditionalFormatting>
  <conditionalFormatting sqref="M230">
    <cfRule type="cellIs" dxfId="373" priority="528" operator="equal">
      <formula>0</formula>
    </cfRule>
  </conditionalFormatting>
  <conditionalFormatting sqref="M230">
    <cfRule type="expression" dxfId="372" priority="527">
      <formula>M230&lt;&gt;M201</formula>
    </cfRule>
  </conditionalFormatting>
  <conditionalFormatting sqref="O230">
    <cfRule type="cellIs" dxfId="371" priority="526" operator="equal">
      <formula>0</formula>
    </cfRule>
  </conditionalFormatting>
  <conditionalFormatting sqref="O230">
    <cfRule type="expression" dxfId="370" priority="525">
      <formula>O230&lt;&gt;O201</formula>
    </cfRule>
  </conditionalFormatting>
  <conditionalFormatting sqref="Q230">
    <cfRule type="cellIs" dxfId="369" priority="524" operator="equal">
      <formula>0</formula>
    </cfRule>
  </conditionalFormatting>
  <conditionalFormatting sqref="Q230">
    <cfRule type="expression" dxfId="368" priority="523">
      <formula>Q230&lt;&gt;Q201</formula>
    </cfRule>
  </conditionalFormatting>
  <conditionalFormatting sqref="S230">
    <cfRule type="cellIs" dxfId="367" priority="522" operator="equal">
      <formula>0</formula>
    </cfRule>
  </conditionalFormatting>
  <conditionalFormatting sqref="S230">
    <cfRule type="expression" dxfId="366" priority="521">
      <formula>S230&lt;&gt;S201</formula>
    </cfRule>
  </conditionalFormatting>
  <conditionalFormatting sqref="U230">
    <cfRule type="cellIs" dxfId="365" priority="520" operator="equal">
      <formula>0</formula>
    </cfRule>
  </conditionalFormatting>
  <conditionalFormatting sqref="U230">
    <cfRule type="expression" dxfId="364" priority="519">
      <formula>U230&lt;&gt;U201</formula>
    </cfRule>
  </conditionalFormatting>
  <conditionalFormatting sqref="W230">
    <cfRule type="cellIs" dxfId="363" priority="518" operator="equal">
      <formula>0</formula>
    </cfRule>
  </conditionalFormatting>
  <conditionalFormatting sqref="W230">
    <cfRule type="expression" dxfId="362" priority="517">
      <formula>W230&lt;&gt;W201</formula>
    </cfRule>
  </conditionalFormatting>
  <conditionalFormatting sqref="Y230">
    <cfRule type="cellIs" dxfId="361" priority="516" operator="equal">
      <formula>0</formula>
    </cfRule>
  </conditionalFormatting>
  <conditionalFormatting sqref="Y230">
    <cfRule type="expression" dxfId="360" priority="515">
      <formula>Y230&lt;&gt;Y201</formula>
    </cfRule>
  </conditionalFormatting>
  <conditionalFormatting sqref="M201">
    <cfRule type="expression" dxfId="359" priority="512">
      <formula>M230&lt;&gt;M201</formula>
    </cfRule>
    <cfRule type="expression" dxfId="358" priority="513">
      <formula>M201&gt;M200</formula>
    </cfRule>
  </conditionalFormatting>
  <conditionalFormatting sqref="O201">
    <cfRule type="expression" dxfId="357" priority="510">
      <formula>O230&lt;&gt;O201</formula>
    </cfRule>
    <cfRule type="expression" dxfId="356" priority="511">
      <formula>O201&gt;O200</formula>
    </cfRule>
  </conditionalFormatting>
  <conditionalFormatting sqref="Q201">
    <cfRule type="expression" dxfId="355" priority="508">
      <formula>Q230&lt;&gt;Q201</formula>
    </cfRule>
    <cfRule type="expression" dxfId="354" priority="509">
      <formula>Q201&gt;Q200</formula>
    </cfRule>
  </conditionalFormatting>
  <conditionalFormatting sqref="S201">
    <cfRule type="expression" dxfId="353" priority="506">
      <formula>S230&lt;&gt;S201</formula>
    </cfRule>
    <cfRule type="expression" dxfId="352" priority="507">
      <formula>S201&gt;S200</formula>
    </cfRule>
  </conditionalFormatting>
  <conditionalFormatting sqref="U201">
    <cfRule type="expression" dxfId="351" priority="504">
      <formula>U230&lt;&gt;U201</formula>
    </cfRule>
    <cfRule type="expression" dxfId="350" priority="505">
      <formula>U201&gt;U200</formula>
    </cfRule>
  </conditionalFormatting>
  <conditionalFormatting sqref="W201">
    <cfRule type="expression" dxfId="349" priority="502">
      <formula>W230&lt;&gt;W201</formula>
    </cfRule>
    <cfRule type="expression" dxfId="348" priority="503">
      <formula>W201&gt;W200</formula>
    </cfRule>
  </conditionalFormatting>
  <conditionalFormatting sqref="Y201">
    <cfRule type="expression" dxfId="347" priority="500">
      <formula>Y230&lt;&gt;Y201</formula>
    </cfRule>
    <cfRule type="expression" dxfId="346" priority="501">
      <formula>Y201&gt;Y200</formula>
    </cfRule>
  </conditionalFormatting>
  <conditionalFormatting sqref="O234">
    <cfRule type="expression" dxfId="345" priority="499">
      <formula>O234&gt;O209</formula>
    </cfRule>
  </conditionalFormatting>
  <conditionalFormatting sqref="Q234">
    <cfRule type="expression" dxfId="344" priority="498">
      <formula>Q234&gt;Q209</formula>
    </cfRule>
  </conditionalFormatting>
  <conditionalFormatting sqref="S234">
    <cfRule type="expression" dxfId="343" priority="497">
      <formula>S234&gt;S209</formula>
    </cfRule>
  </conditionalFormatting>
  <conditionalFormatting sqref="U234">
    <cfRule type="expression" dxfId="342" priority="496">
      <formula>U234&gt;U209</formula>
    </cfRule>
  </conditionalFormatting>
  <conditionalFormatting sqref="W234">
    <cfRule type="expression" dxfId="341" priority="495">
      <formula>W234&gt;W209</formula>
    </cfRule>
  </conditionalFormatting>
  <conditionalFormatting sqref="Y234">
    <cfRule type="expression" dxfId="340" priority="494">
      <formula>Y234&gt;Y209</formula>
    </cfRule>
  </conditionalFormatting>
  <conditionalFormatting sqref="M234">
    <cfRule type="expression" dxfId="339" priority="493">
      <formula>M234&gt;M209</formula>
    </cfRule>
  </conditionalFormatting>
  <conditionalFormatting sqref="K234">
    <cfRule type="expression" dxfId="338" priority="492">
      <formula>K234&gt;K209</formula>
    </cfRule>
  </conditionalFormatting>
  <conditionalFormatting sqref="K209 M209 O209 Q209 S209 U209 W209 Y209">
    <cfRule type="expression" dxfId="337" priority="487">
      <formula>K234&gt;K209</formula>
    </cfRule>
  </conditionalFormatting>
  <conditionalFormatting sqref="K209 M209 O209 Q209 S209 U209 W209 Y209">
    <cfRule type="expression" dxfId="336" priority="488">
      <formula>K209&gt;K208</formula>
    </cfRule>
  </conditionalFormatting>
  <conditionalFormatting sqref="K235">
    <cfRule type="expression" dxfId="335" priority="454">
      <formula>K235&gt;K211</formula>
    </cfRule>
  </conditionalFormatting>
  <conditionalFormatting sqref="M211">
    <cfRule type="expression" dxfId="334" priority="449">
      <formula>M235&gt;M211</formula>
    </cfRule>
    <cfRule type="expression" dxfId="333" priority="452">
      <formula>M237&gt;M211</formula>
    </cfRule>
  </conditionalFormatting>
  <conditionalFormatting sqref="M211">
    <cfRule type="expression" dxfId="332" priority="451">
      <formula>M237&gt;M211</formula>
    </cfRule>
  </conditionalFormatting>
  <conditionalFormatting sqref="M211">
    <cfRule type="expression" dxfId="331" priority="450">
      <formula>M211&gt;M210</formula>
    </cfRule>
  </conditionalFormatting>
  <conditionalFormatting sqref="O211">
    <cfRule type="expression" dxfId="330" priority="445">
      <formula>O235&gt;O211</formula>
    </cfRule>
    <cfRule type="expression" dxfId="329" priority="448">
      <formula>O237&gt;O211</formula>
    </cfRule>
  </conditionalFormatting>
  <conditionalFormatting sqref="O211">
    <cfRule type="expression" dxfId="328" priority="447">
      <formula>O237&gt;O211</formula>
    </cfRule>
  </conditionalFormatting>
  <conditionalFormatting sqref="O211">
    <cfRule type="expression" dxfId="327" priority="446">
      <formula>O211&gt;O210</formula>
    </cfRule>
  </conditionalFormatting>
  <conditionalFormatting sqref="Q211">
    <cfRule type="expression" dxfId="326" priority="441">
      <formula>Q235&gt;Q211</formula>
    </cfRule>
    <cfRule type="expression" dxfId="325" priority="444">
      <formula>Q237&gt;Q211</formula>
    </cfRule>
  </conditionalFormatting>
  <conditionalFormatting sqref="Q211">
    <cfRule type="expression" dxfId="324" priority="443">
      <formula>Q237&gt;Q211</formula>
    </cfRule>
  </conditionalFormatting>
  <conditionalFormatting sqref="Q211">
    <cfRule type="expression" dxfId="323" priority="442">
      <formula>Q211&gt;Q210</formula>
    </cfRule>
  </conditionalFormatting>
  <conditionalFormatting sqref="S211">
    <cfRule type="expression" dxfId="322" priority="437">
      <formula>S235&gt;S211</formula>
    </cfRule>
    <cfRule type="expression" dxfId="321" priority="440">
      <formula>S237&gt;S211</formula>
    </cfRule>
  </conditionalFormatting>
  <conditionalFormatting sqref="S211">
    <cfRule type="expression" dxfId="320" priority="439">
      <formula>S237&gt;S211</formula>
    </cfRule>
  </conditionalFormatting>
  <conditionalFormatting sqref="S211">
    <cfRule type="expression" dxfId="319" priority="438">
      <formula>S211&gt;S210</formula>
    </cfRule>
  </conditionalFormatting>
  <conditionalFormatting sqref="U211">
    <cfRule type="expression" dxfId="318" priority="433">
      <formula>U235&gt;U211</formula>
    </cfRule>
    <cfRule type="expression" dxfId="317" priority="436">
      <formula>U237&gt;U211</formula>
    </cfRule>
  </conditionalFormatting>
  <conditionalFormatting sqref="U211">
    <cfRule type="expression" dxfId="316" priority="435">
      <formula>U237&gt;U211</formula>
    </cfRule>
  </conditionalFormatting>
  <conditionalFormatting sqref="U211">
    <cfRule type="expression" dxfId="315" priority="434">
      <formula>U211&gt;U210</formula>
    </cfRule>
  </conditionalFormatting>
  <conditionalFormatting sqref="W211">
    <cfRule type="expression" dxfId="314" priority="429">
      <formula>W235&gt;W211</formula>
    </cfRule>
    <cfRule type="expression" dxfId="313" priority="432">
      <formula>W237&gt;W211</formula>
    </cfRule>
  </conditionalFormatting>
  <conditionalFormatting sqref="W211">
    <cfRule type="expression" dxfId="312" priority="431">
      <formula>W237&gt;W211</formula>
    </cfRule>
  </conditionalFormatting>
  <conditionalFormatting sqref="W211">
    <cfRule type="expression" dxfId="311" priority="430">
      <formula>W211&gt;W210</formula>
    </cfRule>
  </conditionalFormatting>
  <conditionalFormatting sqref="Y211">
    <cfRule type="expression" dxfId="310" priority="425">
      <formula>Y235&gt;Y211</formula>
    </cfRule>
    <cfRule type="expression" dxfId="309" priority="428">
      <formula>Y237&gt;Y211</formula>
    </cfRule>
  </conditionalFormatting>
  <conditionalFormatting sqref="Y211">
    <cfRule type="expression" dxfId="308" priority="427">
      <formula>Y237&gt;Y211</formula>
    </cfRule>
  </conditionalFormatting>
  <conditionalFormatting sqref="Y211">
    <cfRule type="expression" dxfId="307" priority="426">
      <formula>Y211&gt;Y210</formula>
    </cfRule>
  </conditionalFormatting>
  <conditionalFormatting sqref="M235">
    <cfRule type="expression" dxfId="306" priority="424">
      <formula>M235&gt;M211</formula>
    </cfRule>
  </conditionalFormatting>
  <conditionalFormatting sqref="O235">
    <cfRule type="expression" dxfId="305" priority="423">
      <formula>O235&gt;O211</formula>
    </cfRule>
  </conditionalFormatting>
  <conditionalFormatting sqref="Q235">
    <cfRule type="expression" dxfId="304" priority="422">
      <formula>Q235&gt;Q211</formula>
    </cfRule>
  </conditionalFormatting>
  <conditionalFormatting sqref="S235">
    <cfRule type="expression" dxfId="303" priority="421">
      <formula>S235&gt;S211</formula>
    </cfRule>
  </conditionalFormatting>
  <conditionalFormatting sqref="U235">
    <cfRule type="expression" dxfId="302" priority="420">
      <formula>U235&gt;U211</formula>
    </cfRule>
  </conditionalFormatting>
  <conditionalFormatting sqref="W235">
    <cfRule type="expression" dxfId="301" priority="419">
      <formula>W235&gt;W211</formula>
    </cfRule>
  </conditionalFormatting>
  <conditionalFormatting sqref="Y235">
    <cfRule type="expression" dxfId="300" priority="418">
      <formula>Y235&gt;Y211</formula>
    </cfRule>
  </conditionalFormatting>
  <conditionalFormatting sqref="D243:AA243">
    <cfRule type="expression" dxfId="299" priority="417">
      <formula>D243&gt;D252</formula>
    </cfRule>
  </conditionalFormatting>
  <conditionalFormatting sqref="D252:AB252">
    <cfRule type="expression" dxfId="298" priority="416">
      <formula>D243&gt;D252</formula>
    </cfRule>
  </conditionalFormatting>
  <conditionalFormatting sqref="D244:AA249">
    <cfRule type="expression" dxfId="297" priority="415">
      <formula>D244&gt;D253</formula>
    </cfRule>
  </conditionalFormatting>
  <conditionalFormatting sqref="D253:AA258">
    <cfRule type="expression" dxfId="296" priority="414">
      <formula>D244&gt;D253</formula>
    </cfRule>
  </conditionalFormatting>
  <conditionalFormatting sqref="D251:AA251">
    <cfRule type="expression" dxfId="295" priority="413">
      <formula>D251&gt;D252</formula>
    </cfRule>
  </conditionalFormatting>
  <conditionalFormatting sqref="AC251">
    <cfRule type="notContainsBlanks" dxfId="294" priority="411">
      <formula>LEN(TRIM(AC251))&gt;0</formula>
    </cfRule>
  </conditionalFormatting>
  <conditionalFormatting sqref="J265:AA265">
    <cfRule type="expression" dxfId="293" priority="410">
      <formula>J265&lt;&gt;J252</formula>
    </cfRule>
  </conditionalFormatting>
  <conditionalFormatting sqref="D252:AB252">
    <cfRule type="expression" dxfId="292" priority="409">
      <formula>D265&lt;&gt;D252</formula>
    </cfRule>
  </conditionalFormatting>
  <conditionalFormatting sqref="K252:AA252">
    <cfRule type="expression" dxfId="291" priority="408">
      <formula>K236&gt;K252</formula>
    </cfRule>
  </conditionalFormatting>
  <conditionalFormatting sqref="D272:AA272">
    <cfRule type="expression" dxfId="290" priority="406">
      <formula>D267&gt;D272</formula>
    </cfRule>
  </conditionalFormatting>
  <conditionalFormatting sqref="D272:AA272">
    <cfRule type="expression" dxfId="289" priority="404">
      <formula>D268&gt;D272</formula>
    </cfRule>
  </conditionalFormatting>
  <conditionalFormatting sqref="D272:AA272">
    <cfRule type="cellIs" dxfId="288" priority="403" operator="equal">
      <formula>0</formula>
    </cfRule>
  </conditionalFormatting>
  <conditionalFormatting sqref="D277:AA277">
    <cfRule type="expression" dxfId="287" priority="402">
      <formula>D277&gt;SUM(D273:D275)</formula>
    </cfRule>
  </conditionalFormatting>
  <conditionalFormatting sqref="D276:AA276">
    <cfRule type="cellIs" dxfId="286" priority="401" operator="equal">
      <formula>0</formula>
    </cfRule>
  </conditionalFormatting>
  <conditionalFormatting sqref="D276:AA276">
    <cfRule type="expression" dxfId="285" priority="400">
      <formula>E277&gt;(E273+E274+E275)</formula>
    </cfRule>
  </conditionalFormatting>
  <conditionalFormatting sqref="AC276">
    <cfRule type="notContainsBlanks" dxfId="284" priority="399">
      <formula>LEN(TRIM(AC276))&gt;0</formula>
    </cfRule>
  </conditionalFormatting>
  <conditionalFormatting sqref="D272:AA272">
    <cfRule type="expression" dxfId="283" priority="397">
      <formula>D276&gt;D272</formula>
    </cfRule>
  </conditionalFormatting>
  <conditionalFormatting sqref="AC277">
    <cfRule type="notContainsBlanks" dxfId="282" priority="396">
      <formula>LEN(TRIM(AC277))&gt;0</formula>
    </cfRule>
  </conditionalFormatting>
  <conditionalFormatting sqref="D280:AA280">
    <cfRule type="expression" dxfId="281" priority="395">
      <formula>D280&gt;D272</formula>
    </cfRule>
  </conditionalFormatting>
  <conditionalFormatting sqref="D272:AA272">
    <cfRule type="expression" dxfId="280" priority="394">
      <formula>D280&gt;D272</formula>
    </cfRule>
  </conditionalFormatting>
  <conditionalFormatting sqref="AC280">
    <cfRule type="notContainsBlanks" dxfId="279" priority="393">
      <formula>LEN(TRIM(AC280))&gt;0</formula>
    </cfRule>
  </conditionalFormatting>
  <conditionalFormatting sqref="AC280">
    <cfRule type="notContainsBlanks" dxfId="278" priority="392">
      <formula>LEN(TRIM(AC280))&gt;0</formula>
    </cfRule>
  </conditionalFormatting>
  <conditionalFormatting sqref="D252:AA252">
    <cfRule type="expression" dxfId="277" priority="389">
      <formula>D272&gt;D252</formula>
    </cfRule>
  </conditionalFormatting>
  <conditionalFormatting sqref="AC267">
    <cfRule type="notContainsBlanks" dxfId="276" priority="388">
      <formula>LEN(TRIM(AC267))&gt;0</formula>
    </cfRule>
  </conditionalFormatting>
  <conditionalFormatting sqref="D252:AA252">
    <cfRule type="expression" dxfId="275" priority="387">
      <formula>SUM(D99:D100)&gt;D252</formula>
    </cfRule>
  </conditionalFormatting>
  <conditionalFormatting sqref="K227">
    <cfRule type="expression" dxfId="274" priority="384">
      <formula>K227&gt;K243 &amp; EXACT($I$3,"1") &amp; EXACT($E$3,"1")</formula>
    </cfRule>
  </conditionalFormatting>
  <conditionalFormatting sqref="D283:AA283">
    <cfRule type="expression" dxfId="273" priority="383">
      <formula>D283&gt;D282</formula>
    </cfRule>
  </conditionalFormatting>
  <conditionalFormatting sqref="D282:AA282">
    <cfRule type="expression" dxfId="272" priority="382">
      <formula>D283&gt;D282</formula>
    </cfRule>
  </conditionalFormatting>
  <conditionalFormatting sqref="D304:AA310">
    <cfRule type="expression" dxfId="271" priority="381">
      <formula>D304&gt;D$298</formula>
    </cfRule>
  </conditionalFormatting>
  <conditionalFormatting sqref="D298:AA298">
    <cfRule type="expression" dxfId="270" priority="380">
      <formula>D304&gt;D$298</formula>
    </cfRule>
  </conditionalFormatting>
  <conditionalFormatting sqref="F315:AA315">
    <cfRule type="expression" dxfId="269" priority="379">
      <formula>F315&gt;F312</formula>
    </cfRule>
  </conditionalFormatting>
  <conditionalFormatting sqref="F312:AA312">
    <cfRule type="expression" dxfId="268" priority="378">
      <formula>F315&gt;F312</formula>
    </cfRule>
  </conditionalFormatting>
  <conditionalFormatting sqref="AD312">
    <cfRule type="notContainsBlanks" dxfId="267" priority="377">
      <formula>LEN(TRIM(AD312))&gt;0</formula>
    </cfRule>
  </conditionalFormatting>
  <conditionalFormatting sqref="F317:AA317">
    <cfRule type="expression" dxfId="266" priority="376">
      <formula>F317&gt;F315</formula>
    </cfRule>
  </conditionalFormatting>
  <conditionalFormatting sqref="F315:AA315">
    <cfRule type="expression" dxfId="265" priority="375">
      <formula>F317&gt;F315</formula>
    </cfRule>
  </conditionalFormatting>
  <conditionalFormatting sqref="F320:AA320">
    <cfRule type="expression" dxfId="264" priority="374">
      <formula>F320&lt;&gt;F313</formula>
    </cfRule>
  </conditionalFormatting>
  <conditionalFormatting sqref="F313:AA313">
    <cfRule type="expression" dxfId="263" priority="373">
      <formula>F320&lt;&gt;F313</formula>
    </cfRule>
  </conditionalFormatting>
  <conditionalFormatting sqref="F319:AA319">
    <cfRule type="expression" dxfId="262" priority="372">
      <formula>F319&gt;F317</formula>
    </cfRule>
  </conditionalFormatting>
  <conditionalFormatting sqref="F317:AA317">
    <cfRule type="expression" dxfId="261" priority="371">
      <formula>F319&gt;F317</formula>
    </cfRule>
  </conditionalFormatting>
  <conditionalFormatting sqref="AC312">
    <cfRule type="notContainsBlanks" dxfId="260" priority="369">
      <formula>LEN(TRIM(AC312))&gt;0</formula>
    </cfRule>
  </conditionalFormatting>
  <conditionalFormatting sqref="AC315">
    <cfRule type="notContainsBlanks" dxfId="259" priority="368">
      <formula>LEN(TRIM(AC315))&gt;0</formula>
    </cfRule>
  </conditionalFormatting>
  <conditionalFormatting sqref="AC316">
    <cfRule type="notContainsBlanks" dxfId="258" priority="367">
      <formula>LEN(TRIM(AC316))&gt;0</formula>
    </cfRule>
  </conditionalFormatting>
  <conditionalFormatting sqref="F316:AA316">
    <cfRule type="expression" dxfId="257" priority="366">
      <formula>F316&gt;F312</formula>
    </cfRule>
  </conditionalFormatting>
  <conditionalFormatting sqref="F314:AB314">
    <cfRule type="cellIs" dxfId="256" priority="365" operator="lessThan">
      <formula>0</formula>
    </cfRule>
  </conditionalFormatting>
  <conditionalFormatting sqref="F312:AA312">
    <cfRule type="expression" dxfId="255" priority="364">
      <formula>F316&gt;F312</formula>
    </cfRule>
  </conditionalFormatting>
  <conditionalFormatting sqref="AC317">
    <cfRule type="notContainsBlanks" dxfId="254" priority="363">
      <formula>LEN(TRIM(AC317))&gt;0</formula>
    </cfRule>
  </conditionalFormatting>
  <conditionalFormatting sqref="AE319">
    <cfRule type="notContainsBlanks" dxfId="253" priority="1473">
      <formula>LEN(TRIM(AE319))&gt;0</formula>
    </cfRule>
  </conditionalFormatting>
  <conditionalFormatting sqref="AF312">
    <cfRule type="notContainsBlanks" dxfId="252" priority="361">
      <formula>LEN(TRIM(AF312))&gt;0</formula>
    </cfRule>
  </conditionalFormatting>
  <conditionalFormatting sqref="AC319">
    <cfRule type="notContainsBlanks" dxfId="251" priority="360">
      <formula>LEN(TRIM(AC319))&gt;0</formula>
    </cfRule>
  </conditionalFormatting>
  <conditionalFormatting sqref="AC321">
    <cfRule type="notContainsBlanks" dxfId="250" priority="359">
      <formula>LEN(TRIM(AC321))&gt;0</formula>
    </cfRule>
  </conditionalFormatting>
  <conditionalFormatting sqref="AC320">
    <cfRule type="notContainsBlanks" dxfId="249" priority="358">
      <formula>LEN(TRIM(AC320))&gt;0</formula>
    </cfRule>
  </conditionalFormatting>
  <conditionalFormatting sqref="J78:AA83">
    <cfRule type="expression" dxfId="248" priority="357">
      <formula>J67&gt;J78</formula>
    </cfRule>
  </conditionalFormatting>
  <conditionalFormatting sqref="J67:AA72">
    <cfRule type="expression" dxfId="247" priority="356">
      <formula>J67&gt;J78</formula>
    </cfRule>
  </conditionalFormatting>
  <conditionalFormatting sqref="F315:AA315">
    <cfRule type="expression" dxfId="246" priority="335">
      <formula>F315&lt;F314</formula>
    </cfRule>
  </conditionalFormatting>
  <conditionalFormatting sqref="F314:AA314">
    <cfRule type="expression" dxfId="245" priority="334">
      <formula>F315&lt;F314</formula>
    </cfRule>
  </conditionalFormatting>
  <conditionalFormatting sqref="F319:AA319">
    <cfRule type="expression" dxfId="244" priority="333">
      <formula>F317&gt;F319</formula>
    </cfRule>
  </conditionalFormatting>
  <conditionalFormatting sqref="F317:AA317">
    <cfRule type="expression" dxfId="243" priority="332">
      <formula>F317&gt;F319</formula>
    </cfRule>
  </conditionalFormatting>
  <conditionalFormatting sqref="D288:AA288">
    <cfRule type="expression" dxfId="242" priority="331">
      <formula>D288&gt;D283</formula>
    </cfRule>
  </conditionalFormatting>
  <conditionalFormatting sqref="D283:AA283">
    <cfRule type="expression" dxfId="241" priority="330">
      <formula>D288&gt;D283</formula>
    </cfRule>
  </conditionalFormatting>
  <conditionalFormatting sqref="D283:AA283">
    <cfRule type="expression" dxfId="240" priority="329">
      <formula>D283&gt;D282</formula>
    </cfRule>
  </conditionalFormatting>
  <conditionalFormatting sqref="D287:AA287">
    <cfRule type="expression" dxfId="239" priority="328">
      <formula>D287&gt;SUM(D286,D285,D284)</formula>
    </cfRule>
  </conditionalFormatting>
  <conditionalFormatting sqref="D286:AA286">
    <cfRule type="expression" dxfId="238" priority="327">
      <formula>D287&gt;SUM(D286,D285,D284)</formula>
    </cfRule>
  </conditionalFormatting>
  <conditionalFormatting sqref="D285:AA285">
    <cfRule type="expression" dxfId="237" priority="326">
      <formula>D287&gt;SUM(D286,D285,D284)</formula>
    </cfRule>
  </conditionalFormatting>
  <conditionalFormatting sqref="D284:AA284">
    <cfRule type="expression" dxfId="236" priority="325">
      <formula>D287&gt;SUM(D286,D285,D284)</formula>
    </cfRule>
  </conditionalFormatting>
  <conditionalFormatting sqref="D268:AA268">
    <cfRule type="expression" dxfId="235" priority="324">
      <formula>D279&gt;D268</formula>
    </cfRule>
  </conditionalFormatting>
  <conditionalFormatting sqref="D279:AA279">
    <cfRule type="expression" dxfId="234" priority="323">
      <formula>D279&gt;D268</formula>
    </cfRule>
  </conditionalFormatting>
  <conditionalFormatting sqref="K204">
    <cfRule type="expression" dxfId="233" priority="322">
      <formula>K205&gt;K204</formula>
    </cfRule>
  </conditionalFormatting>
  <conditionalFormatting sqref="K232">
    <cfRule type="expression" dxfId="232" priority="321">
      <formula>K232&gt;K205</formula>
    </cfRule>
  </conditionalFormatting>
  <conditionalFormatting sqref="M232">
    <cfRule type="expression" dxfId="231" priority="320">
      <formula>M232&gt;M205</formula>
    </cfRule>
  </conditionalFormatting>
  <conditionalFormatting sqref="O232">
    <cfRule type="expression" dxfId="230" priority="319">
      <formula>O232&gt;O205</formula>
    </cfRule>
  </conditionalFormatting>
  <conditionalFormatting sqref="Q232">
    <cfRule type="expression" dxfId="229" priority="318">
      <formula>Q232&gt;Q205</formula>
    </cfRule>
  </conditionalFormatting>
  <conditionalFormatting sqref="S232">
    <cfRule type="expression" dxfId="228" priority="317">
      <formula>S232&gt;S205</formula>
    </cfRule>
  </conditionalFormatting>
  <conditionalFormatting sqref="U232">
    <cfRule type="expression" dxfId="227" priority="316">
      <formula>U232&gt;U205</formula>
    </cfRule>
  </conditionalFormatting>
  <conditionalFormatting sqref="W232">
    <cfRule type="expression" dxfId="226" priority="315">
      <formula>W232&gt;W205</formula>
    </cfRule>
  </conditionalFormatting>
  <conditionalFormatting sqref="Y232">
    <cfRule type="expression" dxfId="225" priority="314">
      <formula>Y232&gt;Y205</formula>
    </cfRule>
  </conditionalFormatting>
  <conditionalFormatting sqref="D18:AB18">
    <cfRule type="cellIs" dxfId="224" priority="313" operator="equal">
      <formula>0</formula>
    </cfRule>
  </conditionalFormatting>
  <conditionalFormatting sqref="AC11">
    <cfRule type="notContainsBlanks" dxfId="223" priority="312">
      <formula>LEN(TRIM(AC11))&gt;0</formula>
    </cfRule>
  </conditionalFormatting>
  <conditionalFormatting sqref="AC12">
    <cfRule type="notContainsBlanks" dxfId="222" priority="311">
      <formula>LEN(TRIM(AC12))&gt;0</formula>
    </cfRule>
  </conditionalFormatting>
  <conditionalFormatting sqref="AC16">
    <cfRule type="notContainsBlanks" dxfId="221" priority="309">
      <formula>LEN(TRIM(AC16))&gt;0</formula>
    </cfRule>
  </conditionalFormatting>
  <conditionalFormatting sqref="AC15">
    <cfRule type="notContainsBlanks" dxfId="220" priority="308">
      <formula>LEN(TRIM(AC15))&gt;0</formula>
    </cfRule>
  </conditionalFormatting>
  <conditionalFormatting sqref="D14:AA14">
    <cfRule type="cellIs" dxfId="219" priority="292" operator="equal">
      <formula>0</formula>
    </cfRule>
  </conditionalFormatting>
  <conditionalFormatting sqref="AC14">
    <cfRule type="notContainsBlanks" dxfId="218" priority="291">
      <formula>LEN(TRIM(AC14))&gt;0</formula>
    </cfRule>
  </conditionalFormatting>
  <conditionalFormatting sqref="D14:AA14">
    <cfRule type="expression" dxfId="217" priority="290">
      <formula>D49&gt;D14</formula>
    </cfRule>
  </conditionalFormatting>
  <conditionalFormatting sqref="D49:AA49">
    <cfRule type="expression" dxfId="216" priority="289">
      <formula>D49&gt;D14</formula>
    </cfRule>
  </conditionalFormatting>
  <conditionalFormatting sqref="M124">
    <cfRule type="expression" dxfId="215" priority="254">
      <formula>(M127+M126+M125)&gt;M124</formula>
    </cfRule>
    <cfRule type="cellIs" dxfId="214" priority="271" operator="equal">
      <formula>0</formula>
    </cfRule>
  </conditionalFormatting>
  <conditionalFormatting sqref="M125">
    <cfRule type="expression" dxfId="213" priority="253">
      <formula>(M127+M126+M125)&gt;M124</formula>
    </cfRule>
  </conditionalFormatting>
  <conditionalFormatting sqref="M126">
    <cfRule type="expression" dxfId="212" priority="252">
      <formula>(M127+M126+M125)&gt;M124</formula>
    </cfRule>
  </conditionalFormatting>
  <conditionalFormatting sqref="M127">
    <cfRule type="expression" dxfId="211" priority="251">
      <formula>(M127+M126+M125)&gt;M124</formula>
    </cfRule>
  </conditionalFormatting>
  <conditionalFormatting sqref="O124">
    <cfRule type="expression" dxfId="210" priority="249">
      <formula>(O127+O126+O125)&gt;O124</formula>
    </cfRule>
    <cfRule type="cellIs" dxfId="209" priority="250" operator="equal">
      <formula>0</formula>
    </cfRule>
  </conditionalFormatting>
  <conditionalFormatting sqref="O125">
    <cfRule type="expression" dxfId="208" priority="248">
      <formula>(O127+O126+O125)&gt;O124</formula>
    </cfRule>
  </conditionalFormatting>
  <conditionalFormatting sqref="O126">
    <cfRule type="expression" dxfId="207" priority="247">
      <formula>(O127+O126+O125)&gt;O124</formula>
    </cfRule>
  </conditionalFormatting>
  <conditionalFormatting sqref="O127">
    <cfRule type="expression" dxfId="206" priority="246">
      <formula>(O127+O126+O125)&gt;O124</formula>
    </cfRule>
  </conditionalFormatting>
  <conditionalFormatting sqref="Q124">
    <cfRule type="expression" dxfId="205" priority="244">
      <formula>(Q127+Q126+Q125)&gt;Q124</formula>
    </cfRule>
    <cfRule type="cellIs" dxfId="204" priority="245" operator="equal">
      <formula>0</formula>
    </cfRule>
  </conditionalFormatting>
  <conditionalFormatting sqref="Q125">
    <cfRule type="expression" dxfId="203" priority="243">
      <formula>(Q127+Q126+Q125)&gt;Q124</formula>
    </cfRule>
  </conditionalFormatting>
  <conditionalFormatting sqref="Q126">
    <cfRule type="expression" dxfId="202" priority="242">
      <formula>(Q127+Q126+Q125)&gt;Q124</formula>
    </cfRule>
  </conditionalFormatting>
  <conditionalFormatting sqref="Q127">
    <cfRule type="expression" dxfId="201" priority="241">
      <formula>(Q127+Q126+Q125)&gt;Q124</formula>
    </cfRule>
  </conditionalFormatting>
  <conditionalFormatting sqref="S124">
    <cfRule type="expression" dxfId="200" priority="239">
      <formula>(S127+S126+S125)&gt;S124</formula>
    </cfRule>
    <cfRule type="cellIs" dxfId="199" priority="240" operator="equal">
      <formula>0</formula>
    </cfRule>
  </conditionalFormatting>
  <conditionalFormatting sqref="S125">
    <cfRule type="expression" dxfId="198" priority="238">
      <formula>(S127+S126+S125)&gt;S124</formula>
    </cfRule>
  </conditionalFormatting>
  <conditionalFormatting sqref="S126">
    <cfRule type="expression" dxfId="197" priority="237">
      <formula>(S127+S126+S125)&gt;S124</formula>
    </cfRule>
  </conditionalFormatting>
  <conditionalFormatting sqref="S127">
    <cfRule type="expression" dxfId="196" priority="236">
      <formula>(S127+S126+S125)&gt;S124</formula>
    </cfRule>
  </conditionalFormatting>
  <conditionalFormatting sqref="U124">
    <cfRule type="expression" dxfId="195" priority="234">
      <formula>(U127+U126+U125)&gt;U124</formula>
    </cfRule>
    <cfRule type="cellIs" dxfId="194" priority="235" operator="equal">
      <formula>0</formula>
    </cfRule>
  </conditionalFormatting>
  <conditionalFormatting sqref="U125">
    <cfRule type="expression" dxfId="193" priority="233">
      <formula>(U127+U126+U125)&gt;U124</formula>
    </cfRule>
  </conditionalFormatting>
  <conditionalFormatting sqref="U126">
    <cfRule type="expression" dxfId="192" priority="232">
      <formula>(U127+U126+U125)&gt;U124</formula>
    </cfRule>
  </conditionalFormatting>
  <conditionalFormatting sqref="U127">
    <cfRule type="expression" dxfId="191" priority="231">
      <formula>(U127+U126+U125)&gt;U124</formula>
    </cfRule>
  </conditionalFormatting>
  <conditionalFormatting sqref="W124">
    <cfRule type="expression" dxfId="190" priority="229">
      <formula>(W127+W126+W125)&gt;W124</formula>
    </cfRule>
    <cfRule type="cellIs" dxfId="189" priority="230" operator="equal">
      <formula>0</formula>
    </cfRule>
  </conditionalFormatting>
  <conditionalFormatting sqref="W125">
    <cfRule type="expression" dxfId="188" priority="228">
      <formula>(W127+W126+W125)&gt;W124</formula>
    </cfRule>
  </conditionalFormatting>
  <conditionalFormatting sqref="W126">
    <cfRule type="expression" dxfId="187" priority="227">
      <formula>(W127+W126+W125)&gt;W124</formula>
    </cfRule>
  </conditionalFormatting>
  <conditionalFormatting sqref="W127">
    <cfRule type="expression" dxfId="186" priority="226">
      <formula>(W127+W126+W125)&gt;W124</formula>
    </cfRule>
  </conditionalFormatting>
  <conditionalFormatting sqref="Y124">
    <cfRule type="expression" dxfId="185" priority="224">
      <formula>(Y127+Y126+Y125)&gt;Y124</formula>
    </cfRule>
    <cfRule type="cellIs" dxfId="184" priority="225" operator="equal">
      <formula>0</formula>
    </cfRule>
  </conditionalFormatting>
  <conditionalFormatting sqref="Y125">
    <cfRule type="expression" dxfId="183" priority="223">
      <formula>(Y127+Y126+Y125)&gt;Y124</formula>
    </cfRule>
  </conditionalFormatting>
  <conditionalFormatting sqref="Y126">
    <cfRule type="expression" dxfId="182" priority="222">
      <formula>(Y127+Y126+Y125)&gt;Y124</formula>
    </cfRule>
  </conditionalFormatting>
  <conditionalFormatting sqref="Y127">
    <cfRule type="expression" dxfId="181" priority="221">
      <formula>(Y127+Y126+Y125)&gt;Y124</formula>
    </cfRule>
  </conditionalFormatting>
  <conditionalFormatting sqref="AA124">
    <cfRule type="expression" dxfId="180" priority="219">
      <formula>(AA127+AA126+AA125)&gt;AA124</formula>
    </cfRule>
    <cfRule type="cellIs" dxfId="179" priority="220" operator="equal">
      <formula>0</formula>
    </cfRule>
  </conditionalFormatting>
  <conditionalFormatting sqref="AA125">
    <cfRule type="expression" dxfId="178" priority="218">
      <formula>(AA127+AA126+AA125)&gt;AA124</formula>
    </cfRule>
  </conditionalFormatting>
  <conditionalFormatting sqref="AA126">
    <cfRule type="expression" dxfId="177" priority="217">
      <formula>(AA127+AA126+AA125)&gt;AA124</formula>
    </cfRule>
  </conditionalFormatting>
  <conditionalFormatting sqref="AA127">
    <cfRule type="expression" dxfId="176" priority="216">
      <formula>(AA127+AA126+AA125)&gt;AA124</formula>
    </cfRule>
  </conditionalFormatting>
  <conditionalFormatting sqref="M117">
    <cfRule type="expression" dxfId="175" priority="213">
      <formula>(M120+M119+M118)&gt;M117</formula>
    </cfRule>
    <cfRule type="cellIs" dxfId="174" priority="214" operator="equal">
      <formula>0</formula>
    </cfRule>
  </conditionalFormatting>
  <conditionalFormatting sqref="M118">
    <cfRule type="expression" dxfId="173" priority="212">
      <formula>(M120+M119+M118)&gt;M117</formula>
    </cfRule>
  </conditionalFormatting>
  <conditionalFormatting sqref="M119">
    <cfRule type="expression" dxfId="172" priority="211">
      <formula>(M120+M119+M118)&gt;M117</formula>
    </cfRule>
  </conditionalFormatting>
  <conditionalFormatting sqref="M120">
    <cfRule type="expression" dxfId="171" priority="210">
      <formula>(M120+M119+M118)&gt;M117</formula>
    </cfRule>
  </conditionalFormatting>
  <conditionalFormatting sqref="O117">
    <cfRule type="expression" dxfId="170" priority="208">
      <formula>(O120+O119+O118)&gt;O117</formula>
    </cfRule>
    <cfRule type="cellIs" dxfId="169" priority="209" operator="equal">
      <formula>0</formula>
    </cfRule>
  </conditionalFormatting>
  <conditionalFormatting sqref="O118">
    <cfRule type="expression" dxfId="168" priority="207">
      <formula>(O120+O119+O118)&gt;O117</formula>
    </cfRule>
  </conditionalFormatting>
  <conditionalFormatting sqref="O119">
    <cfRule type="expression" dxfId="167" priority="206">
      <formula>(O120+O119+O118)&gt;O117</formula>
    </cfRule>
  </conditionalFormatting>
  <conditionalFormatting sqref="O120">
    <cfRule type="expression" dxfId="166" priority="205">
      <formula>(O120+O119+O118)&gt;O117</formula>
    </cfRule>
  </conditionalFormatting>
  <conditionalFormatting sqref="Q117">
    <cfRule type="expression" dxfId="165" priority="203">
      <formula>(Q120+Q119+Q118)&gt;Q117</formula>
    </cfRule>
    <cfRule type="cellIs" dxfId="164" priority="204" operator="equal">
      <formula>0</formula>
    </cfRule>
  </conditionalFormatting>
  <conditionalFormatting sqref="Q118">
    <cfRule type="expression" dxfId="163" priority="202">
      <formula>(Q120+Q119+Q118)&gt;Q117</formula>
    </cfRule>
  </conditionalFormatting>
  <conditionalFormatting sqref="Q119">
    <cfRule type="expression" dxfId="162" priority="201">
      <formula>(Q120+Q119+Q118)&gt;Q117</formula>
    </cfRule>
  </conditionalFormatting>
  <conditionalFormatting sqref="Q120">
    <cfRule type="expression" dxfId="161" priority="200">
      <formula>(Q120+Q119+Q118)&gt;Q117</formula>
    </cfRule>
  </conditionalFormatting>
  <conditionalFormatting sqref="S117">
    <cfRule type="expression" dxfId="160" priority="198">
      <formula>(S120+S119+S118)&gt;S117</formula>
    </cfRule>
    <cfRule type="cellIs" dxfId="159" priority="199" operator="equal">
      <formula>0</formula>
    </cfRule>
  </conditionalFormatting>
  <conditionalFormatting sqref="S118">
    <cfRule type="expression" dxfId="158" priority="197">
      <formula>(S120+S119+S118)&gt;S117</formula>
    </cfRule>
  </conditionalFormatting>
  <conditionalFormatting sqref="S119">
    <cfRule type="expression" dxfId="157" priority="196">
      <formula>(S120+S119+S118)&gt;S117</formula>
    </cfRule>
  </conditionalFormatting>
  <conditionalFormatting sqref="S120">
    <cfRule type="expression" dxfId="156" priority="195">
      <formula>(S120+S119+S118)&gt;S117</formula>
    </cfRule>
  </conditionalFormatting>
  <conditionalFormatting sqref="U117">
    <cfRule type="expression" dxfId="155" priority="193">
      <formula>(U120+U119+U118)&gt;U117</formula>
    </cfRule>
    <cfRule type="cellIs" dxfId="154" priority="194" operator="equal">
      <formula>0</formula>
    </cfRule>
  </conditionalFormatting>
  <conditionalFormatting sqref="U118">
    <cfRule type="expression" dxfId="153" priority="192">
      <formula>(U120+U119+U118)&gt;U117</formula>
    </cfRule>
  </conditionalFormatting>
  <conditionalFormatting sqref="U119">
    <cfRule type="expression" dxfId="152" priority="191">
      <formula>(U120+U119+U118)&gt;U117</formula>
    </cfRule>
  </conditionalFormatting>
  <conditionalFormatting sqref="U120">
    <cfRule type="expression" dxfId="151" priority="190">
      <formula>(U120+U119+U118)&gt;U117</formula>
    </cfRule>
  </conditionalFormatting>
  <conditionalFormatting sqref="W117">
    <cfRule type="expression" dxfId="150" priority="188">
      <formula>(W120+W119+W118)&gt;W117</formula>
    </cfRule>
    <cfRule type="cellIs" dxfId="149" priority="189" operator="equal">
      <formula>0</formula>
    </cfRule>
  </conditionalFormatting>
  <conditionalFormatting sqref="W118">
    <cfRule type="expression" dxfId="148" priority="187">
      <formula>(W120+W119+W118)&gt;W117</formula>
    </cfRule>
  </conditionalFormatting>
  <conditionalFormatting sqref="W119">
    <cfRule type="expression" dxfId="147" priority="186">
      <formula>(W120+W119+W118)&gt;W117</formula>
    </cfRule>
  </conditionalFormatting>
  <conditionalFormatting sqref="W120">
    <cfRule type="expression" dxfId="146" priority="185">
      <formula>(W120+W119+W118)&gt;W117</formula>
    </cfRule>
  </conditionalFormatting>
  <conditionalFormatting sqref="Y117">
    <cfRule type="expression" dxfId="145" priority="183">
      <formula>(Y120+Y119+Y118)&gt;Y117</formula>
    </cfRule>
    <cfRule type="cellIs" dxfId="144" priority="184" operator="equal">
      <formula>0</formula>
    </cfRule>
  </conditionalFormatting>
  <conditionalFormatting sqref="Y118">
    <cfRule type="expression" dxfId="143" priority="182">
      <formula>(Y120+Y119+Y118)&gt;Y117</formula>
    </cfRule>
  </conditionalFormatting>
  <conditionalFormatting sqref="Y119">
    <cfRule type="expression" dxfId="142" priority="181">
      <formula>(Y120+Y119+Y118)&gt;Y117</formula>
    </cfRule>
  </conditionalFormatting>
  <conditionalFormatting sqref="Y120">
    <cfRule type="expression" dxfId="141" priority="180">
      <formula>(Y120+Y119+Y118)&gt;Y117</formula>
    </cfRule>
  </conditionalFormatting>
  <conditionalFormatting sqref="AA117">
    <cfRule type="expression" dxfId="140" priority="178">
      <formula>(AA120+AA119+AA118)&gt;AA117</formula>
    </cfRule>
    <cfRule type="cellIs" dxfId="139" priority="179" operator="equal">
      <formula>0</formula>
    </cfRule>
  </conditionalFormatting>
  <conditionalFormatting sqref="AA118">
    <cfRule type="expression" dxfId="138" priority="177">
      <formula>(AA120+AA119+AA118)&gt;AA117</formula>
    </cfRule>
  </conditionalFormatting>
  <conditionalFormatting sqref="AA119">
    <cfRule type="expression" dxfId="137" priority="176">
      <formula>(AA120+AA119+AA118)&gt;AA117</formula>
    </cfRule>
  </conditionalFormatting>
  <conditionalFormatting sqref="AA120">
    <cfRule type="expression" dxfId="136" priority="175">
      <formula>(AA120+AA119+AA118)&gt;AA117</formula>
    </cfRule>
  </conditionalFormatting>
  <conditionalFormatting sqref="M131">
    <cfRule type="expression" dxfId="135" priority="173">
      <formula>(M134+M133+M132)&gt;M131</formula>
    </cfRule>
    <cfRule type="cellIs" dxfId="134" priority="174" operator="equal">
      <formula>0</formula>
    </cfRule>
  </conditionalFormatting>
  <conditionalFormatting sqref="M132">
    <cfRule type="expression" dxfId="133" priority="172">
      <formula>(M134+M133+M132)&gt;M131</formula>
    </cfRule>
  </conditionalFormatting>
  <conditionalFormatting sqref="M133">
    <cfRule type="expression" dxfId="132" priority="171">
      <formula>(M134+M133+M132)&gt;M131</formula>
    </cfRule>
  </conditionalFormatting>
  <conditionalFormatting sqref="M134">
    <cfRule type="expression" dxfId="131" priority="170">
      <formula>(M134+M133+M132)&gt;M131</formula>
    </cfRule>
  </conditionalFormatting>
  <conditionalFormatting sqref="O131">
    <cfRule type="expression" dxfId="130" priority="168">
      <formula>(O134+O133+O132)&gt;O131</formula>
    </cfRule>
    <cfRule type="cellIs" dxfId="129" priority="169" operator="equal">
      <formula>0</formula>
    </cfRule>
  </conditionalFormatting>
  <conditionalFormatting sqref="O132">
    <cfRule type="expression" dxfId="128" priority="167">
      <formula>(O134+O133+O132)&gt;O131</formula>
    </cfRule>
  </conditionalFormatting>
  <conditionalFormatting sqref="O133">
    <cfRule type="expression" dxfId="127" priority="166">
      <formula>(O134+O133+O132)&gt;O131</formula>
    </cfRule>
  </conditionalFormatting>
  <conditionalFormatting sqref="O134">
    <cfRule type="expression" dxfId="126" priority="165">
      <formula>(O134+O133+O132)&gt;O131</formula>
    </cfRule>
  </conditionalFormatting>
  <conditionalFormatting sqref="Q131">
    <cfRule type="expression" dxfId="125" priority="163">
      <formula>(Q134+Q133+Q132)&gt;Q131</formula>
    </cfRule>
    <cfRule type="cellIs" dxfId="124" priority="164" operator="equal">
      <formula>0</formula>
    </cfRule>
  </conditionalFormatting>
  <conditionalFormatting sqref="Q132">
    <cfRule type="expression" dxfId="123" priority="162">
      <formula>(Q134+Q133+Q132)&gt;Q131</formula>
    </cfRule>
  </conditionalFormatting>
  <conditionalFormatting sqref="Q133">
    <cfRule type="expression" dxfId="122" priority="161">
      <formula>(Q134+Q133+Q132)&gt;Q131</formula>
    </cfRule>
  </conditionalFormatting>
  <conditionalFormatting sqref="Q134">
    <cfRule type="expression" dxfId="121" priority="160">
      <formula>(Q134+Q133+Q132)&gt;Q131</formula>
    </cfRule>
  </conditionalFormatting>
  <conditionalFormatting sqref="S131">
    <cfRule type="expression" dxfId="120" priority="158">
      <formula>(S134+S133+S132)&gt;S131</formula>
    </cfRule>
    <cfRule type="cellIs" dxfId="119" priority="159" operator="equal">
      <formula>0</formula>
    </cfRule>
  </conditionalFormatting>
  <conditionalFormatting sqref="S132">
    <cfRule type="expression" dxfId="118" priority="157">
      <formula>(S134+S133+S132)&gt;S131</formula>
    </cfRule>
  </conditionalFormatting>
  <conditionalFormatting sqref="S133">
    <cfRule type="expression" dxfId="117" priority="156">
      <formula>(S134+S133+S132)&gt;S131</formula>
    </cfRule>
  </conditionalFormatting>
  <conditionalFormatting sqref="S134">
    <cfRule type="expression" dxfId="116" priority="155">
      <formula>(S134+S133+S132)&gt;S131</formula>
    </cfRule>
  </conditionalFormatting>
  <conditionalFormatting sqref="U131">
    <cfRule type="expression" dxfId="115" priority="153">
      <formula>(U134+U133+U132)&gt;U131</formula>
    </cfRule>
    <cfRule type="cellIs" dxfId="114" priority="154" operator="equal">
      <formula>0</formula>
    </cfRule>
  </conditionalFormatting>
  <conditionalFormatting sqref="U132">
    <cfRule type="expression" dxfId="113" priority="152">
      <formula>(U134+U133+U132)&gt;U131</formula>
    </cfRule>
  </conditionalFormatting>
  <conditionalFormatting sqref="U133">
    <cfRule type="expression" dxfId="112" priority="151">
      <formula>(U134+U133+U132)&gt;U131</formula>
    </cfRule>
  </conditionalFormatting>
  <conditionalFormatting sqref="U134">
    <cfRule type="expression" dxfId="111" priority="150">
      <formula>(U134+U133+U132)&gt;U131</formula>
    </cfRule>
  </conditionalFormatting>
  <conditionalFormatting sqref="W131">
    <cfRule type="expression" dxfId="110" priority="148">
      <formula>(W134+W133+W132)&gt;W131</formula>
    </cfRule>
    <cfRule type="cellIs" dxfId="109" priority="149" operator="equal">
      <formula>0</formula>
    </cfRule>
  </conditionalFormatting>
  <conditionalFormatting sqref="W132">
    <cfRule type="expression" dxfId="108" priority="147">
      <formula>(W134+W133+W132)&gt;W131</formula>
    </cfRule>
  </conditionalFormatting>
  <conditionalFormatting sqref="W133">
    <cfRule type="expression" dxfId="107" priority="146">
      <formula>(W134+W133+W132)&gt;W131</formula>
    </cfRule>
  </conditionalFormatting>
  <conditionalFormatting sqref="W134">
    <cfRule type="expression" dxfId="106" priority="145">
      <formula>(W134+W133+W132)&gt;W131</formula>
    </cfRule>
  </conditionalFormatting>
  <conditionalFormatting sqref="Y131">
    <cfRule type="expression" dxfId="105" priority="143">
      <formula>(Y134+Y133+Y132)&gt;Y131</formula>
    </cfRule>
    <cfRule type="cellIs" dxfId="104" priority="144" operator="equal">
      <formula>0</formula>
    </cfRule>
  </conditionalFormatting>
  <conditionalFormatting sqref="Y132">
    <cfRule type="expression" dxfId="103" priority="142">
      <formula>(Y134+Y133+Y132)&gt;Y131</formula>
    </cfRule>
  </conditionalFormatting>
  <conditionalFormatting sqref="Y133">
    <cfRule type="expression" dxfId="102" priority="141">
      <formula>(Y134+Y133+Y132)&gt;Y131</formula>
    </cfRule>
  </conditionalFormatting>
  <conditionalFormatting sqref="Y134">
    <cfRule type="expression" dxfId="101" priority="140">
      <formula>(Y134+Y133+Y132)&gt;Y131</formula>
    </cfRule>
  </conditionalFormatting>
  <conditionalFormatting sqref="AA131">
    <cfRule type="expression" dxfId="100" priority="138">
      <formula>(AA134+AA133+AA132)&gt;AA131</formula>
    </cfRule>
    <cfRule type="cellIs" dxfId="99" priority="139" operator="equal">
      <formula>0</formula>
    </cfRule>
  </conditionalFormatting>
  <conditionalFormatting sqref="AA132">
    <cfRule type="expression" dxfId="98" priority="137">
      <formula>(AA134+AA133+AA132)&gt;AA131</formula>
    </cfRule>
  </conditionalFormatting>
  <conditionalFormatting sqref="AA133">
    <cfRule type="expression" dxfId="97" priority="136">
      <formula>(AA134+AA133+AA132)&gt;AA131</formula>
    </cfRule>
  </conditionalFormatting>
  <conditionalFormatting sqref="AA134">
    <cfRule type="expression" dxfId="96" priority="135">
      <formula>(AA134+AA133+AA132)&gt;AA131</formula>
    </cfRule>
  </conditionalFormatting>
  <conditionalFormatting sqref="AE147:AF147">
    <cfRule type="notContainsBlanks" dxfId="95" priority="131">
      <formula>LEN(TRIM(AE147))&gt;0</formula>
    </cfRule>
  </conditionalFormatting>
  <conditionalFormatting sqref="AB148:AB173">
    <cfRule type="cellIs" dxfId="94" priority="129" operator="equal">
      <formula>0</formula>
    </cfRule>
  </conditionalFormatting>
  <conditionalFormatting sqref="AE148:AF155">
    <cfRule type="notContainsBlanks" dxfId="93" priority="127">
      <formula>LEN(TRIM(AE148))&gt;0</formula>
    </cfRule>
  </conditionalFormatting>
  <conditionalFormatting sqref="AE156:AF156">
    <cfRule type="notContainsBlanks" dxfId="92" priority="118">
      <formula>LEN(TRIM(AE156))&gt;0</formula>
    </cfRule>
  </conditionalFormatting>
  <conditionalFormatting sqref="AE157:AF164">
    <cfRule type="notContainsBlanks" dxfId="91" priority="114">
      <formula>LEN(TRIM(AE157))&gt;0</formula>
    </cfRule>
  </conditionalFormatting>
  <conditionalFormatting sqref="AE165:AF165">
    <cfRule type="notContainsBlanks" dxfId="90" priority="105">
      <formula>LEN(TRIM(AE165))&gt;0</formula>
    </cfRule>
  </conditionalFormatting>
  <conditionalFormatting sqref="AE166:AF173">
    <cfRule type="notContainsBlanks" dxfId="89" priority="101">
      <formula>LEN(TRIM(AE166))&gt;0</formula>
    </cfRule>
  </conditionalFormatting>
  <conditionalFormatting sqref="D99:AA99">
    <cfRule type="expression" dxfId="88" priority="1555">
      <formula>SUM(D99:D100)&gt;D252</formula>
    </cfRule>
  </conditionalFormatting>
  <conditionalFormatting sqref="D100:E100">
    <cfRule type="expression" dxfId="87" priority="1556">
      <formula>SUM(D99:D100)&gt;D252</formula>
    </cfRule>
  </conditionalFormatting>
  <conditionalFormatting sqref="D140:AA140">
    <cfRule type="cellIs" dxfId="86" priority="94" operator="equal">
      <formula>0</formula>
    </cfRule>
  </conditionalFormatting>
  <conditionalFormatting sqref="D174:AB174 D175:AA175 AB176">
    <cfRule type="cellIs" dxfId="85" priority="93" operator="equal">
      <formula>0</formula>
    </cfRule>
  </conditionalFormatting>
  <conditionalFormatting sqref="D178:AA178">
    <cfRule type="expression" dxfId="84" priority="92">
      <formula>D178&gt;D174</formula>
    </cfRule>
  </conditionalFormatting>
  <conditionalFormatting sqref="D174:AA174">
    <cfRule type="expression" dxfId="83" priority="91">
      <formula>D178&gt;D174</formula>
    </cfRule>
  </conditionalFormatting>
  <conditionalFormatting sqref="AB147">
    <cfRule type="cellIs" dxfId="82" priority="90" operator="equal">
      <formula>0</formula>
    </cfRule>
  </conditionalFormatting>
  <conditionalFormatting sqref="AB12:AB13">
    <cfRule type="cellIs" dxfId="81" priority="88" operator="equal">
      <formula>0</formula>
    </cfRule>
  </conditionalFormatting>
  <conditionalFormatting sqref="AB14">
    <cfRule type="cellIs" dxfId="80" priority="87" operator="equal">
      <formula>0</formula>
    </cfRule>
  </conditionalFormatting>
  <conditionalFormatting sqref="AB15:AB17">
    <cfRule type="cellIs" dxfId="79" priority="86" operator="equal">
      <formula>0</formula>
    </cfRule>
  </conditionalFormatting>
  <conditionalFormatting sqref="D139:AA139">
    <cfRule type="expression" dxfId="78" priority="84">
      <formula>D139&gt;D138</formula>
    </cfRule>
  </conditionalFormatting>
  <conditionalFormatting sqref="D138:AA138">
    <cfRule type="expression" dxfId="77" priority="83">
      <formula>D139&gt;D138</formula>
    </cfRule>
  </conditionalFormatting>
  <conditionalFormatting sqref="D140:AA140">
    <cfRule type="expression" dxfId="76" priority="82">
      <formula>D140&gt;D139</formula>
    </cfRule>
  </conditionalFormatting>
  <conditionalFormatting sqref="D139:AA139">
    <cfRule type="expression" dxfId="75" priority="81">
      <formula>D140&gt;D139</formula>
    </cfRule>
  </conditionalFormatting>
  <conditionalFormatting sqref="D175:AA175">
    <cfRule type="expression" dxfId="74" priority="80">
      <formula>D175&gt;D174</formula>
    </cfRule>
  </conditionalFormatting>
  <conditionalFormatting sqref="D174:AA174">
    <cfRule type="expression" dxfId="73" priority="79">
      <formula>D175&gt;D174</formula>
    </cfRule>
  </conditionalFormatting>
  <conditionalFormatting sqref="AC141">
    <cfRule type="notContainsBlanks" dxfId="72" priority="78">
      <formula>LEN(TRIM(AC141))&gt;0</formula>
    </cfRule>
  </conditionalFormatting>
  <conditionalFormatting sqref="AD147">
    <cfRule type="notContainsBlanks" dxfId="71" priority="77">
      <formula>LEN(TRIM(AD147))&gt;0</formula>
    </cfRule>
  </conditionalFormatting>
  <conditionalFormatting sqref="AD156">
    <cfRule type="notContainsBlanks" dxfId="70" priority="76">
      <formula>LEN(TRIM(AD156))&gt;0</formula>
    </cfRule>
  </conditionalFormatting>
  <conditionalFormatting sqref="AD165">
    <cfRule type="notContainsBlanks" dxfId="69" priority="75">
      <formula>LEN(TRIM(AD165))&gt;0</formula>
    </cfRule>
  </conditionalFormatting>
  <conditionalFormatting sqref="D142:AA142">
    <cfRule type="expression" dxfId="68" priority="74">
      <formula>D142&gt;D141</formula>
    </cfRule>
  </conditionalFormatting>
  <conditionalFormatting sqref="D141:AA141">
    <cfRule type="expression" dxfId="67" priority="73">
      <formula>D142&gt;D141</formula>
    </cfRule>
  </conditionalFormatting>
  <conditionalFormatting sqref="AC138">
    <cfRule type="notContainsBlanks" dxfId="66" priority="72">
      <formula>LEN(TRIM(AC138))&gt;0</formula>
    </cfRule>
  </conditionalFormatting>
  <conditionalFormatting sqref="AC143">
    <cfRule type="notContainsBlanks" dxfId="65" priority="71">
      <formula>LEN(TRIM(AC143))&gt;0</formula>
    </cfRule>
  </conditionalFormatting>
  <conditionalFormatting sqref="D144:AA144">
    <cfRule type="expression" dxfId="64" priority="70">
      <formula>D144&gt;D143</formula>
    </cfRule>
  </conditionalFormatting>
  <conditionalFormatting sqref="D143:AA143">
    <cfRule type="expression" dxfId="63" priority="69">
      <formula>D144&gt;D143</formula>
    </cfRule>
  </conditionalFormatting>
  <conditionalFormatting sqref="AC148:AC149 AC151 AC153:AC155">
    <cfRule type="notContainsBlanks" dxfId="62" priority="68">
      <formula>LEN(TRIM(AC148))&gt;0</formula>
    </cfRule>
  </conditionalFormatting>
  <conditionalFormatting sqref="AC150">
    <cfRule type="notContainsBlanks" dxfId="61" priority="67">
      <formula>LEN(TRIM(AC150))&gt;0</formula>
    </cfRule>
  </conditionalFormatting>
  <conditionalFormatting sqref="AC147">
    <cfRule type="notContainsBlanks" dxfId="60" priority="66">
      <formula>LEN(TRIM(AC147))&gt;0</formula>
    </cfRule>
  </conditionalFormatting>
  <conditionalFormatting sqref="AC152">
    <cfRule type="notContainsBlanks" dxfId="59" priority="65">
      <formula>LEN(TRIM(AC152))&gt;0</formula>
    </cfRule>
  </conditionalFormatting>
  <conditionalFormatting sqref="AC157:AC158 AC160 AC162:AC164">
    <cfRule type="notContainsBlanks" dxfId="58" priority="64">
      <formula>LEN(TRIM(AC157))&gt;0</formula>
    </cfRule>
  </conditionalFormatting>
  <conditionalFormatting sqref="AC159">
    <cfRule type="notContainsBlanks" dxfId="57" priority="63">
      <formula>LEN(TRIM(AC159))&gt;0</formula>
    </cfRule>
  </conditionalFormatting>
  <conditionalFormatting sqref="AC156">
    <cfRule type="notContainsBlanks" dxfId="56" priority="62">
      <formula>LEN(TRIM(AC156))&gt;0</formula>
    </cfRule>
  </conditionalFormatting>
  <conditionalFormatting sqref="AC161">
    <cfRule type="notContainsBlanks" dxfId="55" priority="61">
      <formula>LEN(TRIM(AC161))&gt;0</formula>
    </cfRule>
  </conditionalFormatting>
  <conditionalFormatting sqref="AC166:AC167 AC169 AC171:AC173">
    <cfRule type="notContainsBlanks" dxfId="54" priority="60">
      <formula>LEN(TRIM(AC166))&gt;0</formula>
    </cfRule>
  </conditionalFormatting>
  <conditionalFormatting sqref="AC168">
    <cfRule type="notContainsBlanks" dxfId="53" priority="59">
      <formula>LEN(TRIM(AC168))&gt;0</formula>
    </cfRule>
  </conditionalFormatting>
  <conditionalFormatting sqref="AC165">
    <cfRule type="notContainsBlanks" dxfId="52" priority="58">
      <formula>LEN(TRIM(AC165))&gt;0</formula>
    </cfRule>
  </conditionalFormatting>
  <conditionalFormatting sqref="AC170">
    <cfRule type="notContainsBlanks" dxfId="51" priority="57">
      <formula>LEN(TRIM(AC170))&gt;0</formula>
    </cfRule>
  </conditionalFormatting>
  <conditionalFormatting sqref="D147:AA147">
    <cfRule type="cellIs" dxfId="50" priority="56" operator="equal">
      <formula>0</formula>
    </cfRule>
  </conditionalFormatting>
  <conditionalFormatting sqref="D149:AA149">
    <cfRule type="cellIs" dxfId="49" priority="55" operator="equal">
      <formula>0</formula>
    </cfRule>
  </conditionalFormatting>
  <conditionalFormatting sqref="D148:AA148">
    <cfRule type="expression" dxfId="48" priority="54">
      <formula>D148&gt;D147</formula>
    </cfRule>
  </conditionalFormatting>
  <conditionalFormatting sqref="D147:AA147">
    <cfRule type="expression" dxfId="47" priority="53">
      <formula>D148&gt;D147</formula>
    </cfRule>
  </conditionalFormatting>
  <conditionalFormatting sqref="D149:AA149">
    <cfRule type="expression" dxfId="46" priority="52">
      <formula>D149&gt;D148</formula>
    </cfRule>
  </conditionalFormatting>
  <conditionalFormatting sqref="D148:AA148">
    <cfRule type="expression" dxfId="45" priority="51">
      <formula>D149&gt;D148</formula>
    </cfRule>
  </conditionalFormatting>
  <conditionalFormatting sqref="D151:AA151">
    <cfRule type="expression" dxfId="44" priority="50">
      <formula>D151&gt;D150</formula>
    </cfRule>
  </conditionalFormatting>
  <conditionalFormatting sqref="D150:AA150">
    <cfRule type="expression" dxfId="43" priority="49">
      <formula>D151&gt;D150</formula>
    </cfRule>
  </conditionalFormatting>
  <conditionalFormatting sqref="D153:AA153">
    <cfRule type="expression" dxfId="42" priority="48">
      <formula>D153&gt;D152</formula>
    </cfRule>
  </conditionalFormatting>
  <conditionalFormatting sqref="D152:AA152">
    <cfRule type="expression" dxfId="41" priority="47">
      <formula>D153&gt;D152</formula>
    </cfRule>
  </conditionalFormatting>
  <conditionalFormatting sqref="D158:AA158">
    <cfRule type="cellIs" dxfId="40" priority="45" operator="equal">
      <formula>0</formula>
    </cfRule>
  </conditionalFormatting>
  <conditionalFormatting sqref="D157:AA157">
    <cfRule type="expression" dxfId="39" priority="44">
      <formula>D157&gt;D156</formula>
    </cfRule>
  </conditionalFormatting>
  <conditionalFormatting sqref="D156:AA156">
    <cfRule type="expression" dxfId="38" priority="43">
      <formula>D157&gt;D156</formula>
    </cfRule>
  </conditionalFormatting>
  <conditionalFormatting sqref="D158:AA158">
    <cfRule type="expression" dxfId="37" priority="42">
      <formula>D158&gt;D157</formula>
    </cfRule>
  </conditionalFormatting>
  <conditionalFormatting sqref="D157:AA157">
    <cfRule type="expression" dxfId="36" priority="41">
      <formula>D158&gt;D157</formula>
    </cfRule>
  </conditionalFormatting>
  <conditionalFormatting sqref="D160:AA160">
    <cfRule type="expression" dxfId="35" priority="40">
      <formula>D160&gt;D159</formula>
    </cfRule>
  </conditionalFormatting>
  <conditionalFormatting sqref="D159:AA159">
    <cfRule type="expression" dxfId="34" priority="39">
      <formula>D160&gt;D159</formula>
    </cfRule>
  </conditionalFormatting>
  <conditionalFormatting sqref="D162:AA162">
    <cfRule type="expression" dxfId="33" priority="38">
      <formula>D162&gt;D161</formula>
    </cfRule>
  </conditionalFormatting>
  <conditionalFormatting sqref="D161:AA161">
    <cfRule type="expression" dxfId="32" priority="37">
      <formula>D162&gt;D161</formula>
    </cfRule>
  </conditionalFormatting>
  <conditionalFormatting sqref="D165:AA165">
    <cfRule type="cellIs" dxfId="31" priority="36" operator="equal">
      <formula>0</formula>
    </cfRule>
  </conditionalFormatting>
  <conditionalFormatting sqref="D167:AA167">
    <cfRule type="cellIs" dxfId="30" priority="35" operator="equal">
      <formula>0</formula>
    </cfRule>
  </conditionalFormatting>
  <conditionalFormatting sqref="D166:AA166">
    <cfRule type="expression" dxfId="29" priority="34">
      <formula>D166&gt;D165</formula>
    </cfRule>
  </conditionalFormatting>
  <conditionalFormatting sqref="D165:AA165">
    <cfRule type="expression" dxfId="28" priority="33">
      <formula>D166&gt;D165</formula>
    </cfRule>
  </conditionalFormatting>
  <conditionalFormatting sqref="D167:AA167">
    <cfRule type="expression" dxfId="27" priority="32">
      <formula>D167&gt;D166</formula>
    </cfRule>
  </conditionalFormatting>
  <conditionalFormatting sqref="D166:AA166">
    <cfRule type="expression" dxfId="26" priority="31">
      <formula>D167&gt;D166</formula>
    </cfRule>
  </conditionalFormatting>
  <conditionalFormatting sqref="D169:AA169">
    <cfRule type="expression" dxfId="25" priority="30">
      <formula>D169&gt;D168</formula>
    </cfRule>
  </conditionalFormatting>
  <conditionalFormatting sqref="D168:AA168">
    <cfRule type="expression" dxfId="24" priority="29">
      <formula>D169&gt;D168</formula>
    </cfRule>
  </conditionalFormatting>
  <conditionalFormatting sqref="D171:AA171">
    <cfRule type="expression" dxfId="23" priority="28">
      <formula>D171&gt;D170</formula>
    </cfRule>
  </conditionalFormatting>
  <conditionalFormatting sqref="D170:AA170">
    <cfRule type="expression" dxfId="22" priority="27">
      <formula>D171&gt;D170</formula>
    </cfRule>
  </conditionalFormatting>
  <conditionalFormatting sqref="K182 M182 O182 Q182 S182 U182 W182 Y182 AA182">
    <cfRule type="expression" dxfId="21" priority="26">
      <formula>K182&gt;K181</formula>
    </cfRule>
  </conditionalFormatting>
  <conditionalFormatting sqref="D184:AA184">
    <cfRule type="expression" dxfId="20" priority="25">
      <formula>D184&gt;D183</formula>
    </cfRule>
  </conditionalFormatting>
  <conditionalFormatting sqref="K181 M181 O181 Q181 S181 U181 W181 Y181 AA181">
    <cfRule type="expression" dxfId="19" priority="24">
      <formula>K181&gt;K174</formula>
    </cfRule>
  </conditionalFormatting>
  <conditionalFormatting sqref="D174:AA174">
    <cfRule type="expression" dxfId="18" priority="23">
      <formula>D181&gt;D174</formula>
    </cfRule>
  </conditionalFormatting>
  <conditionalFormatting sqref="D276:AA276">
    <cfRule type="expression" dxfId="17" priority="22">
      <formula>D276&gt;D272</formula>
    </cfRule>
  </conditionalFormatting>
  <conditionalFormatting sqref="AD267:AD280">
    <cfRule type="notContainsBlanks" dxfId="16" priority="21">
      <formula>LEN(TRIM(AD267))&gt;0</formula>
    </cfRule>
  </conditionalFormatting>
  <conditionalFormatting sqref="D280:AA280">
    <cfRule type="expression" dxfId="15" priority="20">
      <formula>D280&gt;D277</formula>
    </cfRule>
  </conditionalFormatting>
  <conditionalFormatting sqref="D277:AA277">
    <cfRule type="expression" dxfId="14" priority="19">
      <formula>D280&gt;D277</formula>
    </cfRule>
  </conditionalFormatting>
  <conditionalFormatting sqref="AD214:AD222">
    <cfRule type="notContainsBlanks" dxfId="13" priority="18">
      <formula>LEN(TRIM(AD214))&gt;0</formula>
    </cfRule>
  </conditionalFormatting>
  <conditionalFormatting sqref="D243:E243">
    <cfRule type="expression" dxfId="12" priority="15">
      <formula>D220&lt;&gt;D243</formula>
    </cfRule>
  </conditionalFormatting>
  <conditionalFormatting sqref="AF214:AF222">
    <cfRule type="notContainsBlanks" dxfId="11" priority="14">
      <formula>LEN(TRIM(AF214))&gt;0</formula>
    </cfRule>
  </conditionalFormatting>
  <conditionalFormatting sqref="AB9">
    <cfRule type="expression" dxfId="10" priority="13">
      <formula>AB9&gt;AB8</formula>
    </cfRule>
  </conditionalFormatting>
  <conditionalFormatting sqref="AB8">
    <cfRule type="expression" dxfId="9" priority="12">
      <formula>AB9&gt;AB8</formula>
    </cfRule>
  </conditionalFormatting>
  <conditionalFormatting sqref="AB9">
    <cfRule type="expression" dxfId="8" priority="11">
      <formula>AB10&gt;AB9</formula>
    </cfRule>
  </conditionalFormatting>
  <conditionalFormatting sqref="AB11">
    <cfRule type="cellIs" dxfId="7" priority="9" operator="equal">
      <formula>0</formula>
    </cfRule>
  </conditionalFormatting>
  <conditionalFormatting sqref="AB10">
    <cfRule type="cellIs" dxfId="6" priority="8" operator="equal">
      <formula>0</formula>
    </cfRule>
  </conditionalFormatting>
  <conditionalFormatting sqref="AB8:AB11">
    <cfRule type="cellIs" dxfId="5" priority="7" operator="equal">
      <formula>0</formula>
    </cfRule>
  </conditionalFormatting>
  <conditionalFormatting sqref="D176:AA177">
    <cfRule type="cellIs" dxfId="4" priority="5" operator="equal">
      <formula>0</formula>
    </cfRule>
  </conditionalFormatting>
  <conditionalFormatting sqref="D176:AA176">
    <cfRule type="expression" dxfId="3" priority="4">
      <formula>D180&gt;D176</formula>
    </cfRule>
  </conditionalFormatting>
  <conditionalFormatting sqref="D177:AA177">
    <cfRule type="expression" dxfId="2" priority="3">
      <formula>D177&gt;D176</formula>
    </cfRule>
  </conditionalFormatting>
  <conditionalFormatting sqref="D176:AA176">
    <cfRule type="expression" dxfId="1" priority="2">
      <formula>D177&gt;D176</formula>
    </cfRule>
  </conditionalFormatting>
  <conditionalFormatting sqref="D176:AA176">
    <cfRule type="expression" dxfId="0" priority="1">
      <formula>D183&gt;D176</formula>
    </cfRule>
  </conditionalFormatting>
  <dataValidations count="2">
    <dataValidation type="whole" allowBlank="1" showInputMessage="1" showErrorMessage="1" errorTitle="Non-Numeric or abnormal value" error="Enter Numbers only between 0 and 99999" sqref="E304:AA310 D54:AA58 D226:AA239 D62:AA95 D114:AA134 AB94:AB95 E281:AB281 E303:AB303 D298:D310 D22:AA48 E252:AB252 D99:AA110 E243:AA251 E298:AA302 D192:AA222 AB18 AB138 D138:D188 E138:AA146 E147:AB147 D243:D288 E253:AA280 E282:AA288 D312:AA321 I8:AB10 AB11 D8:H18 I11:AA18 AB176 E148:AA188" xr:uid="{B89F7BEB-D895-441B-9690-CF40DBC25312}">
      <formula1>0</formula1>
      <formula2>99999</formula2>
    </dataValidation>
    <dataValidation type="whole" allowBlank="1" showInputMessage="1" showErrorMessage="1" errorTitle="Numeric Characters Error" error="Enter Numeric Characters only between range 0 and 2000" sqref="D292:AA297" xr:uid="{C74A0B64-B31F-4F3B-A9D9-EAC9A80CECBF}">
      <formula1>0</formula1>
      <formula2>2000</formula2>
    </dataValidation>
  </dataValidations>
  <pageMargins left="0.511811023622047" right="7.8740157480315001E-2" top="0.196850393700787" bottom="0.196850393700787" header="0.2" footer="0.118110236220472"/>
  <pageSetup scale="31" fitToHeight="0" orientation="portrait" r:id="rId1"/>
  <headerFooter>
    <oddFooter>&amp;R&amp;P</oddFooter>
  </headerFooter>
  <rowBreaks count="1" manualBreakCount="1">
    <brk id="110" max="16383" man="1"/>
  </rowBreaks>
  <ignoredErrors>
    <ignoredError sqref="J20 J52 J60 J97 J136 J241 J290 J224 J190"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9757ECA-E322-4B4F-A80B-F429838D8BF7}">
  <ds:schemaRefs>
    <ds:schemaRef ds:uri="1ed6e237-7a44-4d6d-bfbc-e270d277b5ad"/>
    <ds:schemaRef ds:uri="http://purl.org/dc/elements/1.1/"/>
    <ds:schemaRef ds:uri="http://schemas.microsoft.com/office/2006/metadata/properties"/>
    <ds:schemaRef ds:uri="http://schemas.microsoft.com/sharepoint/v3"/>
    <ds:schemaRef ds:uri="dac3fa0a-9923-49c3-b4ba-df6390fa58e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27D016-ED29-4335-8911-6427F4BFA8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InstructionsForm1A</vt:lpstr>
      <vt:lpstr>Feb</vt:lpstr>
      <vt:lpstr>Feb!Print_Area</vt:lpstr>
      <vt:lpstr>InstructionsForm1A!Print_Area</vt:lpstr>
      <vt:lpstr>Feb!Print_Titles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Emmanuel Kaunda</cp:lastModifiedBy>
  <cp:lastPrinted>2020-06-04T19:13:43Z</cp:lastPrinted>
  <dcterms:created xsi:type="dcterms:W3CDTF">2018-10-31T09:45:26Z</dcterms:created>
  <dcterms:modified xsi:type="dcterms:W3CDTF">2020-06-05T13:16:10Z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ies>
</file>