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CAF683C0-B9B6-4DFB-8F92-A2C24F7BBA6E}"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03" yWindow="-103" windowWidth="29006" windowHeight="15806" xr2:uid="{1C7A72A4-46D5-4130-84F6-E2BF1F1A15D0}"/>
  </bookViews>
  <sheets>
    <sheet name="InstructionsForm1A" sheetId="4" r:id="rId1"/>
    <sheet name="Feb" sheetId="1" r:id="rId2"/>
  </sheets>
  <definedNames>
    <definedName name="_xlnm._FilterDatabase" localSheetId="0" hidden="1">InstructionsForm1A!$B$2:$F$293</definedName>
    <definedName name="_xlnm.Print_Area" localSheetId="1">Feb!$A$1:$AB$322</definedName>
    <definedName name="_xlnm.Print_Area" localSheetId="0">InstructionsForm1A!$B$1:$F$293</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6" i="1" l="1"/>
  <c r="H316" i="1"/>
  <c r="I316" i="1"/>
  <c r="J316" i="1"/>
  <c r="K316" i="1"/>
  <c r="L316" i="1"/>
  <c r="M316" i="1"/>
  <c r="N316" i="1"/>
  <c r="O316" i="1"/>
  <c r="P316" i="1"/>
  <c r="Q316" i="1"/>
  <c r="R316" i="1"/>
  <c r="S316" i="1"/>
  <c r="T316" i="1"/>
  <c r="U316" i="1"/>
  <c r="V316" i="1"/>
  <c r="W316" i="1"/>
  <c r="X316" i="1"/>
  <c r="Y316" i="1"/>
  <c r="Z316" i="1"/>
  <c r="AA316" i="1"/>
  <c r="W318" i="1"/>
  <c r="AB284" i="1"/>
  <c r="AB285" i="1"/>
  <c r="AB286" i="1"/>
  <c r="AB287" i="1"/>
  <c r="AB288" i="1"/>
  <c r="E281" i="1"/>
  <c r="F281" i="1"/>
  <c r="G281" i="1"/>
  <c r="H281" i="1"/>
  <c r="I281" i="1"/>
  <c r="J281" i="1"/>
  <c r="K281" i="1"/>
  <c r="L281" i="1"/>
  <c r="M281" i="1"/>
  <c r="N281" i="1"/>
  <c r="O281" i="1"/>
  <c r="P281" i="1"/>
  <c r="Q281" i="1"/>
  <c r="R281" i="1"/>
  <c r="S281" i="1"/>
  <c r="T281" i="1"/>
  <c r="U281" i="1"/>
  <c r="V281" i="1"/>
  <c r="W281" i="1"/>
  <c r="X281" i="1"/>
  <c r="Y281" i="1"/>
  <c r="Z281" i="1"/>
  <c r="AA281" i="1"/>
  <c r="AB281" i="1"/>
  <c r="D281" i="1"/>
  <c r="AB232" i="1"/>
  <c r="AB231" i="1"/>
  <c r="AB235" i="1"/>
  <c r="AB234" i="1"/>
  <c r="AB229" i="1"/>
  <c r="AB230" i="1"/>
  <c r="AB228" i="1"/>
  <c r="AB204" i="1"/>
  <c r="AB205" i="1"/>
  <c r="AB80" i="1"/>
  <c r="AB81" i="1"/>
  <c r="AB82" i="1"/>
  <c r="AB83" i="1"/>
  <c r="AB79" i="1"/>
  <c r="AB78" i="1"/>
  <c r="AB77" i="1"/>
  <c r="AB73" i="1"/>
  <c r="AB75" i="1"/>
  <c r="AB76" i="1"/>
  <c r="AB74" i="1"/>
  <c r="AB67" i="1"/>
  <c r="AB68" i="1"/>
  <c r="AB69" i="1"/>
  <c r="AB70" i="1"/>
  <c r="AB71" i="1"/>
  <c r="AB72" i="1"/>
  <c r="AB64" i="1"/>
  <c r="AB63" i="1"/>
  <c r="D222" i="1" l="1"/>
  <c r="E243" i="1"/>
  <c r="E222" i="1"/>
  <c r="E280" i="1"/>
  <c r="F280" i="1"/>
  <c r="G280" i="1"/>
  <c r="H280" i="1"/>
  <c r="I280" i="1"/>
  <c r="J280" i="1"/>
  <c r="K280" i="1"/>
  <c r="L280" i="1"/>
  <c r="M280" i="1"/>
  <c r="N280" i="1"/>
  <c r="O280" i="1"/>
  <c r="P280" i="1"/>
  <c r="Q280" i="1"/>
  <c r="R280" i="1"/>
  <c r="AC279" i="1" s="1"/>
  <c r="S280" i="1"/>
  <c r="T280" i="1"/>
  <c r="U280" i="1"/>
  <c r="V280" i="1"/>
  <c r="W280" i="1"/>
  <c r="X280" i="1"/>
  <c r="Y280" i="1"/>
  <c r="Z280" i="1"/>
  <c r="AA280" i="1"/>
  <c r="AF281" i="1"/>
  <c r="AD281" i="1"/>
  <c r="E276" i="1"/>
  <c r="F276" i="1"/>
  <c r="G276" i="1"/>
  <c r="H276" i="1"/>
  <c r="I276" i="1"/>
  <c r="J276" i="1"/>
  <c r="K276" i="1"/>
  <c r="L276" i="1"/>
  <c r="M276" i="1"/>
  <c r="N276" i="1"/>
  <c r="O276" i="1"/>
  <c r="P276" i="1"/>
  <c r="Q276" i="1"/>
  <c r="R276" i="1"/>
  <c r="S276" i="1"/>
  <c r="T276" i="1"/>
  <c r="U276" i="1"/>
  <c r="V276" i="1"/>
  <c r="W276" i="1"/>
  <c r="X276" i="1"/>
  <c r="Y276" i="1"/>
  <c r="Z276" i="1"/>
  <c r="AA276" i="1"/>
  <c r="D276" i="1"/>
  <c r="AB176" i="1"/>
  <c r="E174" i="1" l="1"/>
  <c r="F174" i="1"/>
  <c r="G174" i="1"/>
  <c r="H174" i="1"/>
  <c r="I174" i="1"/>
  <c r="J174" i="1"/>
  <c r="K174" i="1"/>
  <c r="L174" i="1"/>
  <c r="M174" i="1"/>
  <c r="N174" i="1"/>
  <c r="O174" i="1"/>
  <c r="P174" i="1"/>
  <c r="Q174" i="1"/>
  <c r="R174" i="1"/>
  <c r="S174" i="1"/>
  <c r="T174" i="1"/>
  <c r="U174" i="1"/>
  <c r="V174" i="1"/>
  <c r="W174" i="1"/>
  <c r="X174" i="1"/>
  <c r="Y174" i="1"/>
  <c r="Z174" i="1"/>
  <c r="AA174" i="1"/>
  <c r="D174" i="1"/>
  <c r="AC181" i="1" s="1"/>
  <c r="AC182" i="1"/>
  <c r="AC179" i="1"/>
  <c r="AC170" i="1"/>
  <c r="AC165" i="1"/>
  <c r="AC161" i="1"/>
  <c r="AC159" i="1"/>
  <c r="AC156" i="1"/>
  <c r="AC152" i="1"/>
  <c r="AC150" i="1"/>
  <c r="E165" i="1"/>
  <c r="F165" i="1"/>
  <c r="G165" i="1"/>
  <c r="H165" i="1"/>
  <c r="I165" i="1"/>
  <c r="J165" i="1"/>
  <c r="K165" i="1"/>
  <c r="L165" i="1"/>
  <c r="M165" i="1"/>
  <c r="N165" i="1"/>
  <c r="O165" i="1"/>
  <c r="P165" i="1"/>
  <c r="Q165" i="1"/>
  <c r="R165" i="1"/>
  <c r="S165" i="1"/>
  <c r="T165" i="1"/>
  <c r="U165" i="1"/>
  <c r="V165" i="1"/>
  <c r="W165" i="1"/>
  <c r="X165" i="1"/>
  <c r="Y165" i="1"/>
  <c r="Z165" i="1"/>
  <c r="AA165" i="1"/>
  <c r="D165" i="1"/>
  <c r="E147" i="1"/>
  <c r="F147" i="1"/>
  <c r="G147" i="1"/>
  <c r="H147" i="1"/>
  <c r="I147" i="1"/>
  <c r="J147" i="1"/>
  <c r="K147" i="1"/>
  <c r="L147" i="1"/>
  <c r="M147" i="1"/>
  <c r="N147" i="1"/>
  <c r="O147" i="1"/>
  <c r="P147" i="1"/>
  <c r="Q147" i="1"/>
  <c r="R147" i="1"/>
  <c r="S147" i="1"/>
  <c r="T147" i="1"/>
  <c r="U147" i="1"/>
  <c r="V147" i="1"/>
  <c r="W147" i="1"/>
  <c r="X147" i="1"/>
  <c r="Y147" i="1"/>
  <c r="Z147" i="1"/>
  <c r="AA147" i="1"/>
  <c r="D147" i="1"/>
  <c r="AC147" i="1" s="1"/>
  <c r="AA167" i="1"/>
  <c r="Z167" i="1"/>
  <c r="Y167" i="1"/>
  <c r="X167" i="1"/>
  <c r="W167" i="1"/>
  <c r="V167" i="1"/>
  <c r="U167" i="1"/>
  <c r="T167" i="1"/>
  <c r="S167" i="1"/>
  <c r="R167" i="1"/>
  <c r="Q167" i="1"/>
  <c r="P167" i="1"/>
  <c r="O167" i="1"/>
  <c r="N167" i="1"/>
  <c r="M167" i="1"/>
  <c r="L167" i="1"/>
  <c r="K167" i="1"/>
  <c r="J167" i="1"/>
  <c r="I167" i="1"/>
  <c r="H167" i="1"/>
  <c r="G167" i="1"/>
  <c r="F167" i="1"/>
  <c r="E167" i="1"/>
  <c r="D167" i="1"/>
  <c r="AB167" i="1" s="1"/>
  <c r="AA158" i="1"/>
  <c r="Z158" i="1"/>
  <c r="Y158" i="1"/>
  <c r="X158" i="1"/>
  <c r="W158" i="1"/>
  <c r="V158" i="1"/>
  <c r="U158" i="1"/>
  <c r="T158" i="1"/>
  <c r="S158" i="1"/>
  <c r="R158" i="1"/>
  <c r="Q158" i="1"/>
  <c r="P158" i="1"/>
  <c r="O158" i="1"/>
  <c r="N158" i="1"/>
  <c r="M158" i="1"/>
  <c r="L158" i="1"/>
  <c r="K158" i="1"/>
  <c r="J158" i="1"/>
  <c r="I158" i="1"/>
  <c r="H158" i="1"/>
  <c r="G158" i="1"/>
  <c r="F158" i="1"/>
  <c r="E158" i="1"/>
  <c r="D158" i="1"/>
  <c r="AB158" i="1" s="1"/>
  <c r="AB156" i="1"/>
  <c r="AA149" i="1"/>
  <c r="Z149" i="1"/>
  <c r="Y149" i="1"/>
  <c r="X149" i="1"/>
  <c r="W149" i="1"/>
  <c r="V149" i="1"/>
  <c r="U149" i="1"/>
  <c r="T149" i="1"/>
  <c r="S149" i="1"/>
  <c r="R149" i="1"/>
  <c r="Q149" i="1"/>
  <c r="P149" i="1"/>
  <c r="O149" i="1"/>
  <c r="N149" i="1"/>
  <c r="M149" i="1"/>
  <c r="L149" i="1"/>
  <c r="K149" i="1"/>
  <c r="J149" i="1"/>
  <c r="I149" i="1"/>
  <c r="H149" i="1"/>
  <c r="G149" i="1"/>
  <c r="F149" i="1"/>
  <c r="E149" i="1"/>
  <c r="D149" i="1"/>
  <c r="AB149" i="1" s="1"/>
  <c r="AC168" i="1"/>
  <c r="AC143" i="1"/>
  <c r="AC141" i="1"/>
  <c r="E175" i="1"/>
  <c r="F175" i="1"/>
  <c r="G175" i="1"/>
  <c r="H175" i="1"/>
  <c r="I175" i="1"/>
  <c r="J175" i="1"/>
  <c r="K175" i="1"/>
  <c r="L175" i="1"/>
  <c r="M175" i="1"/>
  <c r="N175" i="1"/>
  <c r="O175" i="1"/>
  <c r="P175" i="1"/>
  <c r="Q175" i="1"/>
  <c r="R175" i="1"/>
  <c r="S175" i="1"/>
  <c r="T175" i="1"/>
  <c r="U175" i="1"/>
  <c r="V175" i="1"/>
  <c r="W175" i="1"/>
  <c r="X175" i="1"/>
  <c r="Y175" i="1"/>
  <c r="Z175" i="1"/>
  <c r="AA175" i="1"/>
  <c r="E140" i="1"/>
  <c r="F140" i="1"/>
  <c r="G140" i="1"/>
  <c r="H140" i="1"/>
  <c r="I140" i="1"/>
  <c r="J140" i="1"/>
  <c r="K140" i="1"/>
  <c r="L140" i="1"/>
  <c r="M140" i="1"/>
  <c r="N140" i="1"/>
  <c r="O140" i="1"/>
  <c r="P140" i="1"/>
  <c r="Q140" i="1"/>
  <c r="R140" i="1"/>
  <c r="S140" i="1"/>
  <c r="T140" i="1"/>
  <c r="U140" i="1"/>
  <c r="V140" i="1"/>
  <c r="W140" i="1"/>
  <c r="X140" i="1"/>
  <c r="Y140" i="1"/>
  <c r="Z140" i="1"/>
  <c r="AA140" i="1"/>
  <c r="E138" i="1"/>
  <c r="F138" i="1"/>
  <c r="G138" i="1"/>
  <c r="H138" i="1"/>
  <c r="I138" i="1"/>
  <c r="J138" i="1"/>
  <c r="K138" i="1"/>
  <c r="L138" i="1"/>
  <c r="M138" i="1"/>
  <c r="N138" i="1"/>
  <c r="O138" i="1"/>
  <c r="P138" i="1"/>
  <c r="Q138" i="1"/>
  <c r="R138" i="1"/>
  <c r="S138" i="1"/>
  <c r="T138" i="1"/>
  <c r="U138" i="1"/>
  <c r="V138" i="1"/>
  <c r="W138" i="1"/>
  <c r="X138" i="1"/>
  <c r="Y138" i="1"/>
  <c r="Z138" i="1"/>
  <c r="AA138" i="1"/>
  <c r="D18" i="1"/>
  <c r="E18" i="1"/>
  <c r="AB18" i="1"/>
  <c r="AB16" i="1"/>
  <c r="AB17" i="1"/>
  <c r="AB15" i="1"/>
  <c r="AB14" i="1"/>
  <c r="AB12" i="1"/>
  <c r="AB13" i="1"/>
  <c r="AB11" i="1"/>
  <c r="AB147" i="1" s="1"/>
  <c r="AB9" i="1"/>
  <c r="AB10" i="1"/>
  <c r="AB8" i="1"/>
  <c r="AB138" i="1" s="1"/>
  <c r="D138" i="1"/>
  <c r="AC138" i="1" s="1"/>
  <c r="D14" i="1"/>
  <c r="E14" i="1"/>
  <c r="E176" i="1"/>
  <c r="F176" i="1"/>
  <c r="G176" i="1"/>
  <c r="H176" i="1"/>
  <c r="I176" i="1"/>
  <c r="J176" i="1"/>
  <c r="K176" i="1"/>
  <c r="L176" i="1"/>
  <c r="M176" i="1"/>
  <c r="N176" i="1"/>
  <c r="O176" i="1"/>
  <c r="P176" i="1"/>
  <c r="Q176" i="1"/>
  <c r="R176" i="1"/>
  <c r="S176" i="1"/>
  <c r="T176" i="1"/>
  <c r="U176" i="1"/>
  <c r="V176" i="1"/>
  <c r="W176" i="1"/>
  <c r="X176" i="1"/>
  <c r="Y176" i="1"/>
  <c r="Z176" i="1"/>
  <c r="AA176" i="1"/>
  <c r="E177" i="1"/>
  <c r="F177" i="1"/>
  <c r="G177" i="1"/>
  <c r="H177" i="1"/>
  <c r="I177" i="1"/>
  <c r="J177" i="1"/>
  <c r="K177" i="1"/>
  <c r="L177" i="1"/>
  <c r="M177" i="1"/>
  <c r="N177" i="1"/>
  <c r="O177" i="1"/>
  <c r="P177" i="1"/>
  <c r="Q177" i="1"/>
  <c r="R177" i="1"/>
  <c r="S177" i="1"/>
  <c r="T177" i="1"/>
  <c r="U177" i="1"/>
  <c r="V177" i="1"/>
  <c r="W177" i="1"/>
  <c r="X177" i="1"/>
  <c r="Y177" i="1"/>
  <c r="Z177" i="1"/>
  <c r="AA177" i="1"/>
  <c r="D177" i="1"/>
  <c r="D176" i="1"/>
  <c r="D175" i="1"/>
  <c r="AB157" i="1"/>
  <c r="AB159" i="1"/>
  <c r="AB160" i="1"/>
  <c r="AB161" i="1"/>
  <c r="AB162" i="1"/>
  <c r="AB163" i="1"/>
  <c r="AB164" i="1"/>
  <c r="AB166" i="1"/>
  <c r="AB168" i="1"/>
  <c r="AB169" i="1"/>
  <c r="AB170" i="1"/>
  <c r="AB171" i="1"/>
  <c r="AB172" i="1"/>
  <c r="AB173" i="1"/>
  <c r="AB155" i="1"/>
  <c r="AB148" i="1"/>
  <c r="AB150" i="1"/>
  <c r="AB151" i="1"/>
  <c r="AB152" i="1"/>
  <c r="AB153" i="1"/>
  <c r="AB154" i="1"/>
  <c r="AB146" i="1"/>
  <c r="D140" i="1"/>
  <c r="AB141" i="1"/>
  <c r="AB142" i="1"/>
  <c r="AB143" i="1"/>
  <c r="AB144" i="1"/>
  <c r="AB145"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1" i="1"/>
  <c r="Y131" i="1"/>
  <c r="W131" i="1"/>
  <c r="U131" i="1"/>
  <c r="S131" i="1"/>
  <c r="Q131" i="1"/>
  <c r="O131" i="1"/>
  <c r="M131" i="1"/>
  <c r="AA117" i="1"/>
  <c r="Y117" i="1"/>
  <c r="W117" i="1"/>
  <c r="U117" i="1"/>
  <c r="S117" i="1"/>
  <c r="Q117" i="1"/>
  <c r="O117" i="1"/>
  <c r="M117" i="1"/>
  <c r="AA124" i="1"/>
  <c r="Y124" i="1"/>
  <c r="W124" i="1"/>
  <c r="U124" i="1"/>
  <c r="S124" i="1"/>
  <c r="Q124" i="1"/>
  <c r="O124" i="1"/>
  <c r="M124" i="1"/>
  <c r="AC122" i="1" s="1"/>
  <c r="F14" i="1"/>
  <c r="AB165" i="1" l="1"/>
  <c r="AD147" i="1"/>
  <c r="AD165" i="1"/>
  <c r="AD156" i="1"/>
  <c r="AC176" i="1"/>
  <c r="AD138" i="1"/>
  <c r="AC174" i="1"/>
  <c r="AB140" i="1"/>
  <c r="AC129" i="1"/>
  <c r="AC115" i="1"/>
  <c r="AB131" i="1"/>
  <c r="AB117" i="1"/>
  <c r="AE14" i="1"/>
  <c r="AF8" i="1" s="1"/>
  <c r="AB124" i="1"/>
  <c r="AC16" i="1"/>
  <c r="AC15" i="1"/>
  <c r="AC12" i="1"/>
  <c r="AC11" i="1"/>
  <c r="G18" i="1"/>
  <c r="H18" i="1"/>
  <c r="I18" i="1"/>
  <c r="J18" i="1"/>
  <c r="K18" i="1"/>
  <c r="L18" i="1"/>
  <c r="M18" i="1"/>
  <c r="N18" i="1"/>
  <c r="O18" i="1"/>
  <c r="P18" i="1"/>
  <c r="Q18" i="1"/>
  <c r="R18" i="1"/>
  <c r="S18" i="1"/>
  <c r="T18" i="1"/>
  <c r="U18" i="1"/>
  <c r="V18" i="1"/>
  <c r="W18" i="1"/>
  <c r="X18" i="1"/>
  <c r="Y18" i="1"/>
  <c r="Z18" i="1"/>
  <c r="AA18" i="1"/>
  <c r="F18" i="1"/>
  <c r="AE230" i="1" l="1"/>
  <c r="AC210" i="1"/>
  <c r="F314" i="1" l="1"/>
  <c r="G314" i="1"/>
  <c r="H314" i="1"/>
  <c r="I314" i="1"/>
  <c r="J314" i="1"/>
  <c r="K314" i="1"/>
  <c r="L314" i="1"/>
  <c r="M314" i="1"/>
  <c r="O314" i="1"/>
  <c r="P314" i="1"/>
  <c r="Q314" i="1"/>
  <c r="R314" i="1"/>
  <c r="S314" i="1"/>
  <c r="T314" i="1"/>
  <c r="U314" i="1"/>
  <c r="V314" i="1"/>
  <c r="W314" i="1"/>
  <c r="X314" i="1"/>
  <c r="Y314" i="1"/>
  <c r="Z314" i="1"/>
  <c r="AA314" i="1"/>
  <c r="AC320" i="1"/>
  <c r="AC99" i="1"/>
  <c r="AE319" i="1"/>
  <c r="AC317" i="1"/>
  <c r="AC315" i="1"/>
  <c r="AC312" i="1"/>
  <c r="AC298" i="1"/>
  <c r="F250" i="4"/>
  <c r="AE237" i="1"/>
  <c r="AC237" i="1"/>
  <c r="E252" i="1"/>
  <c r="F252" i="1"/>
  <c r="G252" i="1"/>
  <c r="H252" i="1"/>
  <c r="I252" i="1"/>
  <c r="J252" i="1"/>
  <c r="K252" i="1"/>
  <c r="L252" i="1"/>
  <c r="M252" i="1"/>
  <c r="N252" i="1"/>
  <c r="O252" i="1"/>
  <c r="P252" i="1"/>
  <c r="Q252" i="1"/>
  <c r="R252" i="1"/>
  <c r="S252" i="1"/>
  <c r="T252" i="1"/>
  <c r="U252" i="1"/>
  <c r="V252" i="1"/>
  <c r="W252" i="1"/>
  <c r="X252" i="1"/>
  <c r="Y252" i="1"/>
  <c r="Z252" i="1"/>
  <c r="AA252" i="1"/>
  <c r="AC268" i="1"/>
  <c r="AC267" i="1"/>
  <c r="AB270" i="1" l="1"/>
  <c r="AB271" i="1"/>
  <c r="AB273" i="1"/>
  <c r="AB274" i="1"/>
  <c r="AB275" i="1"/>
  <c r="AB277" i="1"/>
  <c r="AB266" i="1"/>
  <c r="AB267" i="1"/>
  <c r="AB268" i="1"/>
  <c r="AB276" i="1" l="1"/>
  <c r="AC276" i="1"/>
  <c r="E265" i="1" l="1"/>
  <c r="F265" i="1"/>
  <c r="G265" i="1"/>
  <c r="H265" i="1"/>
  <c r="I265" i="1"/>
  <c r="J265" i="1"/>
  <c r="K265" i="1"/>
  <c r="L265" i="1"/>
  <c r="M265" i="1"/>
  <c r="N265" i="1"/>
  <c r="O265" i="1"/>
  <c r="P265" i="1"/>
  <c r="Q265" i="1"/>
  <c r="R265" i="1"/>
  <c r="S265" i="1"/>
  <c r="T265" i="1"/>
  <c r="U265" i="1"/>
  <c r="V265" i="1"/>
  <c r="W265" i="1"/>
  <c r="X265" i="1"/>
  <c r="Y265" i="1"/>
  <c r="Z265" i="1"/>
  <c r="AA265" i="1"/>
  <c r="D252" i="1"/>
  <c r="AC103" i="1" s="1"/>
  <c r="AB244" i="1"/>
  <c r="AB245" i="1"/>
  <c r="AB246" i="1"/>
  <c r="AB247" i="1"/>
  <c r="AB248" i="1"/>
  <c r="AB249" i="1"/>
  <c r="F243" i="1"/>
  <c r="G243" i="1"/>
  <c r="H243" i="1"/>
  <c r="I243" i="1"/>
  <c r="J243" i="1"/>
  <c r="K243" i="1"/>
  <c r="L243" i="1"/>
  <c r="M243" i="1"/>
  <c r="N243" i="1"/>
  <c r="O243" i="1"/>
  <c r="P243" i="1"/>
  <c r="Q243" i="1"/>
  <c r="R243" i="1"/>
  <c r="S243" i="1"/>
  <c r="T243" i="1"/>
  <c r="U243" i="1"/>
  <c r="V243" i="1"/>
  <c r="W243" i="1"/>
  <c r="X243" i="1"/>
  <c r="Y243" i="1"/>
  <c r="Z243" i="1"/>
  <c r="AA243" i="1"/>
  <c r="AC251" i="1" l="1"/>
  <c r="AC235" i="1"/>
  <c r="AC234" i="1"/>
  <c r="AC232" i="1"/>
  <c r="AC231" i="1"/>
  <c r="AE231" i="1"/>
  <c r="AE229" i="1"/>
  <c r="AE227" i="1" l="1"/>
  <c r="AE226" i="1"/>
  <c r="AC193" i="1"/>
  <c r="D216" i="1"/>
  <c r="D219" i="1"/>
  <c r="AE218" i="1"/>
  <c r="AE217" i="1"/>
  <c r="AC217" i="1"/>
  <c r="AC218" i="1"/>
  <c r="AC215" i="1"/>
  <c r="AC214" i="1"/>
  <c r="AC212" i="1"/>
  <c r="E219" i="1"/>
  <c r="E216" i="1"/>
  <c r="AC208" i="1"/>
  <c r="AC206" i="1"/>
  <c r="AC204" i="1"/>
  <c r="AC219" i="1" l="1"/>
  <c r="AE219" i="1"/>
  <c r="AF214" i="1" s="1"/>
  <c r="AB219" i="1"/>
  <c r="AE193" i="1" l="1"/>
  <c r="AF192" i="1" s="1"/>
  <c r="AC200" i="1"/>
  <c r="AC198" i="1"/>
  <c r="AC101" i="1"/>
  <c r="AC100" i="1"/>
  <c r="K77" i="1"/>
  <c r="L77" i="1"/>
  <c r="M77" i="1"/>
  <c r="N77" i="1"/>
  <c r="O77" i="1"/>
  <c r="P77" i="1"/>
  <c r="Q77" i="1"/>
  <c r="R77" i="1"/>
  <c r="S77" i="1"/>
  <c r="T77" i="1"/>
  <c r="U77" i="1"/>
  <c r="V77" i="1"/>
  <c r="W77" i="1"/>
  <c r="X77" i="1"/>
  <c r="Y77" i="1"/>
  <c r="Z77" i="1"/>
  <c r="AA77" i="1"/>
  <c r="J77" i="1"/>
  <c r="K66" i="1"/>
  <c r="L66" i="1"/>
  <c r="M66" i="1"/>
  <c r="N66" i="1"/>
  <c r="O66" i="1"/>
  <c r="P66" i="1"/>
  <c r="Q66" i="1"/>
  <c r="R66" i="1"/>
  <c r="S66" i="1"/>
  <c r="T66" i="1"/>
  <c r="U66" i="1"/>
  <c r="V66" i="1"/>
  <c r="W66" i="1"/>
  <c r="X66" i="1"/>
  <c r="Y66" i="1"/>
  <c r="Z66" i="1"/>
  <c r="AA66" i="1"/>
  <c r="AC63" i="1"/>
  <c r="AC62" i="1"/>
  <c r="AC47" i="1"/>
  <c r="AC45" i="1"/>
  <c r="AC43" i="1"/>
  <c r="AC41" i="1"/>
  <c r="AC39" i="1"/>
  <c r="AC37" i="1"/>
  <c r="AC35" i="1"/>
  <c r="AC33" i="1"/>
  <c r="AC26" i="1"/>
  <c r="AE24" i="1"/>
  <c r="AC9" i="1"/>
  <c r="AC8" i="1"/>
  <c r="AC22" i="1"/>
  <c r="AC86" i="1" l="1"/>
  <c r="AC76" i="1"/>
  <c r="AC73" i="1"/>
  <c r="AB282" i="1" l="1"/>
  <c r="D280" i="1"/>
  <c r="AB278" i="1"/>
  <c r="E269" i="1"/>
  <c r="E272" i="1" s="1"/>
  <c r="F269" i="1"/>
  <c r="F272" i="1" s="1"/>
  <c r="G269" i="1"/>
  <c r="G272" i="1" s="1"/>
  <c r="H269" i="1"/>
  <c r="H272" i="1" s="1"/>
  <c r="I269" i="1"/>
  <c r="J269" i="1"/>
  <c r="J272" i="1" s="1"/>
  <c r="K269" i="1"/>
  <c r="K272" i="1" s="1"/>
  <c r="L269" i="1"/>
  <c r="L272" i="1" s="1"/>
  <c r="M269" i="1"/>
  <c r="M272" i="1" s="1"/>
  <c r="N269" i="1"/>
  <c r="N272" i="1" s="1"/>
  <c r="O269" i="1"/>
  <c r="O272" i="1" s="1"/>
  <c r="P269" i="1"/>
  <c r="P272" i="1" s="1"/>
  <c r="Q269" i="1"/>
  <c r="Q272" i="1" s="1"/>
  <c r="R269" i="1"/>
  <c r="R272" i="1" s="1"/>
  <c r="S269" i="1"/>
  <c r="S272" i="1" s="1"/>
  <c r="T269" i="1"/>
  <c r="T272" i="1" s="1"/>
  <c r="U269" i="1"/>
  <c r="U272" i="1" s="1"/>
  <c r="V269" i="1"/>
  <c r="V272" i="1" s="1"/>
  <c r="W269" i="1"/>
  <c r="W272" i="1" s="1"/>
  <c r="X269" i="1"/>
  <c r="X272" i="1" s="1"/>
  <c r="Y269" i="1"/>
  <c r="Y272" i="1" s="1"/>
  <c r="Z269" i="1"/>
  <c r="Z272" i="1" s="1"/>
  <c r="AA269" i="1"/>
  <c r="AA272" i="1" s="1"/>
  <c r="D269" i="1"/>
  <c r="AB279" i="1"/>
  <c r="J66" i="1"/>
  <c r="AC66" i="1" s="1"/>
  <c r="D243" i="1"/>
  <c r="AC222" i="1" s="1"/>
  <c r="AB251" i="1"/>
  <c r="AC77" i="1" l="1"/>
  <c r="I272" i="1"/>
  <c r="D272" i="1"/>
  <c r="AB269" i="1"/>
  <c r="AB283" i="1"/>
  <c r="AB280" i="1"/>
  <c r="AB272" i="1" l="1"/>
  <c r="AC272" i="1"/>
  <c r="AC280" i="1"/>
  <c r="AC277" i="1"/>
  <c r="AE272" i="1"/>
  <c r="AF267" i="1" s="1"/>
  <c r="AB315" i="1"/>
  <c r="AB317" i="1"/>
  <c r="AB319" i="1"/>
  <c r="AB320" i="1"/>
  <c r="F321" i="1"/>
  <c r="G321" i="1"/>
  <c r="H321" i="1"/>
  <c r="I321" i="1"/>
  <c r="J321" i="1"/>
  <c r="K321" i="1"/>
  <c r="L321" i="1"/>
  <c r="M321" i="1"/>
  <c r="N321" i="1"/>
  <c r="O321" i="1"/>
  <c r="P321" i="1"/>
  <c r="Q321" i="1"/>
  <c r="R321" i="1"/>
  <c r="S321" i="1"/>
  <c r="T321" i="1"/>
  <c r="U321" i="1"/>
  <c r="V321" i="1"/>
  <c r="W321" i="1"/>
  <c r="X321" i="1"/>
  <c r="Y321" i="1"/>
  <c r="Z321" i="1"/>
  <c r="AA321" i="1"/>
  <c r="F318" i="1"/>
  <c r="G318" i="1"/>
  <c r="H318" i="1"/>
  <c r="I318" i="1"/>
  <c r="J318" i="1"/>
  <c r="K318" i="1"/>
  <c r="L318" i="1"/>
  <c r="M318" i="1"/>
  <c r="N318" i="1"/>
  <c r="O318" i="1"/>
  <c r="P318" i="1"/>
  <c r="Q318" i="1"/>
  <c r="R318" i="1"/>
  <c r="S318" i="1"/>
  <c r="T318" i="1"/>
  <c r="U318" i="1"/>
  <c r="V318" i="1"/>
  <c r="X318" i="1"/>
  <c r="Y318" i="1"/>
  <c r="Z318" i="1"/>
  <c r="AA318" i="1"/>
  <c r="F316" i="1"/>
  <c r="AC316" i="1" s="1"/>
  <c r="N314" i="1"/>
  <c r="AE314" i="1" s="1"/>
  <c r="AB313" i="1"/>
  <c r="AB312" i="1"/>
  <c r="AB139" i="1"/>
  <c r="AB174" i="1"/>
  <c r="AB222" i="1"/>
  <c r="AB211" i="1"/>
  <c r="AB212" i="1"/>
  <c r="AB213" i="1"/>
  <c r="AB214" i="1"/>
  <c r="AB215" i="1"/>
  <c r="AB217" i="1"/>
  <c r="AB218" i="1"/>
  <c r="AB220" i="1"/>
  <c r="AB221" i="1"/>
  <c r="AB200" i="1"/>
  <c r="AB201" i="1"/>
  <c r="AB202" i="1"/>
  <c r="AB203" i="1"/>
  <c r="AB206" i="1"/>
  <c r="AB207" i="1"/>
  <c r="AB208" i="1"/>
  <c r="AB209" i="1"/>
  <c r="AB210" i="1"/>
  <c r="AB198" i="1"/>
  <c r="AB216" i="1"/>
  <c r="AD267" i="1" l="1"/>
  <c r="AF312" i="1"/>
  <c r="AC321" i="1"/>
  <c r="AD312" i="1" s="1"/>
  <c r="AB314" i="1"/>
  <c r="AB316" i="1"/>
  <c r="AB321" i="1"/>
  <c r="AB318" i="1"/>
  <c r="Y228" i="1"/>
  <c r="W228" i="1"/>
  <c r="U228" i="1"/>
  <c r="S228" i="1"/>
  <c r="Q228" i="1"/>
  <c r="O228" i="1"/>
  <c r="M228" i="1"/>
  <c r="K228" i="1"/>
  <c r="Y197" i="1" l="1"/>
  <c r="W197" i="1"/>
  <c r="U197" i="1"/>
  <c r="S197" i="1"/>
  <c r="Q197" i="1"/>
  <c r="O197" i="1"/>
  <c r="M197" i="1"/>
  <c r="K197" i="1"/>
  <c r="Y196" i="1"/>
  <c r="W196" i="1"/>
  <c r="U196" i="1"/>
  <c r="S196" i="1"/>
  <c r="Q196" i="1"/>
  <c r="O196" i="1"/>
  <c r="M196" i="1"/>
  <c r="K196" i="1"/>
  <c r="AB196" i="1" l="1"/>
  <c r="AB197" i="1"/>
  <c r="F50" i="1"/>
  <c r="AB299" i="1" l="1"/>
  <c r="AB300" i="1"/>
  <c r="AB301" i="1"/>
  <c r="AB302" i="1"/>
  <c r="D303" i="1" l="1"/>
  <c r="E303" i="1"/>
  <c r="F303" i="1"/>
  <c r="G303" i="1"/>
  <c r="H303" i="1"/>
  <c r="I303" i="1"/>
  <c r="J303" i="1"/>
  <c r="K303" i="1"/>
  <c r="L303" i="1"/>
  <c r="M303" i="1"/>
  <c r="N303" i="1"/>
  <c r="O303" i="1"/>
  <c r="P303" i="1"/>
  <c r="Q303" i="1"/>
  <c r="R303" i="1"/>
  <c r="S303" i="1"/>
  <c r="T303" i="1"/>
  <c r="U303" i="1"/>
  <c r="V303" i="1"/>
  <c r="W303" i="1"/>
  <c r="X303" i="1"/>
  <c r="Y303" i="1"/>
  <c r="Z303" i="1"/>
  <c r="AA303" i="1"/>
  <c r="AF292" i="1" l="1"/>
  <c r="AB250" i="1" l="1"/>
  <c r="AB253" i="1"/>
  <c r="AB254" i="1"/>
  <c r="AB255" i="1"/>
  <c r="AB256" i="1"/>
  <c r="AB257" i="1"/>
  <c r="AB258" i="1"/>
  <c r="AB259" i="1"/>
  <c r="AB260" i="1"/>
  <c r="AB261" i="1"/>
  <c r="AB262" i="1"/>
  <c r="AB263" i="1"/>
  <c r="AB264" i="1"/>
  <c r="AB292" i="1"/>
  <c r="AB293" i="1"/>
  <c r="AB294" i="1"/>
  <c r="AB295" i="1"/>
  <c r="AB296" i="1"/>
  <c r="AB297" i="1"/>
  <c r="AB298" i="1"/>
  <c r="D265" i="1"/>
  <c r="AC252" i="1" l="1"/>
  <c r="AB265" i="1"/>
  <c r="AB252" i="1"/>
  <c r="AC243" i="1"/>
  <c r="AF54" i="1" l="1"/>
  <c r="AF99" i="1"/>
  <c r="AF114" i="1"/>
  <c r="AF138" i="1"/>
  <c r="AE34" i="1"/>
  <c r="AD54" i="1"/>
  <c r="AB243" i="1"/>
  <c r="AB303" i="1"/>
  <c r="AB304" i="1"/>
  <c r="AB305" i="1"/>
  <c r="AB306" i="1"/>
  <c r="AB307" i="1"/>
  <c r="AB308" i="1"/>
  <c r="AB309" i="1"/>
  <c r="AB310" i="1"/>
  <c r="AB227" i="1"/>
  <c r="AB233" i="1"/>
  <c r="AB236" i="1"/>
  <c r="AB237" i="1"/>
  <c r="AB238" i="1"/>
  <c r="AB239" i="1"/>
  <c r="AB226" i="1"/>
  <c r="AB193" i="1"/>
  <c r="AB194" i="1"/>
  <c r="AB195" i="1"/>
  <c r="AB199" i="1"/>
  <c r="AB192" i="1"/>
  <c r="AB175" i="1"/>
  <c r="AB177" i="1"/>
  <c r="AB178" i="1"/>
  <c r="AC178" i="1" s="1"/>
  <c r="AB179" i="1"/>
  <c r="AC180" i="1" s="1"/>
  <c r="AB180" i="1"/>
  <c r="AB181" i="1"/>
  <c r="AB182" i="1"/>
  <c r="AB183" i="1"/>
  <c r="AB184" i="1"/>
  <c r="AB185" i="1"/>
  <c r="AB186" i="1"/>
  <c r="AB187" i="1"/>
  <c r="AB188" i="1"/>
  <c r="AB115" i="1"/>
  <c r="AB116" i="1"/>
  <c r="AB118" i="1"/>
  <c r="AB119" i="1"/>
  <c r="AB120" i="1"/>
  <c r="AB121" i="1"/>
  <c r="AB122" i="1"/>
  <c r="AB123" i="1"/>
  <c r="AB125" i="1"/>
  <c r="AB126" i="1"/>
  <c r="AB127" i="1"/>
  <c r="AB128" i="1"/>
  <c r="AB129" i="1"/>
  <c r="AB130" i="1"/>
  <c r="AB132" i="1"/>
  <c r="AB133" i="1"/>
  <c r="AB134" i="1"/>
  <c r="AB114" i="1"/>
  <c r="AB58" i="1"/>
  <c r="AB55" i="1"/>
  <c r="AB56" i="1"/>
  <c r="AB57" i="1"/>
  <c r="AB54" i="1"/>
  <c r="AB65" i="1"/>
  <c r="AB66" i="1"/>
  <c r="AB84" i="1"/>
  <c r="AB85" i="1"/>
  <c r="AB86" i="1"/>
  <c r="AB87" i="1"/>
  <c r="AB88" i="1"/>
  <c r="AB89" i="1"/>
  <c r="AB90" i="1"/>
  <c r="AB91" i="1"/>
  <c r="AB92" i="1"/>
  <c r="AB93" i="1"/>
  <c r="AB62" i="1"/>
  <c r="AB100" i="1"/>
  <c r="AB101" i="1"/>
  <c r="AB102" i="1"/>
  <c r="AB103" i="1"/>
  <c r="AB104" i="1"/>
  <c r="AB105" i="1"/>
  <c r="AB106" i="1"/>
  <c r="AB107" i="1"/>
  <c r="AB108" i="1"/>
  <c r="AB109" i="1"/>
  <c r="AB110" i="1"/>
  <c r="AB99"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D8" i="1" l="1"/>
  <c r="AC216" i="1"/>
  <c r="AD214" i="1" s="1"/>
  <c r="AC227" i="1"/>
  <c r="AC192" i="1"/>
  <c r="AD192" i="1" s="1"/>
  <c r="AE66" i="1"/>
  <c r="AF62" i="1" s="1"/>
  <c r="AC195" i="1"/>
  <c r="AC49" i="1"/>
  <c r="AC188" i="1"/>
  <c r="AE47" i="1"/>
  <c r="AC84" i="1"/>
  <c r="AD62" i="1" s="1"/>
  <c r="AE31" i="1"/>
  <c r="AC250" i="1"/>
  <c r="AD243" i="1" s="1"/>
  <c r="AE45" i="1"/>
  <c r="AE41" i="1"/>
  <c r="AE37" i="1"/>
  <c r="AC183" i="1"/>
  <c r="AC238" i="1"/>
  <c r="AC187" i="1"/>
  <c r="AC31" i="1"/>
  <c r="AD292" i="1"/>
  <c r="AE43" i="1"/>
  <c r="AE35" i="1"/>
  <c r="AB50" i="1"/>
  <c r="AB49" i="1"/>
  <c r="AC185" i="1"/>
  <c r="AC202" i="1"/>
  <c r="AC239" i="1"/>
  <c r="AE233" i="1"/>
  <c r="AC194" i="1"/>
  <c r="AE33" i="1"/>
  <c r="AC102" i="1"/>
  <c r="AD99" i="1" s="1"/>
  <c r="AE50" i="1"/>
  <c r="AE26" i="1"/>
  <c r="AE238" i="1"/>
  <c r="AE39" i="1"/>
  <c r="AE49" i="1"/>
  <c r="AE250" i="1"/>
  <c r="AF243" i="1" s="1"/>
  <c r="AE239" i="1"/>
  <c r="AC233" i="1"/>
  <c r="AD174" i="1" l="1"/>
  <c r="AF226" i="1"/>
  <c r="AD226" i="1"/>
  <c r="AD22" i="1"/>
  <c r="AD114" i="1"/>
  <c r="AF22" i="1"/>
  <c r="A348" i="1" s="1"/>
  <c r="AF6" i="1" s="1"/>
  <c r="A326" i="1" l="1"/>
  <c r="AD6" i="1" s="1"/>
  <c r="M326" i="1" l="1"/>
</calcChain>
</file>

<file path=xl/sharedStrings.xml><?xml version="1.0" encoding="utf-8"?>
<sst xmlns="http://schemas.openxmlformats.org/spreadsheetml/2006/main" count="2288" uniqueCount="1053">
  <si>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</si>
  <si>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</si>
  <si>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</si>
  <si>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</si>
  <si>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</si>
  <si>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</si>
  <si>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</si>
  <si>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</si>
  <si>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</si>
  <si>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</si>
  <si>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</si>
  <si>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</si>
  <si>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</si>
  <si>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</si>
  <si>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</si>
  <si>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</si>
  <si>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</si>
  <si>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</si>
  <si>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</si>
  <si>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</si>
  <si>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</si>
  <si>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</si>
  <si>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</si>
  <si>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</si>
  <si>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</si>
  <si>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</si>
  <si>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</si>
  <si>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</si>
  <si>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</si>
  <si>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</si>
  <si>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</si>
  <si>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</si>
  <si>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</si>
  <si>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</si>
  <si>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</si>
  <si>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</si>
  <si>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</si>
  <si>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</si>
  <si>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</si>
  <si>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</si>
  <si>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</si>
  <si>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</si>
  <si>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</si>
  <si>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</si>
  <si>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</si>
  <si>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</si>
  <si>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</si>
  <si>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</si>
  <si>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</si>
  <si>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</si>
  <si>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</si>
  <si>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</si>
  <si>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</si>
  <si>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</si>
  <si>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</si>
  <si>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</si>
  <si>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</si>
  <si>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</si>
  <si>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</si>
  <si>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</si>
  <si>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</si>
  <si>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</si>
  <si>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</si>
  <si>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</si>
  <si>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</si>
  <si>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</si>
  <si>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</si>
  <si>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</si>
  <si>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</si>
  <si>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</si>
  <si>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</si>
  <si>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</si>
  <si>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</si>
  <si>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</si>
  <si>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</si>
  <si>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</si>
  <si>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</si>
  <si>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</si>
  <si>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</si>
  <si>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</si>
  <si>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</si>
  <si>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</si>
  <si>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</si>
  <si>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</si>
  <si>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</si>
  <si>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</si>
  <si>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</si>
  <si>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</si>
  <si>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</si>
  <si>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</si>
  <si>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</si>
  <si>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</si>
  <si>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</si>
  <si>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</si>
  <si>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</si>
  <si>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</si>
  <si>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</si>
  <si>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</si>
  <si>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</si>
  <si>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</si>
  <si>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</si>
  <si>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</si>
  <si>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</si>
  <si>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</si>
  <si>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</si>
  <si>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</si>
  <si>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</si>
  <si>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</si>
  <si>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</si>
  <si>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</si>
  <si>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</si>
  <si>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</si>
  <si>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</si>
  <si>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</si>
  <si>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</si>
  <si>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</si>
  <si>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</si>
  <si>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</si>
  <si>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</si>
  <si>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</si>
  <si>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</si>
  <si>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</si>
  <si>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</si>
  <si>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</si>
  <si>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</si>
  <si>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</si>
  <si>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</si>
  <si>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</si>
  <si>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</si>
  <si>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</si>
  <si>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</si>
  <si>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</si>
  <si>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</si>
  <si>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</si>
  <si>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</si>
  <si>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</si>
  <si>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</si>
  <si>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</si>
  <si>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</si>
  <si>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</si>
  <si>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</si>
  <si>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</si>
  <si>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</si>
  <si>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</si>
  <si>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</si>
  <si>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</si>
  <si>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</si>
  <si>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</si>
  <si>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</si>
  <si>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</si>
  <si>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</si>
  <si>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</si>
  <si>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</si>
  <si>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</si>
  <si>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</si>
  <si>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</si>
  <si>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</si>
  <si>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</si>
  <si>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</si>
  <si>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</si>
  <si>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</si>
  <si>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</si>
  <si>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</si>
  <si>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</si>
  <si>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</si>
  <si>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</si>
  <si>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</si>
  <si>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</si>
  <si>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</si>
  <si>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</si>
  <si>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</si>
  <si>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</si>
  <si>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</si>
  <si>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</si>
  <si>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</si>
  <si>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</si>
  <si>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</si>
  <si>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</si>
  <si>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</si>
  <si>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</si>
  <si>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</si>
  <si>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</si>
  <si>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</si>
  <si>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</si>
  <si>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</si>
  <si>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</si>
  <si>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</si>
  <si>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</si>
  <si>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</si>
  <si>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</si>
  <si>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</si>
  <si>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</si>
  <si>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</si>
  <si>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</si>
  <si>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</si>
  <si>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</si>
  <si>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</si>
  <si>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</si>
  <si>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</si>
  <si>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</si>
  <si>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</si>
  <si>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</si>
  <si>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</si>
  <si>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</si>
  <si>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</si>
  <si>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</si>
  <si>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</si>
  <si>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</si>
  <si>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</si>
  <si>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</si>
  <si>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</si>
  <si>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</si>
  <si>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</si>
  <si>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</si>
  <si>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</si>
  <si>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</si>
  <si>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</si>
  <si>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</si>
  <si>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</si>
  <si>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</si>
  <si>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</si>
  <si>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</si>
  <si>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</si>
  <si>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</si>
  <si>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</si>
  <si>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</si>
  <si>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</si>
  <si>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</si>
  <si>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</si>
  <si>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</si>
  <si>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</si>
  <si>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</si>
  <si>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</si>
  <si>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</si>
  <si>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</si>
  <si>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</si>
  <si>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</si>
  <si>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</si>
  <si>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</si>
  <si>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</si>
  <si>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</si>
  <si>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</si>
  <si>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</si>
  <si>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</si>
  <si>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</si>
  <si>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</si>
  <si>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</si>
  <si>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</si>
  <si>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</si>
  <si>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</si>
  <si>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</si>
  <si>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</si>
  <si>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</si>
  <si>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</si>
  <si>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</si>
  <si>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</si>
  <si>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</si>
  <si>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</si>
  <si>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</si>
  <si>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</si>
  <si>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</si>
  <si>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</si>
  <si>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</si>
  <si>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</si>
  <si>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</si>
  <si>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</si>
  <si>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</si>
  <si>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</si>
  <si>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</si>
  <si>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</si>
  <si>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</si>
  <si>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</si>
  <si>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</si>
  <si>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</si>
  <si>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</si>
  <si>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</si>
  <si>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</si>
  <si>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</si>
  <si>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</si>
  <si>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</si>
  <si>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</si>
  <si>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</si>
  <si>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</si>
  <si>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</si>
  <si>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</si>
  <si>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</si>
  <si>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</si>
  <si>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</si>
  <si>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</si>
  <si>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</si>
  <si>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</si>
  <si>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</si>
  <si>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</si>
  <si>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</si>
  <si>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</si>
  <si>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</si>
  <si>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</si>
  <si>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</si>
  <si>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</si>
  <si>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</si>
  <si>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</si>
  <si>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</si>
  <si>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</si>
  <si>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</si>
  <si>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</si>
  <si>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</si>
  <si>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</si>
  <si>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</si>
  <si>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</si>
  <si>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</si>
  <si>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</si>
  <si>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</si>
  <si>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</si>
  <si>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</si>
  <si>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</si>
  <si>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</si>
  <si>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</si>
  <si>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</si>
  <si>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</si>
  <si>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</si>
  <si>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</si>
  <si>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</si>
  <si>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</si>
  <si>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</si>
  <si>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</si>
  <si>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</si>
  <si>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</si>
  <si>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</si>
  <si>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</si>
  <si>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</si>
  <si>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</si>
  <si>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</si>
  <si>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</si>
  <si>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</si>
  <si>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</si>
  <si>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</si>
  <si>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</si>
  <si>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</si>
  <si>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</si>
  <si>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</si>
  <si>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</si>
  <si>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</si>
  <si>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</si>
  <si>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</si>
  <si>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</si>
  <si>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</si>
  <si>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</si>
  <si>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</si>
  <si>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</si>
  <si>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</si>
  <si>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</si>
  <si>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</si>
  <si>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</si>
  <si>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</si>
  <si>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</si>
  <si>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</si>
  <si>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</si>
  <si>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</si>
  <si>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</si>
  <si>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</si>
  <si>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</si>
  <si>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</si>
  <si>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</si>
  <si>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</si>
  <si>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</si>
  <si>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</si>
  <si>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</si>
  <si>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</si>
  <si>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</si>
  <si>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</si>
  <si>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</si>
  <si>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</si>
  <si>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</si>
  <si>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</si>
  <si>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</si>
  <si>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</si>
  <si>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</si>
  <si>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</si>
  <si>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</si>
  <si>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</si>
  <si>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</si>
  <si>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</si>
  <si>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</si>
  <si>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</si>
  <si>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</si>
  <si>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</si>
  <si>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</si>
  <si>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</si>
  <si>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</si>
  <si>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</si>
  <si>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</si>
  <si>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</si>
  <si>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</si>
  <si>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</si>
  <si>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</si>
  <si>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</si>
  <si>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</si>
  <si>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</si>
  <si>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</si>
  <si>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</si>
  <si>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</si>
  <si>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</si>
  <si>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</si>
  <si>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</si>
  <si>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</si>
  <si>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</si>
  <si>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</si>
  <si>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</si>
  <si>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</si>
  <si>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</si>
  <si>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</si>
  <si>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</si>
  <si>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</si>
  <si>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</si>
  <si>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</si>
  <si>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</si>
  <si>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</si>
  <si>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</si>
  <si>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</si>
  <si>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</si>
  <si>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</si>
  <si>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</si>
  <si>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</si>
  <si>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</si>
  <si>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</si>
  <si>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</si>
  <si>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</si>
  <si>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</si>
  <si>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</si>
  <si>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</si>
  <si>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</si>
  <si>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</si>
  <si>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</si>
  <si>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</si>
  <si>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</si>
  <si>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</si>
  <si>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</si>
  <si>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</si>
  <si>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</si>
  <si>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</si>
  <si>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</si>
  <si>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</si>
  <si>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</si>
  <si>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</si>
  <si>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</si>
  <si>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</si>
  <si>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</si>
  <si>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</si>
  <si>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</si>
  <si>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</si>
  <si>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</si>
  <si>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</si>
  <si>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</si>
  <si>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</si>
  <si>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</si>
  <si>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</si>
  <si>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</si>
  <si>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</si>
  <si>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</si>
  <si>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</si>
  <si>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</si>
  <si>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</si>
  <si>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</si>
  <si>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</si>
  <si>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</si>
  <si>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</si>
  <si>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</si>
  <si>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</si>
  <si>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</si>
  <si>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</si>
  <si>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</si>
  <si>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</si>
  <si>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</si>
  <si>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</si>
  <si>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</si>
  <si>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</si>
  <si>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</si>
  <si>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</si>
  <si>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</si>
  <si>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</si>
  <si>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</si>
  <si>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</si>
  <si>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</si>
  <si>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</si>
  <si>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</si>
  <si>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</si>
  <si>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</si>
  <si>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</si>
  <si>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</si>
  <si>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</si>
  <si>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</si>
  <si>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</si>
  <si>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</si>
  <si>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</si>
  <si>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</si>
  <si>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</si>
  <si>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</si>
  <si>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</si>
  <si>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</si>
  <si>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</si>
  <si>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</si>
  <si>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</si>
  <si>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</si>
  <si>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</si>
  <si>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</si>
  <si>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</si>
  <si>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</si>
  <si>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</si>
  <si>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</si>
  <si>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</si>
  <si>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</si>
  <si>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</si>
  <si>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</si>
  <si>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</si>
  <si>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</si>
  <si>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</si>
  <si>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</si>
  <si>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</si>
  <si>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</si>
  <si>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</si>
  <si>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</si>
  <si>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</si>
  <si>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</si>
  <si>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</si>
  <si>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</si>
  <si>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</si>
  <si>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</si>
  <si>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</si>
  <si>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</si>
  <si>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</si>
  <si>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</si>
  <si>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</si>
  <si>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</si>
  <si>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</si>
  <si>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</si>
  <si>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</si>
  <si>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</si>
  <si>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</si>
  <si>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</si>
  <si>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</si>
  <si>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</si>
  <si>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</si>
  <si>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</si>
  <si>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</si>
  <si>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</si>
  <si>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</si>
  <si>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</si>
  <si>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</si>
  <si>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</si>
  <si>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</si>
  <si>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</si>
  <si>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</si>
  <si>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</si>
  <si>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</si>
  <si>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</si>
  <si>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</si>
  <si>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</si>
  <si>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</si>
  <si>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</si>
  <si>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</si>
  <si>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</si>
  <si>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</si>
  <si>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1-28 Days Defaulters</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</si>
  <si>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</si>
  <si>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</si>
  <si>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</si>
  <si>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</si>
  <si>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</si>
  <si>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</si>
  <si>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</si>
  <si>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</si>
  <si>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</si>
  <si>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</si>
  <si>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</si>
  <si>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</si>
  <si>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</si>
  <si>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</si>
  <si>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</si>
  <si>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</si>
  <si>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</si>
  <si>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</si>
  <si>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</si>
  <si>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</si>
  <si>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</si>
  <si>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</si>
  <si>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</si>
  <si>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</si>
  <si>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</si>
  <si>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</si>
  <si>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</si>
  <si>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</si>
  <si>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</si>
  <si>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</si>
  <si>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</si>
  <si>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</si>
  <si>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</si>
  <si>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</si>
  <si>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</si>
  <si>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</si>
  <si>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</si>
  <si>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</si>
  <si>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</si>
  <si>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</si>
  <si>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</si>
  <si>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</si>
  <si>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</si>
  <si>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</si>
  <si>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</si>
  <si>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</si>
  <si>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</si>
  <si>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</si>
  <si>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started on TB treatment (TX_TB_Num)</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</si>
  <si>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</si>
  <si>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</si>
  <si>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</si>
  <si>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</si>
  <si>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</si>
  <si>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</si>
  <si>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</si>
  <si>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</si>
  <si>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</si>
  <si>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</si>
  <si>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</si>
  <si>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</si>
  <si>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</si>
  <si>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</si>
  <si>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</si>
  <si>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</si>
  <si>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</si>
  <si>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</si>
  <si>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</si>
  <si>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</si>
  <si>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</si>
  <si>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</si>
  <si>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</si>
  <si>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</si>
  <si>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</si>
  <si>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</si>
  <si>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</si>
  <si>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</si>
  <si>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</si>
  <si>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</si>
  <si>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</si>
  <si>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</si>
  <si>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</si>
  <si>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</si>
  <si>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</si>
  <si>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</si>
  <si>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</si>
  <si>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</si>
  <si>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</si>
  <si>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</si>
  <si>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</si>
  <si>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</si>
  <si>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</si>
  <si>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</si>
  <si>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</si>
  <si>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</si>
  <si>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</si>
  <si>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 xml:space="preserve">Unassisted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</si>
  <si>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</si>
  <si>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</si>
  <si>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</si>
  <si>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</si>
  <si>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</si>
  <si>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</si>
  <si>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</si>
  <si>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</si>
  <si>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</si>
  <si>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</si>
  <si>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</si>
  <si>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</si>
  <si>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</si>
  <si>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</si>
  <si>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</si>
  <si>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</si>
  <si>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</si>
  <si>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</si>
  <si>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</si>
  <si>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</si>
  <si>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</si>
  <si>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</si>
  <si>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</si>
  <si>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</si>
  <si>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</si>
  <si>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</si>
  <si>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</si>
  <si>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</si>
  <si>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</si>
  <si>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</si>
  <si>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</si>
  <si>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</si>
  <si>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</si>
  <si>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</si>
  <si>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</si>
  <si>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</si>
  <si>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</si>
  <si>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</si>
  <si>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</si>
  <si>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</si>
  <si>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</si>
  <si>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</si>
  <si>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</si>
  <si>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</si>
  <si>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</si>
  <si>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</si>
  <si>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</si>
  <si>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</si>
  <si>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</si>
  <si>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</si>
  <si>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</si>
  <si>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</si>
  <si>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</si>
  <si>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</si>
  <si>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</si>
  <si>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</si>
  <si>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</si>
  <si>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</si>
  <si>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</si>
  <si>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</si>
  <si>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</si>
  <si>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</si>
  <si>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</si>
  <si>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</si>
  <si>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</si>
  <si>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</si>
  <si>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</si>
  <si>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</si>
  <si>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</si>
  <si>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</si>
  <si>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</si>
  <si>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</si>
  <si>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</si>
  <si>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</si>
  <si>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</si>
  <si>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</si>
  <si>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</si>
  <si>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</si>
  <si>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</si>
  <si>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</si>
  <si>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</si>
  <si>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</si>
  <si>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</si>
  <si>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</si>
  <si>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</si>
  <si>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</si>
  <si>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</si>
  <si>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</si>
  <si>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</si>
  <si>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</si>
  <si>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</si>
  <si>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</si>
  <si>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</si>
  <si>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</si>
  <si>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</si>
  <si>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</si>
  <si>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</si>
  <si>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</si>
  <si>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</si>
  <si>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</si>
  <si>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</si>
  <si>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</si>
  <si>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</si>
  <si>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</si>
  <si>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</si>
  <si>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</si>
  <si>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</si>
  <si>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</si>
  <si>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</si>
  <si>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</si>
  <si>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</si>
  <si>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</si>
  <si>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</si>
  <si>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</si>
  <si>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</si>
  <si>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</si>
  <si>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</si>
  <si>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</si>
  <si>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</si>
  <si>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</si>
  <si>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</si>
  <si>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</si>
  <si>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</si>
  <si>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</si>
  <si>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</si>
  <si>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</si>
  <si>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</si>
  <si>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</si>
  <si>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</si>
  <si>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</si>
  <si>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</si>
  <si>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</si>
  <si>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</si>
  <si>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</si>
  <si>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</si>
  <si>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</si>
  <si>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</si>
  <si>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</si>
  <si>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</si>
  <si>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</si>
  <si>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</si>
  <si>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</si>
  <si>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</si>
  <si>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</si>
  <si>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</si>
  <si>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</si>
  <si>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</si>
  <si>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</si>
  <si>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</si>
  <si>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</si>
  <si>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</si>
  <si>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</si>
  <si>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 xml:space="preserve">This is a count of clients who missed their appointments between 1 and 28 days.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</si>
  <si>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</si>
  <si>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</si>
  <si>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</si>
  <si>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</si>
  <si>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</si>
  <si>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</si>
  <si>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</si>
  <si>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</si>
  <si>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</si>
  <si>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</si>
  <si>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</si>
  <si>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</si>
  <si>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</si>
  <si>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</si>
  <si>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</si>
  <si>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</si>
  <si>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</si>
  <si>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</si>
  <si>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</si>
  <si>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</si>
  <si>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</si>
  <si>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</si>
  <si>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</si>
  <si>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</si>
  <si>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</si>
  <si>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</si>
  <si>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</si>
  <si>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</si>
  <si>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</si>
  <si>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</si>
  <si>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</si>
  <si>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</si>
  <si>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</si>
  <si>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</si>
  <si>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</si>
  <si>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</si>
  <si>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</si>
  <si>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</si>
  <si>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</si>
  <si>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</si>
  <si>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</si>
  <si>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</si>
  <si>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</si>
  <si>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</si>
  <si>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</si>
  <si>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</si>
  <si>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</si>
  <si>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</si>
  <si>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</si>
  <si>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</si>
  <si>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</si>
  <si>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</si>
  <si>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</si>
  <si>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</si>
  <si>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</si>
  <si>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</si>
  <si>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</si>
  <si>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</si>
  <si>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</si>
  <si>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</si>
  <si>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</si>
  <si>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Note: Please do not cut paste any cell, this will interfere with the formulas</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</si>
  <si>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</si>
  <si>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</si>
  <si>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</si>
  <si>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</si>
  <si>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</si>
  <si>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</si>
  <si>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</si>
  <si>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</si>
  <si>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</si>
  <si>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</si>
  <si>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</si>
  <si>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</si>
  <si>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</si>
  <si>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</si>
  <si>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</si>
  <si>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</si>
  <si>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</si>
  <si>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</si>
  <si>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in IPD OPD and MCH</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</si>
  <si>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</si>
  <si>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</si>
  <si>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</si>
  <si>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</si>
  <si>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</si>
  <si>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</si>
  <si>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</si>
  <si>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</si>
  <si>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</si>
  <si>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</si>
  <si>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</si>
  <si>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</si>
  <si>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</si>
  <si>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</si>
  <si>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</si>
  <si>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</si>
  <si>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</si>
  <si>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</si>
  <si>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</si>
  <si>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</si>
  <si>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</si>
  <si>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</si>
  <si>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</si>
  <si>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</si>
  <si>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</si>
  <si>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</si>
  <si>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</si>
  <si>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</si>
  <si>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</si>
  <si>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</si>
  <si>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</si>
  <si>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</si>
  <si>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</si>
  <si>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</si>
  <si>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</si>
  <si>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</si>
  <si>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</si>
  <si>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</si>
  <si>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</si>
  <si>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</si>
  <si>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</si>
  <si>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</si>
  <si>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</si>
  <si>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</si>
  <si>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</si>
  <si>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</si>
  <si>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</si>
  <si>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</si>
  <si>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</si>
  <si>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</si>
  <si>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</si>
  <si>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</si>
  <si>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</si>
  <si>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</si>
  <si>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</si>
  <si>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</si>
  <si>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</si>
  <si>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</si>
  <si>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</si>
  <si>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</si>
  <si>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</si>
  <si>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</si>
  <si>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Rape survivors [OPD, IPD , MCH and CCC]</t>
  </si>
  <si>
    <t>Total Sexual Violence Initiated PEP</t>
  </si>
  <si>
    <t>Sexual violence in OPD , IPD,CCC and MCH</t>
  </si>
  <si>
    <t>Physical &amp; emotional Violence in OPD, IPD, CCC and MCH</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</si>
  <si>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</si>
  <si>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</si>
  <si>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</si>
  <si>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</si>
  <si>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</si>
  <si>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</si>
  <si>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</si>
  <si>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</si>
  <si>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</si>
  <si>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</si>
  <si>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</si>
  <si>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</si>
  <si>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</si>
  <si>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</si>
  <si>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</si>
  <si>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</si>
  <si>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</si>
  <si>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</si>
  <si>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</si>
  <si>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</si>
  <si>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</si>
  <si>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</si>
  <si>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</si>
  <si>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</si>
  <si>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</si>
  <si>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</si>
  <si>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</si>
  <si>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</si>
  <si>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</si>
  <si>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</si>
  <si>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</si>
  <si>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</si>
  <si>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</si>
  <si>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</si>
  <si>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</si>
  <si>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</si>
  <si>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</si>
  <si>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</si>
  <si>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</si>
  <si>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</si>
  <si>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</si>
  <si>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</si>
  <si>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</si>
  <si>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</si>
  <si>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</si>
  <si>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</si>
  <si>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</si>
  <si>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</si>
  <si>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</si>
  <si>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</si>
  <si>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</si>
  <si>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</si>
  <si>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</si>
  <si>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</si>
  <si>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</si>
  <si>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</si>
  <si>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</si>
  <si>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</si>
  <si>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</si>
  <si>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</si>
  <si>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</si>
  <si>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</si>
  <si>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</si>
  <si>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</si>
  <si>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</si>
  <si>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</si>
  <si>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</si>
  <si>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</si>
  <si>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</si>
  <si>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</si>
  <si>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</si>
  <si>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</si>
  <si>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1-28 Days Defaulters </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</si>
  <si>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</si>
  <si>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</si>
  <si>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</si>
  <si>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</si>
  <si>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</si>
  <si>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Form 1A  version 4.0.1</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</si>
  <si>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</si>
  <si>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</si>
  <si>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</si>
  <si>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</si>
  <si>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</si>
  <si>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</si>
  <si>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</si>
  <si>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</si>
  <si>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</si>
  <si>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Initiated on IPT</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</si>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</sst>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4"/>
      <color rgb="FF7030A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4"/>
      <name val="Browallia New"/>
      <family val="2"/>
      <charset val="22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rgb="FF7030A0"/>
      <name val="Browallia New"/>
      <family val="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sz val="18"/>
      <color theme="4"/>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b/>
      <sz val="26"/>
      <name val="Browallia New"/>
      <family val="2"/>
    </font>
    <font>
      <b/>
      <sz val="26"/>
      <color theme="4"/>
      <name val="Browallia New"/>
      <family val="2"/>
    </font>
    <font>
      <vertAlign val="superscript"/>
      <sz val="26"/>
      <color theme="1"/>
      <name val="Browallia New"/>
      <family val="2"/>
    </font>
    <font>
      <b/>
      <sz val="26"/>
      <color theme="9" tint="0.3999755851924192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style="thin">
        <color theme="0" tint="-0.249977111117893"/>
      </top>
      <bottom style="medium">
        <color theme="9"/>
      </bottom>
      <diagonal/>
    </border>
    <border>
      <left style="thin">
        <color theme="6"/>
      </left>
      <right style="thin">
        <color theme="6"/>
      </right>
      <top style="thin">
        <color theme="6"/>
      </top>
      <bottom style="thin">
        <color theme="6"/>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6"/>
      </left>
      <right style="medium">
        <color theme="9"/>
      </right>
      <top style="medium">
        <color theme="9"/>
      </top>
      <bottom style="thin">
        <color theme="6"/>
      </bottom>
      <diagonal/>
    </border>
    <border>
      <left style="thin">
        <color theme="6"/>
      </left>
      <right style="thin">
        <color theme="6"/>
      </right>
      <top style="thin">
        <color theme="6"/>
      </top>
      <bottom style="medium">
        <color theme="9"/>
      </bottom>
      <diagonal/>
    </border>
    <border>
      <left style="thin">
        <color theme="6"/>
      </left>
      <right style="thin">
        <color theme="6"/>
      </right>
      <top/>
      <bottom style="thin">
        <color theme="6"/>
      </bottom>
      <diagonal/>
    </border>
    <border>
      <left/>
      <right style="thin">
        <color theme="6"/>
      </right>
      <top/>
      <bottom style="thin">
        <color theme="6"/>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766">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30"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6" fillId="5" borderId="1" xfId="0" applyFont="1" applyFill="1" applyBorder="1" applyAlignment="1">
      <alignment horizontal="left" wrapText="1"/>
    </xf>
    <xf numFmtId="0" fontId="38"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16" fillId="0" borderId="6" xfId="0" applyFont="1" applyBorder="1" applyAlignment="1">
      <alignment vertical="center" wrapText="1"/>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4" borderId="17" xfId="0" applyFont="1" applyFill="1" applyBorder="1" applyAlignment="1" applyProtection="1">
      <alignment horizontal="center" vertical="center"/>
    </xf>
    <xf numFmtId="0" fontId="5" fillId="0" borderId="17" xfId="0" applyFont="1" applyBorder="1" applyAlignment="1" applyProtection="1">
      <alignment horizontal="center" vertical="center"/>
      <protection locked="0"/>
    </xf>
    <xf numFmtId="0" fontId="4" fillId="6" borderId="17" xfId="0" applyFont="1" applyFill="1" applyBorder="1" applyAlignment="1">
      <alignment horizontal="center" vertical="center"/>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8" fillId="0" borderId="48" xfId="0" applyFont="1" applyBorder="1" applyAlignment="1">
      <alignment horizontal="left" vertical="center"/>
    </xf>
    <xf numFmtId="0" fontId="18" fillId="6" borderId="50" xfId="0" applyFont="1" applyFill="1" applyBorder="1" applyAlignment="1">
      <alignment vertical="center"/>
    </xf>
    <xf numFmtId="0" fontId="35" fillId="6" borderId="9" xfId="0" applyFont="1" applyFill="1" applyBorder="1" applyAlignment="1">
      <alignment horizontal="center" vertical="center"/>
    </xf>
    <xf numFmtId="0" fontId="44" fillId="6" borderId="9" xfId="0" applyFont="1" applyFill="1" applyBorder="1" applyAlignment="1">
      <alignment horizontal="center" vertical="center"/>
    </xf>
    <xf numFmtId="0" fontId="44"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8"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7" fillId="5" borderId="0" xfId="0" applyFont="1" applyFill="1" applyAlignment="1"/>
    <xf numFmtId="0" fontId="36" fillId="5" borderId="1" xfId="0" applyFont="1" applyFill="1" applyBorder="1" applyAlignment="1">
      <alignment horizontal="left" vertical="center"/>
    </xf>
    <xf numFmtId="0" fontId="37" fillId="5" borderId="0" xfId="0" applyFont="1" applyFill="1" applyAlignment="1">
      <alignment horizontal="left"/>
    </xf>
    <xf numFmtId="0" fontId="38" fillId="5" borderId="0" xfId="0" applyFont="1" applyFill="1" applyAlignment="1">
      <alignment horizontal="left"/>
    </xf>
    <xf numFmtId="0" fontId="38" fillId="5" borderId="0" xfId="0" applyFont="1" applyFill="1" applyAlignment="1"/>
    <xf numFmtId="0" fontId="38" fillId="5" borderId="0" xfId="0" applyFont="1" applyFill="1" applyAlignment="1">
      <alignment vertical="center"/>
    </xf>
    <xf numFmtId="0" fontId="40" fillId="5" borderId="0" xfId="0" applyFont="1" applyFill="1" applyAlignment="1"/>
    <xf numFmtId="0" fontId="37" fillId="5" borderId="0" xfId="0" applyFont="1" applyFill="1" applyAlignment="1">
      <alignment horizontal="left" vertical="center"/>
    </xf>
    <xf numFmtId="0" fontId="39"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xf>
    <xf numFmtId="0" fontId="6" fillId="4" borderId="26" xfId="0" applyFont="1" applyFill="1" applyBorder="1" applyAlignment="1">
      <alignment horizontal="center" vertical="center"/>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5"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0" fontId="27" fillId="4" borderId="24" xfId="0" applyFont="1" applyFill="1" applyBorder="1" applyAlignment="1">
      <alignment horizontal="center" vertical="center" wrapText="1"/>
    </xf>
    <xf numFmtId="0" fontId="27" fillId="4" borderId="41" xfId="0" applyFont="1" applyFill="1" applyBorder="1" applyAlignment="1">
      <alignment horizontal="center" vertical="center" wrapText="1"/>
    </xf>
    <xf numFmtId="0" fontId="27" fillId="4" borderId="25" xfId="0" applyFont="1" applyFill="1" applyBorder="1" applyAlignment="1">
      <alignment horizontal="center" vertical="center" wrapText="1"/>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4" borderId="34" xfId="0"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4" fillId="4" borderId="52" xfId="0" applyFont="1" applyFill="1" applyBorder="1" applyAlignment="1">
      <alignment horizontal="center" vertical="center" wrapText="1"/>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0" fontId="6" fillId="4" borderId="41" xfId="0" applyFont="1" applyFill="1" applyBorder="1" applyAlignment="1">
      <alignment horizontal="center" vertical="center" wrapText="1"/>
    </xf>
    <xf numFmtId="0" fontId="27" fillId="4" borderId="26" xfId="0" applyFont="1" applyFill="1" applyBorder="1" applyAlignment="1">
      <alignment horizontal="center" vertical="center" wrapText="1"/>
    </xf>
    <xf numFmtId="0" fontId="6" fillId="4" borderId="11" xfId="0" applyFont="1" applyFill="1" applyBorder="1" applyAlignment="1">
      <alignment horizontal="center" vertical="center" wrapText="1"/>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5" fillId="4" borderId="24"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6" fillId="4" borderId="42" xfId="0" applyFont="1" applyFill="1" applyBorder="1" applyAlignment="1">
      <alignment horizontal="center" vertical="center" wrapText="1"/>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4" fillId="0" borderId="0" xfId="0" applyFont="1" applyAlignment="1">
      <alignment horizontal="center" wrapText="1"/>
    </xf>
    <xf numFmtId="0" fontId="24" fillId="0" borderId="0" xfId="0" applyFont="1" applyAlignment="1">
      <alignment wrapText="1"/>
    </xf>
    <xf numFmtId="0" fontId="25" fillId="0" borderId="0" xfId="0" applyFont="1" applyAlignment="1">
      <alignment wrapText="1"/>
    </xf>
    <xf numFmtId="0" fontId="48" fillId="0" borderId="7" xfId="0" applyFont="1" applyBorder="1" applyAlignment="1" applyProtection="1">
      <alignment horizontal="center" vertical="center"/>
      <protection locked="0"/>
    </xf>
    <xf numFmtId="0" fontId="49" fillId="0" borderId="7" xfId="0" applyFont="1" applyBorder="1" applyAlignment="1" applyProtection="1">
      <alignment horizontal="center" vertical="center"/>
      <protection locked="0"/>
    </xf>
    <xf numFmtId="0" fontId="48" fillId="4" borderId="7" xfId="0" applyFont="1" applyFill="1" applyBorder="1" applyAlignment="1" applyProtection="1">
      <alignment horizontal="center" vertical="center"/>
    </xf>
    <xf numFmtId="0" fontId="49" fillId="4" borderId="7" xfId="0" applyFont="1" applyFill="1" applyBorder="1" applyAlignment="1" applyProtection="1">
      <alignment horizontal="center" vertical="center"/>
    </xf>
    <xf numFmtId="0" fontId="48" fillId="4" borderId="15" xfId="0" applyFont="1" applyFill="1" applyBorder="1" applyAlignment="1" applyProtection="1">
      <alignment horizontal="center" vertical="center"/>
    </xf>
    <xf numFmtId="0" fontId="48" fillId="0" borderId="15" xfId="0" applyFont="1" applyBorder="1" applyAlignment="1" applyProtection="1">
      <alignment horizontal="center" vertical="center"/>
      <protection locked="0"/>
    </xf>
    <xf numFmtId="0" fontId="49" fillId="4" borderId="15" xfId="0" applyFont="1" applyFill="1" applyBorder="1" applyAlignment="1" applyProtection="1">
      <alignment horizontal="center" vertical="center"/>
    </xf>
    <xf numFmtId="0" fontId="49" fillId="0" borderId="15" xfId="0" applyFont="1" applyBorder="1" applyAlignment="1" applyProtection="1">
      <alignment horizontal="center" vertical="center"/>
      <protection locked="0"/>
    </xf>
    <xf numFmtId="0" fontId="50" fillId="4" borderId="25" xfId="0" applyFont="1" applyFill="1" applyBorder="1" applyAlignment="1">
      <alignment horizontal="center" vertical="center" wrapText="1"/>
    </xf>
    <xf numFmtId="0" fontId="28" fillId="4" borderId="8" xfId="0" applyFont="1" applyFill="1" applyBorder="1" applyAlignment="1" applyProtection="1">
      <alignment horizontal="center" vertical="center"/>
    </xf>
    <xf numFmtId="0" fontId="28" fillId="4" borderId="7" xfId="0" applyFont="1" applyFill="1" applyBorder="1" applyAlignment="1" applyProtection="1">
      <alignment horizontal="center" vertical="center"/>
    </xf>
    <xf numFmtId="0" fontId="48" fillId="5" borderId="31" xfId="0" applyFont="1" applyFill="1" applyBorder="1" applyAlignment="1" applyProtection="1">
      <alignment horizontal="center" vertical="center"/>
      <protection locked="0"/>
    </xf>
    <xf numFmtId="0" fontId="48" fillId="5" borderId="12" xfId="0" applyFont="1" applyFill="1" applyBorder="1" applyAlignment="1" applyProtection="1">
      <alignment horizontal="center" vertical="center"/>
      <protection locked="0"/>
    </xf>
    <xf numFmtId="0" fontId="48" fillId="5" borderId="8" xfId="0" applyFont="1" applyFill="1" applyBorder="1" applyAlignment="1" applyProtection="1">
      <alignment horizontal="center" vertical="center"/>
      <protection locked="0"/>
    </xf>
    <xf numFmtId="0" fontId="48"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64" xfId="0" applyFont="1" applyFill="1" applyBorder="1" applyAlignment="1">
      <alignment horizontal="center" vertical="center" wrapText="1"/>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6" fillId="4" borderId="11"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3" fillId="6" borderId="12" xfId="0" applyFont="1" applyFill="1" applyBorder="1" applyAlignment="1">
      <alignment horizontal="center" vertical="center"/>
    </xf>
    <xf numFmtId="0" fontId="32" fillId="6" borderId="18" xfId="0" applyFont="1" applyFill="1" applyBorder="1" applyAlignment="1">
      <alignment horizontal="left" vertical="center" wrapText="1"/>
    </xf>
    <xf numFmtId="0" fontId="18" fillId="0" borderId="48" xfId="0" applyFont="1" applyBorder="1" applyAlignment="1">
      <alignment horizontal="left" vertical="center" wrapText="1"/>
    </xf>
    <xf numFmtId="0" fontId="37" fillId="5" borderId="0" xfId="0" applyFont="1" applyFill="1" applyAlignment="1"/>
    <xf numFmtId="0" fontId="36" fillId="5" borderId="1" xfId="0" applyFont="1" applyFill="1" applyBorder="1" applyAlignment="1">
      <alignment horizontal="center" vertical="top"/>
    </xf>
    <xf numFmtId="0" fontId="37" fillId="5" borderId="0" xfId="0" applyFont="1" applyFill="1" applyAlignment="1">
      <alignment horizontal="left"/>
    </xf>
    <xf numFmtId="0" fontId="38" fillId="5" borderId="0" xfId="0" applyFont="1" applyFill="1" applyAlignment="1">
      <alignment horizontal="left"/>
    </xf>
    <xf numFmtId="0" fontId="38" fillId="5" borderId="0" xfId="0" applyFont="1" applyFill="1" applyAlignment="1"/>
    <xf numFmtId="0" fontId="38" fillId="5" borderId="0" xfId="0" applyFont="1" applyFill="1" applyAlignment="1">
      <alignment vertical="center"/>
    </xf>
    <xf numFmtId="0" fontId="40" fillId="5" borderId="0" xfId="0" applyFont="1" applyFill="1" applyAlignment="1"/>
    <xf numFmtId="0" fontId="39" fillId="0" borderId="0" xfId="0" applyFont="1" applyAlignment="1"/>
    <xf numFmtId="0" fontId="38" fillId="5" borderId="0" xfId="0" applyFont="1" applyFill="1" applyAlignment="1">
      <alignment horizontal="center" vertical="top"/>
    </xf>
    <xf numFmtId="0" fontId="19" fillId="0" borderId="44" xfId="0" applyFont="1" applyBorder="1" applyAlignment="1">
      <alignment horizontal="left" vertical="center" wrapText="1"/>
    </xf>
    <xf numFmtId="0" fontId="19" fillId="0" borderId="23" xfId="0" applyFont="1" applyBorder="1" applyAlignment="1">
      <alignment horizontal="left" vertical="center" wrapText="1"/>
    </xf>
    <xf numFmtId="0" fontId="19"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8" fillId="0" borderId="23" xfId="0" applyFont="1" applyFill="1" applyBorder="1" applyAlignment="1">
      <alignment horizontal="left" vertical="center" wrapText="1"/>
    </xf>
    <xf numFmtId="0" fontId="19"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9" fillId="0" borderId="58" xfId="0" applyFont="1" applyBorder="1" applyAlignment="1">
      <alignment horizontal="left" vertical="center" wrapText="1"/>
    </xf>
    <xf numFmtId="0" fontId="18"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8" fillId="6" borderId="58" xfId="0" applyFont="1" applyFill="1" applyBorder="1" applyAlignment="1">
      <alignment horizontal="left" vertical="center" wrapText="1"/>
    </xf>
    <xf numFmtId="0" fontId="18" fillId="6" borderId="43" xfId="0" applyFont="1" applyFill="1" applyBorder="1" applyAlignment="1">
      <alignment horizontal="left"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20" fillId="5" borderId="58" xfId="0" applyFont="1" applyFill="1" applyBorder="1" applyAlignment="1">
      <alignment horizontal="left" vertical="center" wrapText="1"/>
    </xf>
    <xf numFmtId="0" fontId="20" fillId="5" borderId="57" xfId="0" applyFont="1" applyFill="1" applyBorder="1" applyAlignment="1">
      <alignment horizontal="left" vertical="center" wrapText="1"/>
    </xf>
    <xf numFmtId="0" fontId="20" fillId="5" borderId="44" xfId="0" applyFont="1" applyFill="1" applyBorder="1" applyAlignment="1">
      <alignment horizontal="left" vertical="center" wrapText="1"/>
    </xf>
    <xf numFmtId="0" fontId="20"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9" fillId="5" borderId="23"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6" fillId="12" borderId="44" xfId="0" applyFont="1" applyFill="1" applyBorder="1" applyAlignment="1">
      <alignment horizontal="left" vertical="center" wrapText="1"/>
    </xf>
    <xf numFmtId="0" fontId="26" fillId="12" borderId="23" xfId="0" applyFont="1" applyFill="1" applyBorder="1" applyAlignment="1">
      <alignment horizontal="left" vertical="center" wrapText="1"/>
    </xf>
    <xf numFmtId="0" fontId="26" fillId="0" borderId="23" xfId="0" applyFont="1" applyBorder="1" applyAlignment="1">
      <alignment horizontal="left" vertical="center" wrapText="1"/>
    </xf>
    <xf numFmtId="0" fontId="26" fillId="12" borderId="58" xfId="0" applyFont="1" applyFill="1" applyBorder="1" applyAlignment="1">
      <alignment horizontal="left" wrapText="1"/>
    </xf>
    <xf numFmtId="0" fontId="26" fillId="0" borderId="57" xfId="0" applyFont="1" applyBorder="1" applyAlignment="1">
      <alignment horizontal="left" vertical="center" wrapText="1"/>
    </xf>
    <xf numFmtId="0" fontId="26"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6" fillId="0" borderId="44" xfId="0" applyFont="1" applyBorder="1" applyAlignment="1">
      <alignment horizontal="left" vertical="center" wrapText="1"/>
    </xf>
    <xf numFmtId="0" fontId="26" fillId="0" borderId="39" xfId="0" applyFont="1" applyBorder="1" applyAlignment="1">
      <alignment horizontal="left" vertical="center" wrapText="1"/>
    </xf>
    <xf numFmtId="0" fontId="26" fillId="0" borderId="43" xfId="0" applyFont="1" applyBorder="1" applyAlignment="1">
      <alignment horizontal="left" vertical="center" wrapText="1"/>
    </xf>
    <xf numFmtId="0" fontId="19"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0" borderId="30" xfId="0" applyFont="1" applyBorder="1" applyAlignment="1">
      <alignment horizontal="left" vertical="center" wrapText="1"/>
    </xf>
    <xf numFmtId="0" fontId="22" fillId="0" borderId="0" xfId="0" applyFont="1" applyBorder="1" applyAlignment="1">
      <alignment horizontal="left" vertical="center" wrapText="1"/>
    </xf>
    <xf numFmtId="0" fontId="32"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6" fillId="0" borderId="29" xfId="0" applyFont="1" applyBorder="1" applyAlignment="1">
      <alignment horizontal="left" vertical="center" wrapText="1"/>
    </xf>
    <xf numFmtId="0" fontId="32" fillId="6" borderId="30" xfId="0" applyFont="1" applyFill="1" applyBorder="1" applyAlignment="1">
      <alignment horizontal="left" vertical="center" wrapText="1"/>
    </xf>
    <xf numFmtId="0" fontId="26" fillId="0" borderId="28" xfId="0" applyFont="1" applyBorder="1" applyAlignment="1">
      <alignment horizontal="left" vertical="center" wrapText="1"/>
    </xf>
    <xf numFmtId="0" fontId="26" fillId="0" borderId="45" xfId="0" applyFont="1" applyBorder="1" applyAlignment="1">
      <alignment horizontal="left" vertical="center" wrapText="1"/>
    </xf>
    <xf numFmtId="0" fontId="32"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8" fillId="3" borderId="57" xfId="0" applyFont="1" applyFill="1" applyBorder="1" applyAlignment="1">
      <alignment horizontal="left" vertical="center" wrapText="1"/>
    </xf>
    <xf numFmtId="0" fontId="19" fillId="5"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32" fillId="12" borderId="23" xfId="0" applyFont="1" applyFill="1" applyBorder="1" applyAlignment="1">
      <alignment horizontal="left" vertical="center" wrapText="1"/>
    </xf>
    <xf numFmtId="0" fontId="32" fillId="0" borderId="23" xfId="0" applyFont="1" applyBorder="1" applyAlignment="1">
      <alignment horizontal="left" vertical="center" wrapText="1"/>
    </xf>
    <xf numFmtId="0" fontId="32"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9"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64" xfId="0" applyFont="1" applyFill="1" applyBorder="1" applyAlignment="1">
      <alignment horizontal="center" vertical="center"/>
    </xf>
    <xf numFmtId="0" fontId="5" fillId="0" borderId="75" xfId="0" applyFont="1" applyBorder="1" applyAlignment="1" applyProtection="1">
      <alignment horizontal="center" vertical="center"/>
      <protection locked="0"/>
    </xf>
    <xf numFmtId="0" fontId="5" fillId="0" borderId="76" xfId="0" applyFont="1" applyBorder="1" applyAlignment="1" applyProtection="1">
      <alignment horizontal="center" vertical="center"/>
      <protection locked="0"/>
    </xf>
    <xf numFmtId="0" fontId="5" fillId="0" borderId="77" xfId="0" applyFont="1" applyBorder="1" applyAlignment="1" applyProtection="1">
      <alignment horizontal="center" vertical="center"/>
      <protection locked="0"/>
    </xf>
    <xf numFmtId="0" fontId="4" fillId="6" borderId="70" xfId="0" applyFont="1" applyFill="1" applyBorder="1" applyAlignment="1">
      <alignment horizontal="center" vertical="center"/>
    </xf>
    <xf numFmtId="0" fontId="32"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80" xfId="0" applyFont="1" applyFill="1" applyBorder="1" applyAlignment="1" applyProtection="1">
      <alignment horizontal="center" vertical="center"/>
    </xf>
    <xf numFmtId="0" fontId="5" fillId="4" borderId="81" xfId="0" applyFont="1" applyFill="1" applyBorder="1" applyAlignment="1" applyProtection="1">
      <alignment horizontal="center" vertical="center"/>
    </xf>
    <xf numFmtId="0" fontId="5" fillId="4" borderId="82" xfId="0" applyFont="1" applyFill="1" applyBorder="1" applyAlignment="1" applyProtection="1">
      <alignment horizontal="center" vertical="center"/>
    </xf>
    <xf numFmtId="49" fontId="4" fillId="6" borderId="83"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4"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90"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9" fillId="0" borderId="94" xfId="0" applyFont="1" applyBorder="1" applyAlignment="1">
      <alignment horizontal="left" vertical="center" wrapText="1"/>
    </xf>
    <xf numFmtId="0" fontId="19" fillId="0" borderId="95" xfId="0" applyFont="1" applyBorder="1" applyAlignment="1">
      <alignment horizontal="left" vertical="center" wrapText="1"/>
    </xf>
    <xf numFmtId="0" fontId="19" fillId="0" borderId="96" xfId="0" applyFont="1" applyBorder="1" applyAlignment="1">
      <alignment horizontal="left" vertical="center" wrapText="1"/>
    </xf>
    <xf numFmtId="0" fontId="5" fillId="0" borderId="86" xfId="0" applyFont="1" applyBorder="1" applyAlignment="1" applyProtection="1">
      <alignment horizontal="center" vertical="center" wrapText="1"/>
      <protection locked="0"/>
    </xf>
    <xf numFmtId="0" fontId="5" fillId="0" borderId="98" xfId="0" applyFont="1" applyBorder="1" applyAlignment="1" applyProtection="1">
      <alignment horizontal="center" vertical="center" wrapText="1"/>
      <protection locked="0"/>
    </xf>
    <xf numFmtId="0" fontId="4" fillId="6" borderId="87" xfId="0" applyFont="1" applyFill="1" applyBorder="1" applyAlignment="1">
      <alignment horizontal="center" vertical="center"/>
    </xf>
    <xf numFmtId="0" fontId="32" fillId="6" borderId="95" xfId="0" applyFont="1" applyFill="1" applyBorder="1" applyAlignment="1">
      <alignment horizontal="left" vertical="center" wrapText="1"/>
    </xf>
    <xf numFmtId="0" fontId="32" fillId="3" borderId="23" xfId="0" applyFont="1" applyFill="1" applyBorder="1" applyAlignment="1">
      <alignment horizontal="left" vertical="center" wrapText="1"/>
    </xf>
    <xf numFmtId="49" fontId="32" fillId="6" borderId="58" xfId="0" applyNumberFormat="1" applyFont="1" applyFill="1" applyBorder="1" applyAlignment="1">
      <alignment horizontal="left" vertical="center" wrapText="1"/>
    </xf>
    <xf numFmtId="0" fontId="28" fillId="6" borderId="99" xfId="0" applyFont="1" applyFill="1" applyBorder="1" applyAlignment="1" applyProtection="1">
      <alignment horizontal="center" vertical="center" wrapText="1"/>
    </xf>
    <xf numFmtId="0" fontId="19" fillId="0" borderId="100" xfId="0" applyFont="1" applyBorder="1" applyAlignment="1">
      <alignment horizontal="left" vertical="center" wrapText="1"/>
    </xf>
    <xf numFmtId="0" fontId="32" fillId="6" borderId="24" xfId="0" applyFont="1" applyFill="1" applyBorder="1" applyAlignment="1">
      <alignment horizontal="left" vertical="center" wrapText="1"/>
    </xf>
    <xf numFmtId="0" fontId="32" fillId="6" borderId="65" xfId="0" applyFont="1" applyFill="1" applyBorder="1" applyAlignment="1">
      <alignment horizontal="left" vertical="center" wrapText="1"/>
    </xf>
    <xf numFmtId="0" fontId="28" fillId="6" borderId="71"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28" fillId="6" borderId="101"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5" fillId="0" borderId="88" xfId="0" applyFont="1" applyBorder="1" applyAlignment="1" applyProtection="1">
      <alignment horizontal="center" vertical="center"/>
      <protection locked="0"/>
    </xf>
    <xf numFmtId="0" fontId="5" fillId="0" borderId="89" xfId="0" applyFont="1" applyBorder="1" applyAlignment="1" applyProtection="1">
      <alignment horizontal="center" vertical="center"/>
      <protection locked="0"/>
    </xf>
    <xf numFmtId="0" fontId="5" fillId="0" borderId="97" xfId="0" applyFont="1" applyBorder="1" applyAlignment="1" applyProtection="1">
      <alignment horizontal="center" vertical="center"/>
      <protection locked="0"/>
    </xf>
    <xf numFmtId="0" fontId="4" fillId="6" borderId="102"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0" fontId="28" fillId="6" borderId="103" xfId="0" applyFont="1" applyFill="1" applyBorder="1" applyAlignment="1" applyProtection="1">
      <alignment horizontal="center" vertical="center" wrapText="1"/>
    </xf>
    <xf numFmtId="0" fontId="28" fillId="6" borderId="104" xfId="0" applyFont="1" applyFill="1" applyBorder="1" applyAlignment="1" applyProtection="1">
      <alignment horizontal="center" vertical="center" wrapText="1"/>
    </xf>
    <xf numFmtId="0" fontId="28" fillId="6" borderId="105" xfId="0" applyFont="1" applyFill="1" applyBorder="1" applyAlignment="1" applyProtection="1">
      <alignment horizontal="center" vertical="center" wrapText="1"/>
    </xf>
    <xf numFmtId="1" fontId="4" fillId="0" borderId="31" xfId="0" applyNumberFormat="1" applyFont="1" applyFill="1" applyBorder="1" applyAlignment="1" applyProtection="1">
      <alignment horizontal="center" vertical="center"/>
      <protection locked="0"/>
    </xf>
    <xf numFmtId="0" fontId="28" fillId="6" borderId="106" xfId="0" applyFont="1" applyFill="1" applyBorder="1" applyAlignment="1" applyProtection="1">
      <alignment horizontal="center" vertical="center" wrapText="1"/>
    </xf>
    <xf numFmtId="0" fontId="28" fillId="6" borderId="107" xfId="0" applyFont="1" applyFill="1" applyBorder="1" applyAlignment="1" applyProtection="1">
      <alignment horizontal="center" vertical="center" wrapText="1"/>
    </xf>
    <xf numFmtId="0" fontId="36" fillId="5" borderId="5" xfId="0" applyFont="1" applyFill="1" applyBorder="1" applyAlignment="1">
      <alignment horizontal="left" wrapText="1"/>
    </xf>
    <xf numFmtId="0" fontId="36" fillId="5" borderId="6" xfId="0" applyFont="1" applyFill="1" applyBorder="1" applyAlignment="1">
      <alignment horizontal="center" vertical="top"/>
    </xf>
    <xf numFmtId="0" fontId="36" fillId="5" borderId="108" xfId="0" applyFont="1" applyFill="1" applyBorder="1" applyAlignment="1">
      <alignment horizontal="left" vertical="center"/>
    </xf>
    <xf numFmtId="0" fontId="43" fillId="4" borderId="85" xfId="0" applyFont="1" applyFill="1" applyBorder="1" applyAlignment="1">
      <alignment horizontal="center" vertical="center"/>
    </xf>
    <xf numFmtId="0" fontId="37" fillId="5" borderId="85" xfId="0" applyFont="1" applyFill="1" applyBorder="1" applyAlignment="1"/>
    <xf numFmtId="0" fontId="37" fillId="0" borderId="85" xfId="0" applyFont="1" applyBorder="1" applyAlignment="1">
      <alignment horizontal="left" vertical="center" wrapText="1"/>
    </xf>
    <xf numFmtId="0" fontId="36" fillId="4" borderId="85" xfId="0" applyFont="1" applyFill="1" applyBorder="1" applyAlignment="1">
      <alignment horizontal="center" vertical="center"/>
    </xf>
    <xf numFmtId="0" fontId="37" fillId="12" borderId="85" xfId="0" applyFont="1" applyFill="1" applyBorder="1" applyAlignment="1"/>
    <xf numFmtId="0" fontId="37" fillId="4" borderId="85" xfId="0" applyFont="1" applyFill="1" applyBorder="1" applyAlignment="1">
      <alignment horizontal="center" vertical="center"/>
    </xf>
    <xf numFmtId="0" fontId="37" fillId="5" borderId="85" xfId="0" applyFont="1" applyFill="1" applyBorder="1" applyAlignment="1">
      <alignment vertical="center"/>
    </xf>
    <xf numFmtId="0" fontId="36" fillId="6" borderId="85" xfId="0" applyFont="1" applyFill="1" applyBorder="1" applyAlignment="1">
      <alignment horizontal="left" vertical="center" wrapText="1"/>
    </xf>
    <xf numFmtId="0" fontId="37" fillId="5" borderId="85" xfId="0" applyFont="1" applyFill="1" applyBorder="1" applyAlignment="1">
      <alignment horizontal="left" vertical="center" wrapText="1"/>
    </xf>
    <xf numFmtId="49" fontId="37" fillId="6" borderId="85" xfId="0" applyNumberFormat="1" applyFont="1" applyFill="1" applyBorder="1" applyAlignment="1">
      <alignment horizontal="left" vertical="center" wrapText="1"/>
    </xf>
    <xf numFmtId="0" fontId="56" fillId="4" borderId="85" xfId="0" applyFont="1" applyFill="1" applyBorder="1" applyAlignment="1">
      <alignment horizontal="center" vertical="center"/>
    </xf>
    <xf numFmtId="0" fontId="43" fillId="4" borderId="85" xfId="0" applyFont="1" applyFill="1" applyBorder="1" applyAlignment="1">
      <alignment horizontal="center" vertical="center" wrapText="1"/>
    </xf>
    <xf numFmtId="0" fontId="37" fillId="12" borderId="85" xfId="0" applyFont="1" applyFill="1" applyBorder="1"/>
    <xf numFmtId="49" fontId="36" fillId="6" borderId="85" xfId="0" applyNumberFormat="1" applyFont="1" applyFill="1" applyBorder="1" applyAlignment="1">
      <alignment horizontal="center" vertical="center"/>
    </xf>
    <xf numFmtId="0" fontId="57" fillId="4" borderId="85" xfId="0" applyFont="1" applyFill="1" applyBorder="1" applyAlignment="1">
      <alignment horizontal="center" vertical="center"/>
    </xf>
    <xf numFmtId="0" fontId="36" fillId="12" borderId="85" xfId="0" applyFont="1" applyFill="1" applyBorder="1" applyAlignment="1"/>
    <xf numFmtId="49" fontId="36" fillId="6" borderId="85" xfId="0" applyNumberFormat="1" applyFont="1" applyFill="1" applyBorder="1" applyAlignment="1">
      <alignment horizontal="left" vertical="center"/>
    </xf>
    <xf numFmtId="0" fontId="37" fillId="13" borderId="85" xfId="0" applyFont="1" applyFill="1" applyBorder="1" applyAlignment="1"/>
    <xf numFmtId="0" fontId="37" fillId="0" borderId="85" xfId="0" applyFont="1" applyBorder="1" applyAlignment="1" applyProtection="1">
      <alignment horizontal="center" vertical="center"/>
    </xf>
    <xf numFmtId="0" fontId="37" fillId="5" borderId="85" xfId="0" applyFont="1" applyFill="1" applyBorder="1" applyAlignment="1">
      <alignment horizontal="left" vertical="center"/>
    </xf>
    <xf numFmtId="0" fontId="59" fillId="3" borderId="85" xfId="0" applyFont="1" applyFill="1" applyBorder="1" applyAlignment="1">
      <alignment horizontal="center" vertical="center"/>
    </xf>
    <xf numFmtId="0" fontId="57" fillId="0" borderId="85" xfId="0" applyFont="1" applyFill="1" applyBorder="1" applyAlignment="1">
      <alignment horizontal="center" vertical="center"/>
    </xf>
    <xf numFmtId="0" fontId="43" fillId="0" borderId="85" xfId="0" applyFont="1" applyFill="1" applyBorder="1" applyAlignment="1">
      <alignment horizontal="center" vertical="center"/>
    </xf>
    <xf numFmtId="0" fontId="37" fillId="0" borderId="85" xfId="0" applyFont="1" applyBorder="1" applyAlignment="1">
      <alignment horizontal="left" vertical="center"/>
    </xf>
    <xf numFmtId="0" fontId="36" fillId="5" borderId="2" xfId="0" applyFont="1" applyFill="1" applyBorder="1" applyAlignment="1"/>
    <xf numFmtId="0" fontId="36" fillId="5" borderId="1" xfId="0" applyFont="1" applyFill="1" applyBorder="1" applyAlignment="1">
      <alignment vertical="center"/>
    </xf>
    <xf numFmtId="0" fontId="36" fillId="5" borderId="6" xfId="0" applyFont="1" applyFill="1" applyBorder="1" applyAlignment="1">
      <alignment vertical="center"/>
    </xf>
    <xf numFmtId="0" fontId="37" fillId="0" borderId="85" xfId="0" applyFont="1" applyBorder="1" applyAlignment="1">
      <alignment vertical="center"/>
    </xf>
    <xf numFmtId="0" fontId="36" fillId="6" borderId="85" xfId="0" applyFont="1" applyFill="1" applyBorder="1" applyAlignment="1">
      <alignment horizontal="left" vertical="center"/>
    </xf>
    <xf numFmtId="49" fontId="37" fillId="6" borderId="85" xfId="0" applyNumberFormat="1" applyFont="1" applyFill="1" applyBorder="1" applyAlignment="1">
      <alignment horizontal="left" vertical="center"/>
    </xf>
    <xf numFmtId="0" fontId="37" fillId="12" borderId="85" xfId="0" applyFont="1" applyFill="1" applyBorder="1" applyAlignment="1">
      <alignment horizontal="left" vertical="center"/>
    </xf>
    <xf numFmtId="0" fontId="37" fillId="12" borderId="85" xfId="0" applyFont="1" applyFill="1" applyBorder="1" applyAlignment="1">
      <alignment horizontal="left"/>
    </xf>
    <xf numFmtId="0" fontId="37" fillId="0" borderId="85" xfId="0" applyFont="1" applyFill="1" applyBorder="1" applyAlignment="1">
      <alignment horizontal="left" vertical="center"/>
    </xf>
    <xf numFmtId="0" fontId="37" fillId="6" borderId="85" xfId="0" applyFont="1" applyFill="1" applyBorder="1" applyAlignment="1">
      <alignment horizontal="left" vertical="center"/>
    </xf>
    <xf numFmtId="0" fontId="41" fillId="0" borderId="85" xfId="0" applyFont="1" applyBorder="1" applyAlignment="1">
      <alignment horizontal="left" vertical="center"/>
    </xf>
    <xf numFmtId="0" fontId="37" fillId="13" borderId="85" xfId="0" applyFont="1" applyFill="1" applyBorder="1" applyAlignment="1">
      <alignment horizontal="left" vertical="center"/>
    </xf>
    <xf numFmtId="0" fontId="36" fillId="3" borderId="85" xfId="0" applyFont="1" applyFill="1" applyBorder="1" applyAlignment="1">
      <alignment horizontal="left" vertical="center"/>
    </xf>
    <xf numFmtId="0" fontId="36" fillId="5" borderId="1" xfId="0" applyFont="1" applyFill="1" applyBorder="1" applyAlignment="1">
      <alignment horizontal="left" vertical="top" wrapText="1"/>
    </xf>
    <xf numFmtId="0" fontId="36" fillId="5" borderId="6" xfId="0" applyFont="1" applyFill="1" applyBorder="1" applyAlignment="1">
      <alignment horizontal="left" vertical="top" wrapText="1"/>
    </xf>
    <xf numFmtId="0" fontId="37" fillId="5" borderId="85" xfId="0" applyFont="1" applyFill="1" applyBorder="1" applyAlignment="1">
      <alignment wrapText="1"/>
    </xf>
    <xf numFmtId="0" fontId="37" fillId="0" borderId="85" xfId="0" applyFont="1" applyBorder="1" applyAlignment="1" applyProtection="1">
      <alignment horizontal="left" vertical="center" wrapText="1"/>
      <protection locked="0"/>
    </xf>
    <xf numFmtId="0" fontId="37" fillId="12" borderId="85" xfId="0" applyFont="1" applyFill="1" applyBorder="1" applyAlignment="1">
      <alignment wrapText="1"/>
    </xf>
    <xf numFmtId="0" fontId="36" fillId="12" borderId="85" xfId="0" applyFont="1" applyFill="1" applyBorder="1" applyAlignment="1">
      <alignment wrapText="1"/>
    </xf>
    <xf numFmtId="0" fontId="37" fillId="0" borderId="85" xfId="0" applyFont="1" applyFill="1" applyBorder="1" applyAlignment="1">
      <alignment wrapText="1"/>
    </xf>
    <xf numFmtId="0" fontId="37" fillId="0" borderId="85" xfId="0" applyFont="1" applyBorder="1" applyAlignment="1" applyProtection="1">
      <alignment horizontal="left" vertical="center" wrapText="1"/>
    </xf>
    <xf numFmtId="0" fontId="37" fillId="5" borderId="0" xfId="0" applyFont="1" applyFill="1" applyAlignment="1">
      <alignment vertical="top" wrapText="1"/>
    </xf>
    <xf numFmtId="0" fontId="43" fillId="4" borderId="109" xfId="0" applyFont="1" applyFill="1" applyBorder="1" applyAlignment="1">
      <alignment horizontal="center" vertical="center"/>
    </xf>
    <xf numFmtId="0" fontId="37" fillId="5" borderId="114" xfId="0" applyFont="1" applyFill="1" applyBorder="1" applyAlignment="1"/>
    <xf numFmtId="0" fontId="37" fillId="0" borderId="116" xfId="0" applyFont="1" applyBorder="1" applyAlignment="1">
      <alignment horizontal="left" vertical="center"/>
    </xf>
    <xf numFmtId="0" fontId="43" fillId="4" borderId="116" xfId="0" applyFont="1" applyFill="1" applyBorder="1" applyAlignment="1">
      <alignment horizontal="center" vertical="center"/>
    </xf>
    <xf numFmtId="0" fontId="37" fillId="5" borderId="116" xfId="0" applyFont="1" applyFill="1" applyBorder="1" applyAlignment="1">
      <alignment wrapText="1"/>
    </xf>
    <xf numFmtId="0" fontId="37" fillId="5" borderId="117" xfId="0" applyFont="1" applyFill="1" applyBorder="1" applyAlignment="1"/>
    <xf numFmtId="0" fontId="37" fillId="5" borderId="109" xfId="0" applyFont="1" applyFill="1" applyBorder="1" applyAlignment="1">
      <alignment wrapText="1"/>
    </xf>
    <xf numFmtId="0" fontId="37" fillId="5" borderId="118" xfId="0" applyFont="1" applyFill="1" applyBorder="1" applyAlignment="1"/>
    <xf numFmtId="0" fontId="37" fillId="0" borderId="121" xfId="0" applyFont="1" applyBorder="1" applyAlignment="1">
      <alignment horizontal="left" vertical="center"/>
    </xf>
    <xf numFmtId="0" fontId="37" fillId="0" borderId="122" xfId="0" applyFont="1" applyBorder="1" applyAlignment="1">
      <alignment horizontal="left" vertical="center"/>
    </xf>
    <xf numFmtId="0" fontId="37" fillId="0" borderId="123" xfId="0" applyFont="1" applyBorder="1" applyAlignment="1">
      <alignment horizontal="left" vertical="center"/>
    </xf>
    <xf numFmtId="0" fontId="37" fillId="0" borderId="124" xfId="0" applyFont="1" applyBorder="1" applyAlignment="1">
      <alignment horizontal="left" vertical="center"/>
    </xf>
    <xf numFmtId="0" fontId="43" fillId="4" borderId="111" xfId="0" applyFont="1" applyFill="1" applyBorder="1" applyAlignment="1">
      <alignment horizontal="center" vertical="center"/>
    </xf>
    <xf numFmtId="0" fontId="37" fillId="0" borderId="111" xfId="0" applyFont="1" applyBorder="1" applyAlignment="1" applyProtection="1">
      <alignment horizontal="left" vertical="center" wrapText="1"/>
      <protection locked="0"/>
    </xf>
    <xf numFmtId="0" fontId="37" fillId="0" borderId="112" xfId="0" applyFont="1" applyBorder="1" applyAlignment="1" applyProtection="1">
      <alignment horizontal="left" vertical="center"/>
      <protection locked="0"/>
    </xf>
    <xf numFmtId="0" fontId="37" fillId="0" borderId="114" xfId="0" applyFont="1" applyBorder="1" applyAlignment="1" applyProtection="1">
      <alignment horizontal="left" vertical="center"/>
      <protection locked="0"/>
    </xf>
    <xf numFmtId="0" fontId="37" fillId="0" borderId="116" xfId="0" applyFont="1" applyBorder="1" applyAlignment="1" applyProtection="1">
      <alignment horizontal="left" vertical="center" wrapText="1"/>
      <protection locked="0"/>
    </xf>
    <xf numFmtId="0" fontId="37" fillId="0" borderId="117" xfId="0" applyFont="1" applyBorder="1" applyAlignment="1" applyProtection="1">
      <alignment horizontal="left" vertical="center"/>
      <protection locked="0"/>
    </xf>
    <xf numFmtId="0" fontId="37" fillId="0" borderId="111" xfId="0" applyFont="1" applyBorder="1" applyAlignment="1">
      <alignment horizontal="left" vertical="center"/>
    </xf>
    <xf numFmtId="0" fontId="37" fillId="0" borderId="122" xfId="0" applyFont="1" applyBorder="1" applyAlignment="1">
      <alignment vertical="center"/>
    </xf>
    <xf numFmtId="0" fontId="36" fillId="0" borderId="122" xfId="0" applyFont="1" applyBorder="1" applyAlignment="1">
      <alignment horizontal="left" vertical="center"/>
    </xf>
    <xf numFmtId="0" fontId="36" fillId="4" borderId="109" xfId="0" applyFont="1" applyFill="1" applyBorder="1" applyAlignment="1">
      <alignment horizontal="center" vertical="center"/>
    </xf>
    <xf numFmtId="0" fontId="36" fillId="4" borderId="111" xfId="0" applyFont="1" applyFill="1" applyBorder="1" applyAlignment="1">
      <alignment horizontal="center" vertical="center"/>
    </xf>
    <xf numFmtId="0" fontId="37" fillId="12" borderId="111" xfId="0" applyFont="1" applyFill="1" applyBorder="1" applyAlignment="1">
      <alignment wrapText="1"/>
    </xf>
    <xf numFmtId="0" fontId="37" fillId="12" borderId="112" xfId="0" applyFont="1" applyFill="1" applyBorder="1" applyAlignment="1"/>
    <xf numFmtId="0" fontId="37" fillId="12" borderId="114" xfId="0" applyFont="1" applyFill="1" applyBorder="1" applyAlignment="1"/>
    <xf numFmtId="0" fontId="36" fillId="4" borderId="116" xfId="0" applyFont="1" applyFill="1" applyBorder="1" applyAlignment="1">
      <alignment horizontal="center" vertical="center"/>
    </xf>
    <xf numFmtId="0" fontId="37" fillId="12" borderId="116" xfId="0" applyFont="1" applyFill="1" applyBorder="1" applyAlignment="1">
      <alignment wrapText="1"/>
    </xf>
    <xf numFmtId="0" fontId="37" fillId="12" borderId="117" xfId="0" applyFont="1" applyFill="1" applyBorder="1" applyAlignment="1"/>
    <xf numFmtId="0" fontId="36" fillId="0" borderId="116" xfId="0" applyFont="1" applyBorder="1" applyAlignment="1">
      <alignment horizontal="left" vertical="center"/>
    </xf>
    <xf numFmtId="0" fontId="37" fillId="12" borderId="116" xfId="0" applyFont="1" applyFill="1" applyBorder="1" applyAlignment="1">
      <alignment vertical="center" wrapText="1"/>
    </xf>
    <xf numFmtId="0" fontId="37" fillId="12" borderId="117" xfId="0" applyFont="1" applyFill="1" applyBorder="1" applyAlignment="1">
      <alignment vertical="center"/>
    </xf>
    <xf numFmtId="0" fontId="36" fillId="6" borderId="109" xfId="0" applyFont="1" applyFill="1" applyBorder="1" applyAlignment="1">
      <alignment horizontal="left" vertical="center" wrapText="1"/>
    </xf>
    <xf numFmtId="0" fontId="37" fillId="5" borderId="109" xfId="0" applyFont="1" applyFill="1" applyBorder="1" applyAlignment="1"/>
    <xf numFmtId="1" fontId="4" fillId="6" borderId="13" xfId="0" applyNumberFormat="1" applyFont="1" applyFill="1" applyBorder="1" applyAlignment="1">
      <alignment horizontal="center" vertical="center"/>
    </xf>
    <xf numFmtId="0" fontId="27" fillId="4" borderId="41" xfId="0" applyFont="1" applyFill="1" applyBorder="1" applyAlignment="1">
      <alignment horizontal="center" vertical="center"/>
    </xf>
    <xf numFmtId="0" fontId="26"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6" fillId="0" borderId="54" xfId="0" applyFont="1" applyBorder="1" applyAlignment="1">
      <alignment vertical="center" wrapText="1"/>
    </xf>
    <xf numFmtId="0" fontId="16" fillId="0" borderId="92" xfId="0" applyFont="1" applyBorder="1" applyAlignment="1">
      <alignment vertical="center" wrapText="1"/>
    </xf>
    <xf numFmtId="0" fontId="16" fillId="0" borderId="92" xfId="0" applyFont="1" applyBorder="1" applyAlignment="1">
      <alignment vertical="center"/>
    </xf>
    <xf numFmtId="0" fontId="45" fillId="0" borderId="92" xfId="0" applyFont="1" applyBorder="1" applyAlignment="1">
      <alignment vertical="center" wrapText="1"/>
    </xf>
    <xf numFmtId="0" fontId="18" fillId="6" borderId="43" xfId="0" applyFont="1" applyFill="1" applyBorder="1" applyAlignment="1">
      <alignment horizontal="left" vertical="center" wrapText="1"/>
    </xf>
    <xf numFmtId="49" fontId="25" fillId="6" borderId="23" xfId="0" applyNumberFormat="1" applyFont="1" applyFill="1" applyBorder="1" applyAlignment="1">
      <alignment horizontal="left" vertical="center" wrapText="1"/>
    </xf>
    <xf numFmtId="49" fontId="25" fillId="6" borderId="57" xfId="0" applyNumberFormat="1" applyFont="1" applyFill="1" applyBorder="1" applyAlignment="1">
      <alignment horizontal="left" vertical="center" wrapText="1"/>
    </xf>
    <xf numFmtId="49" fontId="32" fillId="6" borderId="57" xfId="0" applyNumberFormat="1" applyFont="1" applyFill="1" applyBorder="1" applyAlignment="1">
      <alignment horizontal="left" vertical="center" wrapText="1"/>
    </xf>
    <xf numFmtId="49" fontId="32" fillId="6" borderId="43" xfId="0" applyNumberFormat="1" applyFont="1" applyFill="1" applyBorder="1" applyAlignment="1">
      <alignment horizontal="left" vertical="center" wrapText="1"/>
    </xf>
    <xf numFmtId="49" fontId="18" fillId="6" borderId="23" xfId="0" applyNumberFormat="1" applyFont="1" applyFill="1" applyBorder="1" applyAlignment="1">
      <alignment horizontal="left" vertical="center" wrapText="1"/>
    </xf>
    <xf numFmtId="49" fontId="18" fillId="6" borderId="43" xfId="0" applyNumberFormat="1" applyFont="1" applyFill="1" applyBorder="1" applyAlignment="1">
      <alignment horizontal="left" vertical="center" wrapText="1"/>
    </xf>
    <xf numFmtId="0" fontId="19" fillId="5" borderId="29" xfId="0" applyFont="1" applyFill="1" applyBorder="1" applyAlignment="1">
      <alignment horizontal="left" vertical="center" wrapText="1"/>
    </xf>
    <xf numFmtId="49" fontId="18" fillId="6" borderId="30" xfId="0" applyNumberFormat="1" applyFont="1" applyFill="1" applyBorder="1" applyAlignment="1">
      <alignment horizontal="left" vertical="center" wrapText="1"/>
    </xf>
    <xf numFmtId="0" fontId="32" fillId="6" borderId="47" xfId="0" applyFont="1" applyFill="1" applyBorder="1" applyAlignment="1">
      <alignment vertical="top" wrapText="1"/>
    </xf>
    <xf numFmtId="0" fontId="32" fillId="0" borderId="0" xfId="0" applyFont="1" applyAlignment="1">
      <alignment vertical="top" wrapText="1"/>
    </xf>
    <xf numFmtId="0" fontId="26" fillId="12" borderId="52" xfId="0" applyFont="1" applyFill="1" applyBorder="1" applyAlignment="1">
      <alignment vertical="top" wrapText="1"/>
    </xf>
    <xf numFmtId="0" fontId="26" fillId="6" borderId="39" xfId="0" applyFont="1" applyFill="1" applyBorder="1" applyAlignment="1">
      <alignment vertical="top" wrapText="1"/>
    </xf>
    <xf numFmtId="0" fontId="26" fillId="5" borderId="11" xfId="0" applyFont="1" applyFill="1" applyBorder="1" applyAlignment="1">
      <alignment vertical="top" wrapText="1"/>
    </xf>
    <xf numFmtId="0" fontId="32" fillId="0" borderId="39" xfId="0" applyFont="1" applyBorder="1" applyAlignment="1">
      <alignment vertical="top" wrapText="1"/>
    </xf>
    <xf numFmtId="0" fontId="26" fillId="0" borderId="11" xfId="0" applyFont="1" applyBorder="1" applyAlignment="1">
      <alignment vertical="top" wrapText="1"/>
    </xf>
    <xf numFmtId="0" fontId="61" fillId="0" borderId="0" xfId="0" applyFont="1" applyAlignment="1">
      <alignment vertical="top" wrapText="1"/>
    </xf>
    <xf numFmtId="0" fontId="26" fillId="0" borderId="0" xfId="0" applyFont="1" applyAlignment="1">
      <alignment vertical="top" wrapText="1"/>
    </xf>
    <xf numFmtId="0" fontId="64" fillId="5" borderId="0" xfId="0" applyFont="1" applyFill="1" applyBorder="1"/>
    <xf numFmtId="0" fontId="55" fillId="0" borderId="0" xfId="0" applyFont="1"/>
    <xf numFmtId="0" fontId="62" fillId="5" borderId="0" xfId="0" applyFont="1" applyFill="1" applyBorder="1" applyAlignment="1">
      <alignment vertical="center"/>
    </xf>
    <xf numFmtId="0" fontId="63" fillId="0" borderId="0" xfId="0" applyFont="1" applyAlignment="1">
      <alignment vertical="center"/>
    </xf>
    <xf numFmtId="0" fontId="32" fillId="7" borderId="41" xfId="0" applyFont="1" applyFill="1" applyBorder="1" applyAlignment="1">
      <alignment horizontal="center" vertical="center" wrapText="1"/>
    </xf>
    <xf numFmtId="0" fontId="4" fillId="8" borderId="21" xfId="0" applyFont="1" applyFill="1" applyBorder="1" applyAlignment="1">
      <alignment vertical="center"/>
    </xf>
    <xf numFmtId="0" fontId="32" fillId="0" borderId="26" xfId="0" applyFont="1" applyFill="1" applyBorder="1" applyAlignment="1">
      <alignment horizontal="center" vertical="center" wrapText="1"/>
    </xf>
    <xf numFmtId="0" fontId="18" fillId="0" borderId="46" xfId="0" applyFont="1" applyFill="1" applyBorder="1" applyAlignment="1">
      <alignment vertical="center"/>
    </xf>
    <xf numFmtId="0" fontId="68" fillId="5" borderId="149" xfId="0" applyFont="1" applyFill="1" applyBorder="1" applyAlignment="1">
      <alignment horizontal="center" wrapText="1"/>
    </xf>
    <xf numFmtId="0" fontId="68" fillId="5" borderId="0" xfId="0" applyFont="1" applyFill="1" applyAlignment="1">
      <alignment horizontal="center" wrapText="1"/>
    </xf>
    <xf numFmtId="0" fontId="37" fillId="0" borderId="110" xfId="0" applyFont="1" applyBorder="1" applyAlignment="1">
      <alignment horizontal="left" vertical="center" wrapText="1"/>
    </xf>
    <xf numFmtId="0" fontId="37" fillId="0" borderId="115" xfId="0" applyFont="1" applyBorder="1" applyAlignment="1">
      <alignment horizontal="left" vertical="center" wrapText="1"/>
    </xf>
    <xf numFmtId="0" fontId="43" fillId="3" borderId="47" xfId="0" applyFont="1" applyFill="1" applyBorder="1" applyAlignment="1">
      <alignment horizontal="left" vertical="center"/>
    </xf>
    <xf numFmtId="0" fontId="43" fillId="3" borderId="119" xfId="0" applyFont="1" applyFill="1" applyBorder="1" applyAlignment="1">
      <alignment horizontal="left" vertical="center"/>
    </xf>
    <xf numFmtId="0" fontId="43" fillId="3" borderId="120" xfId="0" applyFont="1" applyFill="1" applyBorder="1" applyAlignment="1">
      <alignment horizontal="left" vertical="center"/>
    </xf>
    <xf numFmtId="0" fontId="37" fillId="12" borderId="61" xfId="0" applyFont="1" applyFill="1" applyBorder="1" applyAlignment="1">
      <alignment vertical="center"/>
    </xf>
    <xf numFmtId="0" fontId="37" fillId="12" borderId="62" xfId="0" applyFont="1" applyFill="1" applyBorder="1" applyAlignment="1">
      <alignment vertical="center"/>
    </xf>
    <xf numFmtId="0" fontId="37" fillId="12" borderId="63" xfId="0" applyFont="1" applyFill="1" applyBorder="1" applyAlignment="1">
      <alignment vertical="center"/>
    </xf>
    <xf numFmtId="0" fontId="43" fillId="3" borderId="125" xfId="0" applyFont="1" applyFill="1" applyBorder="1" applyAlignment="1">
      <alignment horizontal="left" vertical="center"/>
    </xf>
    <xf numFmtId="0" fontId="37" fillId="0" borderId="61" xfId="0" applyFont="1" applyBorder="1" applyAlignment="1">
      <alignment horizontal="left" vertical="center" wrapText="1"/>
    </xf>
    <xf numFmtId="0" fontId="37" fillId="0" borderId="62" xfId="0" applyFont="1" applyBorder="1" applyAlignment="1">
      <alignment horizontal="left" vertical="center" wrapText="1"/>
    </xf>
    <xf numFmtId="0" fontId="37" fillId="0" borderId="63" xfId="0" applyFont="1" applyBorder="1" applyAlignment="1">
      <alignment horizontal="left" vertical="center" wrapText="1"/>
    </xf>
    <xf numFmtId="0" fontId="37" fillId="12" borderId="110" xfId="0" applyFont="1" applyFill="1" applyBorder="1" applyAlignment="1">
      <alignment vertical="center"/>
    </xf>
    <xf numFmtId="0" fontId="37" fillId="12" borderId="113" xfId="0" applyFont="1" applyFill="1" applyBorder="1" applyAlignment="1">
      <alignment vertical="center"/>
    </xf>
    <xf numFmtId="0" fontId="37" fillId="12" borderId="115" xfId="0" applyFont="1" applyFill="1" applyBorder="1" applyAlignment="1">
      <alignment vertical="center"/>
    </xf>
    <xf numFmtId="0" fontId="37" fillId="0" borderId="85" xfId="0" applyFont="1" applyBorder="1" applyAlignment="1">
      <alignment horizontal="left" vertical="center" wrapText="1"/>
    </xf>
    <xf numFmtId="0" fontId="43" fillId="3" borderId="85" xfId="0" applyFont="1" applyFill="1" applyBorder="1" applyAlignment="1">
      <alignment horizontal="left" vertical="center"/>
    </xf>
    <xf numFmtId="0" fontId="37" fillId="5" borderId="85" xfId="0" applyFont="1" applyFill="1" applyBorder="1" applyAlignment="1">
      <alignment horizontal="left" vertical="center" wrapText="1"/>
    </xf>
    <xf numFmtId="0" fontId="36" fillId="5" borderId="85" xfId="0" applyFont="1" applyFill="1" applyBorder="1" applyAlignment="1">
      <alignment horizontal="left" vertical="center" wrapText="1"/>
    </xf>
    <xf numFmtId="0" fontId="36" fillId="0" borderId="85" xfId="0" applyFont="1" applyBorder="1" applyAlignment="1">
      <alignment horizontal="left" vertical="center" wrapText="1"/>
    </xf>
    <xf numFmtId="0" fontId="36" fillId="0" borderId="85" xfId="0" applyFont="1" applyFill="1" applyBorder="1" applyAlignment="1">
      <alignment horizontal="left" vertical="center" wrapText="1"/>
    </xf>
    <xf numFmtId="0" fontId="43" fillId="5" borderId="85" xfId="0" applyFont="1" applyFill="1" applyBorder="1" applyAlignment="1">
      <alignment horizontal="left" vertical="center" wrapText="1"/>
    </xf>
    <xf numFmtId="0" fontId="36" fillId="0" borderId="85" xfId="0" applyFont="1" applyBorder="1" applyAlignment="1">
      <alignment horizontal="center" vertical="center" wrapText="1"/>
    </xf>
    <xf numFmtId="0" fontId="36" fillId="5" borderId="3" xfId="0" applyFont="1" applyFill="1" applyBorder="1" applyAlignment="1">
      <alignment horizontal="center"/>
    </xf>
    <xf numFmtId="0" fontId="36" fillId="5" borderId="4" xfId="0" applyFont="1" applyFill="1" applyBorder="1" applyAlignment="1">
      <alignment horizontal="center"/>
    </xf>
    <xf numFmtId="0" fontId="37" fillId="0" borderId="85" xfId="0" applyFont="1" applyBorder="1" applyAlignment="1">
      <alignment horizontal="center" vertical="center" wrapText="1"/>
    </xf>
    <xf numFmtId="0" fontId="26" fillId="12" borderId="68" xfId="0" applyFont="1" applyFill="1" applyBorder="1" applyAlignment="1">
      <alignment vertical="top" wrapText="1"/>
    </xf>
    <xf numFmtId="0" fontId="26" fillId="12" borderId="62" xfId="0" applyFont="1" applyFill="1" applyBorder="1" applyAlignment="1">
      <alignment vertical="top" wrapText="1"/>
    </xf>
    <xf numFmtId="0" fontId="26" fillId="12" borderId="63" xfId="0" applyFont="1" applyFill="1" applyBorder="1" applyAlignment="1">
      <alignment vertical="top" wrapText="1"/>
    </xf>
    <xf numFmtId="0" fontId="26" fillId="12" borderId="61" xfId="0" applyFont="1" applyFill="1" applyBorder="1" applyAlignment="1">
      <alignment vertical="top" wrapText="1"/>
    </xf>
    <xf numFmtId="0" fontId="46" fillId="2" borderId="64" xfId="0" applyFont="1" applyFill="1" applyBorder="1" applyAlignment="1">
      <alignment horizontal="center" vertical="center" wrapText="1"/>
    </xf>
    <xf numFmtId="0" fontId="46" fillId="2" borderId="52" xfId="0" applyFont="1" applyFill="1" applyBorder="1" applyAlignment="1">
      <alignment horizontal="center" vertical="center" wrapText="1"/>
    </xf>
    <xf numFmtId="0" fontId="46" fillId="2" borderId="65" xfId="0" applyFont="1" applyFill="1" applyBorder="1" applyAlignment="1">
      <alignment horizontal="center" vertical="center" wrapText="1"/>
    </xf>
    <xf numFmtId="0" fontId="17" fillId="8" borderId="59" xfId="0" applyFont="1" applyFill="1" applyBorder="1" applyAlignment="1">
      <alignment horizontal="center" vertical="center" wrapText="1"/>
    </xf>
    <xf numFmtId="0" fontId="17" fillId="8" borderId="51" xfId="0" applyFont="1" applyFill="1" applyBorder="1" applyAlignment="1">
      <alignment horizontal="center" vertical="center" wrapText="1"/>
    </xf>
    <xf numFmtId="0" fontId="17" fillId="8" borderId="91" xfId="0" applyFont="1" applyFill="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61" fillId="5" borderId="24" xfId="0" applyFont="1" applyFill="1" applyBorder="1" applyAlignment="1">
      <alignment vertical="top" wrapText="1"/>
    </xf>
    <xf numFmtId="0" fontId="61" fillId="5" borderId="25" xfId="0" applyFont="1" applyFill="1" applyBorder="1" applyAlignment="1">
      <alignment vertical="top" wrapText="1"/>
    </xf>
    <xf numFmtId="0" fontId="61" fillId="5" borderId="26" xfId="0" applyFont="1" applyFill="1" applyBorder="1" applyAlignment="1">
      <alignment vertical="top" wrapText="1"/>
    </xf>
    <xf numFmtId="0" fontId="26" fillId="0" borderId="24" xfId="0" applyFont="1" applyBorder="1" applyAlignment="1">
      <alignment vertical="top" wrapText="1"/>
    </xf>
    <xf numFmtId="0" fontId="26" fillId="0" borderId="25" xfId="0" applyFont="1" applyBorder="1" applyAlignment="1">
      <alignment vertical="top" wrapText="1"/>
    </xf>
    <xf numFmtId="0" fontId="26" fillId="0" borderId="26" xfId="0" applyFont="1" applyBorder="1" applyAlignment="1">
      <alignment vertical="top" wrapText="1"/>
    </xf>
    <xf numFmtId="0" fontId="26" fillId="0" borderId="24" xfId="0" applyFont="1" applyBorder="1" applyAlignment="1">
      <alignment horizontal="center" vertical="top" wrapText="1"/>
    </xf>
    <xf numFmtId="0" fontId="26" fillId="0" borderId="26" xfId="0" applyFont="1" applyBorder="1" applyAlignment="1">
      <alignment horizontal="center" vertical="top" wrapText="1"/>
    </xf>
    <xf numFmtId="0" fontId="26" fillId="0" borderId="28" xfId="0" applyFont="1" applyBorder="1" applyAlignment="1">
      <alignment vertical="top" wrapText="1"/>
    </xf>
    <xf numFmtId="0" fontId="26" fillId="0" borderId="29" xfId="0" applyFont="1" applyBorder="1" applyAlignment="1">
      <alignment vertical="top" wrapText="1"/>
    </xf>
    <xf numFmtId="0" fontId="26" fillId="0" borderId="30" xfId="0" applyFont="1" applyBorder="1" applyAlignment="1">
      <alignment vertical="top" wrapText="1"/>
    </xf>
    <xf numFmtId="0" fontId="26" fillId="5" borderId="24" xfId="0" applyFont="1" applyFill="1" applyBorder="1" applyAlignment="1">
      <alignment vertical="top" wrapText="1"/>
    </xf>
    <xf numFmtId="0" fontId="26" fillId="5" borderId="25" xfId="0" applyFont="1" applyFill="1" applyBorder="1" applyAlignment="1">
      <alignment vertical="top" wrapText="1"/>
    </xf>
    <xf numFmtId="0" fontId="26" fillId="5" borderId="26" xfId="0" applyFont="1" applyFill="1" applyBorder="1" applyAlignment="1">
      <alignmen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4" fillId="7" borderId="24" xfId="0" applyFont="1" applyFill="1" applyBorder="1" applyAlignment="1">
      <alignment horizontal="center" vertical="center" wrapText="1"/>
    </xf>
    <xf numFmtId="0" fontId="24" fillId="7" borderId="26" xfId="0" applyFont="1" applyFill="1" applyBorder="1" applyAlignment="1">
      <alignment horizontal="center" vertical="center" wrapText="1"/>
    </xf>
    <xf numFmtId="0" fontId="24" fillId="7" borderId="41" xfId="0" applyFont="1" applyFill="1" applyBorder="1" applyAlignment="1">
      <alignment horizontal="center" vertical="center" wrapText="1"/>
    </xf>
    <xf numFmtId="0" fontId="60" fillId="5" borderId="24" xfId="0" applyFont="1" applyFill="1" applyBorder="1" applyAlignment="1">
      <alignment vertical="top" wrapText="1"/>
    </xf>
    <xf numFmtId="0" fontId="60" fillId="5" borderId="26" xfId="0" applyFont="1" applyFill="1" applyBorder="1" applyAlignment="1">
      <alignment vertical="top" wrapText="1"/>
    </xf>
    <xf numFmtId="0" fontId="32" fillId="2" borderId="24" xfId="0" applyFont="1" applyFill="1" applyBorder="1" applyAlignment="1">
      <alignment vertical="top" wrapText="1"/>
    </xf>
    <xf numFmtId="0" fontId="32" fillId="2" borderId="26" xfId="0" applyFont="1" applyFill="1" applyBorder="1" applyAlignment="1">
      <alignment vertical="top" wrapText="1"/>
    </xf>
    <xf numFmtId="0" fontId="18" fillId="2" borderId="28" xfId="0" applyFont="1" applyFill="1" applyBorder="1" applyAlignment="1">
      <alignment horizontal="left" vertical="center" wrapText="1"/>
    </xf>
    <xf numFmtId="0" fontId="18" fillId="2" borderId="30" xfId="0" applyFont="1" applyFill="1" applyBorder="1" applyAlignment="1">
      <alignment horizontal="left" vertical="center" wrapText="1"/>
    </xf>
    <xf numFmtId="0" fontId="32" fillId="2" borderId="42" xfId="0" applyFont="1" applyFill="1" applyBorder="1" applyAlignment="1">
      <alignment vertical="top" wrapText="1"/>
    </xf>
    <xf numFmtId="0" fontId="60" fillId="5" borderId="42" xfId="0" applyFont="1" applyFill="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47" fillId="2" borderId="41" xfId="0" applyFont="1" applyFill="1" applyBorder="1" applyAlignment="1">
      <alignment horizontal="left" vertical="top" wrapText="1"/>
    </xf>
    <xf numFmtId="0" fontId="47" fillId="2" borderId="25" xfId="0" applyFont="1" applyFill="1" applyBorder="1" applyAlignment="1">
      <alignment horizontal="left" vertical="top" wrapText="1"/>
    </xf>
    <xf numFmtId="0" fontId="47"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49" fontId="7" fillId="4" borderId="31" xfId="1" applyNumberFormat="1" applyFont="1" applyFill="1" applyBorder="1" applyAlignment="1">
      <alignment horizontal="center" vertical="center"/>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42" xfId="0" applyFont="1" applyBorder="1" applyAlignment="1">
      <alignment horizontal="left" vertical="top" wrapText="1"/>
    </xf>
    <xf numFmtId="0" fontId="32" fillId="5" borderId="24" xfId="0" applyFont="1" applyFill="1" applyBorder="1" applyAlignment="1">
      <alignment vertical="top" wrapText="1"/>
    </xf>
    <xf numFmtId="0" fontId="32" fillId="5" borderId="25" xfId="0" applyFont="1" applyFill="1" applyBorder="1" applyAlignment="1">
      <alignment vertical="top" wrapText="1"/>
    </xf>
    <xf numFmtId="0" fontId="32" fillId="5" borderId="26" xfId="0" applyFont="1" applyFill="1" applyBorder="1" applyAlignment="1">
      <alignment vertical="top" wrapText="1"/>
    </xf>
    <xf numFmtId="0" fontId="32" fillId="5" borderId="42" xfId="0" applyFont="1" applyFill="1" applyBorder="1" applyAlignment="1">
      <alignment vertical="top" wrapText="1"/>
    </xf>
    <xf numFmtId="0" fontId="18" fillId="2" borderId="24" xfId="0" applyFont="1" applyFill="1" applyBorder="1" applyAlignment="1">
      <alignment horizontal="left" vertical="center" wrapText="1"/>
    </xf>
    <xf numFmtId="0" fontId="18" fillId="2" borderId="26" xfId="0" applyFont="1" applyFill="1" applyBorder="1" applyAlignment="1">
      <alignment horizontal="left" vertical="center" wrapText="1"/>
    </xf>
    <xf numFmtId="0" fontId="32" fillId="0" borderId="41" xfId="0" applyFont="1" applyBorder="1" applyAlignment="1">
      <alignment vertical="top" wrapText="1"/>
    </xf>
    <xf numFmtId="0" fontId="32" fillId="0" borderId="25" xfId="0" applyFont="1" applyBorder="1" applyAlignment="1">
      <alignment vertical="top" wrapText="1"/>
    </xf>
    <xf numFmtId="0" fontId="32" fillId="0" borderId="26" xfId="0" applyFont="1" applyBorder="1" applyAlignment="1">
      <alignment vertical="top" wrapText="1"/>
    </xf>
    <xf numFmtId="0" fontId="32" fillId="0" borderId="24" xfId="0" applyFont="1" applyBorder="1" applyAlignment="1">
      <alignment vertical="top" wrapText="1"/>
    </xf>
    <xf numFmtId="0" fontId="29" fillId="2" borderId="42" xfId="0" applyFont="1" applyFill="1" applyBorder="1" applyAlignment="1">
      <alignment horizontal="center" vertical="top" wrapText="1"/>
    </xf>
    <xf numFmtId="0" fontId="29" fillId="2" borderId="52" xfId="0" applyFont="1" applyFill="1" applyBorder="1" applyAlignment="1">
      <alignment horizontal="center" vertical="top" wrapText="1"/>
    </xf>
    <xf numFmtId="0" fontId="29"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91" xfId="0" applyFont="1" applyFill="1" applyBorder="1" applyAlignment="1">
      <alignment horizontal="center"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32" fillId="5" borderId="41" xfId="0" applyFont="1" applyFill="1" applyBorder="1" applyAlignment="1">
      <alignment vertical="top" wrapText="1"/>
    </xf>
    <xf numFmtId="0" fontId="26" fillId="5" borderId="41" xfId="0" applyFont="1" applyFill="1" applyBorder="1" applyAlignment="1">
      <alignment horizontal="left" vertical="top" wrapText="1"/>
    </xf>
    <xf numFmtId="0" fontId="26" fillId="5" borderId="25" xfId="0" applyFont="1" applyFill="1" applyBorder="1" applyAlignment="1">
      <alignment horizontal="left" vertical="top" wrapText="1"/>
    </xf>
    <xf numFmtId="0" fontId="26" fillId="5" borderId="26" xfId="0" applyFont="1" applyFill="1" applyBorder="1" applyAlignment="1">
      <alignment horizontal="left" vertical="top" wrapText="1"/>
    </xf>
    <xf numFmtId="0" fontId="4" fillId="8" borderId="28" xfId="0" applyFont="1" applyFill="1" applyBorder="1" applyAlignment="1">
      <alignment horizontal="center" vertical="center"/>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91"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4" fillId="10" borderId="45" xfId="0" applyFont="1" applyFill="1" applyBorder="1" applyAlignment="1">
      <alignment horizontal="left" vertical="top" wrapText="1"/>
    </xf>
    <xf numFmtId="0" fontId="24" fillId="10" borderId="29" xfId="0" applyFont="1" applyFill="1" applyBorder="1" applyAlignment="1">
      <alignment horizontal="left" vertical="top" wrapText="1"/>
    </xf>
    <xf numFmtId="0" fontId="24" fillId="10" borderId="55" xfId="0" applyFont="1" applyFill="1" applyBorder="1" applyAlignment="1">
      <alignment horizontal="left" vertical="top" wrapText="1"/>
    </xf>
    <xf numFmtId="0" fontId="46" fillId="2" borderId="24" xfId="0" applyFont="1" applyFill="1" applyBorder="1" applyAlignment="1">
      <alignment horizontal="left" vertical="top" wrapText="1"/>
    </xf>
    <xf numFmtId="0" fontId="46" fillId="2" borderId="25" xfId="0" applyFont="1" applyFill="1" applyBorder="1" applyAlignment="1">
      <alignment horizontal="left" vertical="top" wrapText="1"/>
    </xf>
    <xf numFmtId="0" fontId="46" fillId="2" borderId="42" xfId="0" applyFont="1" applyFill="1" applyBorder="1" applyAlignment="1">
      <alignment horizontal="left" vertical="top" wrapText="1"/>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8" fillId="0" borderId="48" xfId="0" applyFont="1" applyBorder="1" applyAlignment="1">
      <alignment horizontal="center" vertical="center" wrapText="1"/>
    </xf>
    <xf numFmtId="0" fontId="18" fillId="0" borderId="49" xfId="0" applyFont="1" applyBorder="1" applyAlignment="1">
      <alignment horizontal="center" vertical="center" wrapText="1"/>
    </xf>
    <xf numFmtId="0" fontId="4" fillId="2" borderId="44" xfId="0" applyFont="1" applyFill="1" applyBorder="1" applyAlignment="1">
      <alignment horizontal="left" vertical="top"/>
    </xf>
    <xf numFmtId="0" fontId="24"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8" xfId="0" applyFont="1" applyFill="1" applyBorder="1" applyAlignment="1">
      <alignment horizontal="left" vertical="center"/>
    </xf>
    <xf numFmtId="0" fontId="15" fillId="3" borderId="67" xfId="0" applyFont="1" applyFill="1" applyBorder="1" applyAlignment="1">
      <alignment horizontal="left" vertical="center"/>
    </xf>
    <xf numFmtId="0" fontId="46" fillId="2" borderId="41" xfId="0" applyFont="1" applyFill="1" applyBorder="1" applyAlignment="1">
      <alignment horizontal="left" vertical="top" wrapText="1"/>
    </xf>
    <xf numFmtId="0" fontId="32" fillId="6" borderId="24" xfId="0" applyFont="1" applyFill="1" applyBorder="1" applyAlignment="1">
      <alignment vertical="top" wrapText="1"/>
    </xf>
    <xf numFmtId="0" fontId="32" fillId="6" borderId="42" xfId="0" applyFont="1" applyFill="1" applyBorder="1" applyAlignment="1">
      <alignment vertical="top" wrapText="1"/>
    </xf>
    <xf numFmtId="0" fontId="23" fillId="9" borderId="50" xfId="0" applyFont="1" applyFill="1" applyBorder="1" applyAlignment="1">
      <alignment horizontal="center" vertical="center" wrapText="1"/>
    </xf>
    <xf numFmtId="0" fontId="23" fillId="9" borderId="48" xfId="0" applyFont="1" applyFill="1" applyBorder="1" applyAlignment="1">
      <alignment horizontal="center" vertical="center" wrapText="1"/>
    </xf>
    <xf numFmtId="0" fontId="4" fillId="0" borderId="0" xfId="0" applyFont="1" applyAlignment="1">
      <alignment horizontal="center" wrapText="1"/>
    </xf>
    <xf numFmtId="0" fontId="26" fillId="0" borderId="41" xfId="0" applyFont="1" applyBorder="1" applyAlignment="1">
      <alignmen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26" fillId="0" borderId="42" xfId="0" applyFont="1" applyBorder="1" applyAlignment="1">
      <alignment vertical="top" wrapText="1"/>
    </xf>
    <xf numFmtId="0" fontId="4" fillId="4" borderId="42" xfId="0" applyFont="1" applyFill="1" applyBorder="1" applyAlignment="1">
      <alignment horizontal="center" vertical="center"/>
    </xf>
    <xf numFmtId="0" fontId="32" fillId="0" borderId="42" xfId="0" applyFont="1" applyBorder="1" applyAlignment="1">
      <alignmen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26" fillId="0" borderId="64" xfId="0" applyFont="1" applyBorder="1" applyAlignment="1">
      <alignment horizontal="center" vertical="top" wrapText="1"/>
    </xf>
    <xf numFmtId="0" fontId="26" fillId="0" borderId="52" xfId="0" applyFont="1" applyBorder="1" applyAlignment="1">
      <alignment horizontal="center" vertical="top" wrapText="1"/>
    </xf>
    <xf numFmtId="0" fontId="26" fillId="0" borderId="65" xfId="0" applyFont="1" applyBorder="1" applyAlignment="1">
      <alignment horizontal="center" vertical="top" wrapText="1"/>
    </xf>
    <xf numFmtId="0" fontId="18" fillId="6" borderId="50" xfId="0" applyFont="1" applyFill="1" applyBorder="1" applyAlignment="1">
      <alignment horizontal="center" vertical="center"/>
    </xf>
    <xf numFmtId="0" fontId="18" fillId="6" borderId="48" xfId="0" applyFont="1" applyFill="1" applyBorder="1" applyAlignment="1">
      <alignment horizontal="center" vertical="center"/>
    </xf>
    <xf numFmtId="0" fontId="18" fillId="0" borderId="48" xfId="0" applyFont="1" applyBorder="1" applyAlignment="1">
      <alignment horizontal="center" vertical="center"/>
    </xf>
    <xf numFmtId="0" fontId="18"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31" fillId="0" borderId="0" xfId="0" applyFont="1" applyBorder="1" applyAlignment="1">
      <alignment horizontal="left" vertical="center" wrapText="1"/>
    </xf>
    <xf numFmtId="0" fontId="31" fillId="0" borderId="6" xfId="0" applyFont="1" applyBorder="1" applyAlignment="1">
      <alignment horizontal="left"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32" fillId="0" borderId="26" xfId="0" applyFont="1" applyBorder="1" applyAlignment="1">
      <alignment horizontal="left" vertical="top" wrapText="1"/>
    </xf>
    <xf numFmtId="0" fontId="32" fillId="0" borderId="21" xfId="0" applyFont="1" applyBorder="1" applyAlignment="1">
      <alignment horizontal="left" vertical="top" wrapText="1"/>
    </xf>
    <xf numFmtId="0" fontId="32" fillId="0" borderId="22" xfId="0" applyFont="1" applyBorder="1" applyAlignment="1">
      <alignment horizontal="left" vertical="top" wrapText="1"/>
    </xf>
    <xf numFmtId="0" fontId="32" fillId="0" borderId="27" xfId="0" applyFont="1" applyBorder="1" applyAlignment="1">
      <alignment horizontal="left" vertical="top" wrapText="1"/>
    </xf>
    <xf numFmtId="0" fontId="47" fillId="2" borderId="24" xfId="0" applyFont="1" applyFill="1" applyBorder="1" applyAlignment="1">
      <alignment horizontal="center" vertical="top" wrapText="1"/>
    </xf>
    <xf numFmtId="0" fontId="47" fillId="2" borderId="25" xfId="0" applyFont="1" applyFill="1" applyBorder="1" applyAlignment="1">
      <alignment horizontal="center" vertical="top" wrapText="1"/>
    </xf>
    <xf numFmtId="0" fontId="47"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8" fillId="2" borderId="42" xfId="0" applyFont="1" applyFill="1" applyBorder="1" applyAlignment="1">
      <alignment horizontal="left" vertical="center" wrapText="1"/>
    </xf>
    <xf numFmtId="0" fontId="26" fillId="5" borderId="24" xfId="0" applyFont="1" applyFill="1" applyBorder="1" applyAlignment="1">
      <alignment horizontal="center" vertical="top" wrapText="1"/>
    </xf>
    <xf numFmtId="0" fontId="26" fillId="5" borderId="25" xfId="0" applyFont="1" applyFill="1" applyBorder="1" applyAlignment="1">
      <alignment horizontal="center" vertical="top" wrapText="1"/>
    </xf>
    <xf numFmtId="0" fontId="26" fillId="5" borderId="26" xfId="0" applyFont="1" applyFill="1" applyBorder="1" applyAlignment="1">
      <alignment horizontal="center" vertical="top" wrapText="1"/>
    </xf>
    <xf numFmtId="0" fontId="26" fillId="0" borderId="45" xfId="0" applyFont="1" applyBorder="1" applyAlignment="1">
      <alignment horizontal="left" vertical="top" wrapText="1"/>
    </xf>
    <xf numFmtId="0" fontId="26" fillId="0" borderId="30"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26" xfId="0" applyFont="1" applyFill="1" applyBorder="1" applyAlignment="1">
      <alignment horizontal="center" vertical="center" wrapText="1"/>
    </xf>
    <xf numFmtId="0" fontId="12" fillId="2" borderId="93"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37" fillId="0" borderId="129" xfId="0" applyFont="1" applyBorder="1" applyAlignment="1">
      <alignment horizontal="left" vertical="top" wrapText="1"/>
    </xf>
    <xf numFmtId="0" fontId="37" fillId="0" borderId="130" xfId="0" applyFont="1" applyBorder="1" applyAlignment="1">
      <alignment horizontal="left" vertical="top" wrapText="1"/>
    </xf>
    <xf numFmtId="0" fontId="37" fillId="0" borderId="131" xfId="0" applyFont="1" applyBorder="1" applyAlignment="1">
      <alignment horizontal="left" vertical="top" wrapText="1"/>
    </xf>
    <xf numFmtId="0" fontId="37" fillId="0" borderId="132" xfId="0" applyFont="1" applyBorder="1" applyAlignment="1">
      <alignment horizontal="left" vertical="top" wrapText="1"/>
    </xf>
    <xf numFmtId="0" fontId="37" fillId="0" borderId="0" xfId="0" applyFont="1" applyBorder="1" applyAlignment="1">
      <alignment horizontal="left" vertical="top" wrapText="1"/>
    </xf>
    <xf numFmtId="0" fontId="37" fillId="0" borderId="133" xfId="0" applyFont="1" applyBorder="1" applyAlignment="1">
      <alignment horizontal="left" vertical="top" wrapText="1"/>
    </xf>
    <xf numFmtId="0" fontId="37" fillId="0" borderId="134" xfId="0" applyFont="1" applyBorder="1" applyAlignment="1">
      <alignment horizontal="left" vertical="top" wrapText="1"/>
    </xf>
    <xf numFmtId="0" fontId="37" fillId="0" borderId="135" xfId="0" applyFont="1" applyBorder="1" applyAlignment="1">
      <alignment horizontal="left" vertical="top" wrapText="1"/>
    </xf>
    <xf numFmtId="0" fontId="37" fillId="0" borderId="136" xfId="0" applyFont="1" applyBorder="1" applyAlignment="1">
      <alignment horizontal="left" vertical="top" wrapText="1"/>
    </xf>
    <xf numFmtId="0" fontId="67" fillId="0" borderId="129" xfId="0" applyFont="1" applyBorder="1" applyAlignment="1" applyProtection="1">
      <alignment horizontal="left" vertical="top"/>
      <protection locked="0"/>
    </xf>
    <xf numFmtId="0" fontId="67" fillId="0" borderId="130" xfId="0" applyFont="1" applyBorder="1" applyAlignment="1" applyProtection="1">
      <alignment horizontal="left" vertical="top"/>
      <protection locked="0"/>
    </xf>
    <xf numFmtId="0" fontId="67" fillId="0" borderId="131" xfId="0" applyFont="1" applyBorder="1" applyAlignment="1" applyProtection="1">
      <alignment horizontal="left" vertical="top"/>
      <protection locked="0"/>
    </xf>
    <xf numFmtId="0" fontId="67" fillId="0" borderId="132" xfId="0" applyFont="1" applyBorder="1" applyAlignment="1" applyProtection="1">
      <alignment horizontal="left" vertical="top"/>
      <protection locked="0"/>
    </xf>
    <xf numFmtId="0" fontId="67" fillId="0" borderId="0" xfId="0" applyFont="1" applyBorder="1" applyAlignment="1" applyProtection="1">
      <alignment horizontal="left" vertical="top"/>
      <protection locked="0"/>
    </xf>
    <xf numFmtId="0" fontId="67" fillId="0" borderId="133" xfId="0" applyFont="1" applyBorder="1" applyAlignment="1" applyProtection="1">
      <alignment horizontal="left" vertical="top"/>
      <protection locked="0"/>
    </xf>
    <xf numFmtId="0" fontId="67" fillId="0" borderId="134" xfId="0" applyFont="1" applyBorder="1" applyAlignment="1" applyProtection="1">
      <alignment horizontal="left" vertical="top"/>
      <protection locked="0"/>
    </xf>
    <xf numFmtId="0" fontId="67" fillId="0" borderId="135" xfId="0" applyFont="1" applyBorder="1" applyAlignment="1" applyProtection="1">
      <alignment horizontal="left" vertical="top"/>
      <protection locked="0"/>
    </xf>
    <xf numFmtId="0" fontId="67" fillId="0" borderId="136" xfId="0" applyFont="1" applyBorder="1" applyAlignment="1" applyProtection="1">
      <alignment horizontal="left" vertical="top"/>
      <protection locked="0"/>
    </xf>
    <xf numFmtId="0" fontId="54" fillId="13" borderId="127" xfId="0" applyFont="1" applyFill="1" applyBorder="1" applyAlignment="1">
      <alignment horizontal="center" vertical="top" wrapText="1"/>
    </xf>
    <xf numFmtId="0" fontId="54" fillId="13" borderId="0" xfId="0" applyFont="1" applyFill="1" applyBorder="1" applyAlignment="1">
      <alignment horizontal="center" vertical="top" wrapText="1"/>
    </xf>
    <xf numFmtId="0" fontId="54" fillId="13" borderId="128" xfId="0" applyFont="1" applyFill="1" applyBorder="1" applyAlignment="1">
      <alignment horizontal="center" vertical="top" wrapText="1"/>
    </xf>
    <xf numFmtId="0" fontId="54" fillId="13" borderId="0" xfId="0" applyFont="1" applyFill="1" applyBorder="1" applyAlignment="1">
      <alignment horizontal="left" vertical="top" wrapText="1"/>
    </xf>
    <xf numFmtId="0" fontId="54" fillId="13" borderId="72" xfId="0" applyFont="1" applyFill="1" applyBorder="1" applyAlignment="1">
      <alignment horizontal="left" vertical="top" wrapText="1"/>
    </xf>
    <xf numFmtId="0" fontId="53" fillId="0" borderId="137" xfId="0" applyFont="1" applyBorder="1" applyAlignment="1">
      <alignment horizontal="left" vertical="top" wrapText="1"/>
    </xf>
    <xf numFmtId="0" fontId="53" fillId="0" borderId="138" xfId="0" applyFont="1" applyBorder="1" applyAlignment="1">
      <alignment horizontal="left" vertical="top" wrapText="1"/>
    </xf>
    <xf numFmtId="0" fontId="53" fillId="0" borderId="139" xfId="0" applyFont="1" applyBorder="1" applyAlignment="1">
      <alignment horizontal="left" vertical="top" wrapText="1"/>
    </xf>
    <xf numFmtId="0" fontId="53" fillId="0" borderId="140" xfId="0" applyFont="1" applyBorder="1" applyAlignment="1">
      <alignment horizontal="left" vertical="top" wrapText="1"/>
    </xf>
    <xf numFmtId="0" fontId="53" fillId="0" borderId="0" xfId="0" applyFont="1" applyBorder="1" applyAlignment="1">
      <alignment horizontal="left" vertical="top" wrapText="1"/>
    </xf>
    <xf numFmtId="0" fontId="53" fillId="0" borderId="141" xfId="0" applyFont="1" applyBorder="1" applyAlignment="1">
      <alignment horizontal="left" vertical="top" wrapText="1"/>
    </xf>
    <xf numFmtId="0" fontId="53" fillId="0" borderId="142" xfId="0" applyFont="1" applyBorder="1" applyAlignment="1">
      <alignment horizontal="left" vertical="top" wrapText="1"/>
    </xf>
    <xf numFmtId="0" fontId="53" fillId="0" borderId="143" xfId="0" applyFont="1" applyBorder="1" applyAlignment="1">
      <alignment horizontal="left" vertical="top" wrapText="1"/>
    </xf>
    <xf numFmtId="0" fontId="53" fillId="0" borderId="144" xfId="0" applyFont="1" applyBorder="1" applyAlignment="1">
      <alignment horizontal="left" vertical="top" wrapText="1"/>
    </xf>
    <xf numFmtId="0" fontId="65" fillId="14" borderId="145" xfId="0" applyFont="1" applyFill="1" applyBorder="1" applyAlignment="1">
      <alignment horizontal="center" vertical="center" wrapText="1"/>
    </xf>
    <xf numFmtId="0" fontId="65" fillId="14" borderId="146" xfId="0" applyFont="1" applyFill="1" applyBorder="1" applyAlignment="1">
      <alignment horizontal="center" vertical="center" wrapText="1"/>
    </xf>
    <xf numFmtId="0" fontId="65" fillId="14" borderId="148" xfId="0" applyFont="1" applyFill="1" applyBorder="1" applyAlignment="1">
      <alignment horizontal="center" vertical="center" wrapText="1"/>
    </xf>
    <xf numFmtId="0" fontId="65" fillId="14" borderId="147" xfId="0" applyFont="1" applyFill="1" applyBorder="1" applyAlignment="1">
      <alignment horizontal="center" vertical="center" wrapText="1"/>
    </xf>
    <xf numFmtId="0" fontId="66" fillId="0" borderId="137" xfId="0" applyFont="1" applyBorder="1" applyAlignment="1" applyProtection="1">
      <alignment horizontal="left" vertical="top" wrapText="1"/>
      <protection locked="0"/>
    </xf>
    <xf numFmtId="0" fontId="66" fillId="0" borderId="138" xfId="0" applyFont="1" applyBorder="1" applyAlignment="1" applyProtection="1">
      <alignment horizontal="left" vertical="top" wrapText="1"/>
      <protection locked="0"/>
    </xf>
    <xf numFmtId="0" fontId="66" fillId="0" borderId="139" xfId="0" applyFont="1" applyBorder="1" applyAlignment="1" applyProtection="1">
      <alignment horizontal="left" vertical="top" wrapText="1"/>
      <protection locked="0"/>
    </xf>
    <xf numFmtId="0" fontId="66" fillId="0" borderId="140" xfId="0" applyFont="1" applyBorder="1" applyAlignment="1" applyProtection="1">
      <alignment horizontal="left" vertical="top" wrapText="1"/>
      <protection locked="0"/>
    </xf>
    <xf numFmtId="0" fontId="66" fillId="0" borderId="0" xfId="0" applyFont="1" applyBorder="1" applyAlignment="1" applyProtection="1">
      <alignment horizontal="left" vertical="top" wrapText="1"/>
      <protection locked="0"/>
    </xf>
    <xf numFmtId="0" fontId="66" fillId="0" borderId="141" xfId="0" applyFont="1" applyBorder="1" applyAlignment="1" applyProtection="1">
      <alignment horizontal="left" vertical="top" wrapText="1"/>
      <protection locked="0"/>
    </xf>
    <xf numFmtId="0" fontId="66" fillId="0" borderId="142" xfId="0" applyFont="1" applyBorder="1" applyAlignment="1" applyProtection="1">
      <alignment horizontal="left" vertical="top" wrapText="1"/>
      <protection locked="0"/>
    </xf>
    <xf numFmtId="0" fontId="66" fillId="0" borderId="143" xfId="0" applyFont="1" applyBorder="1" applyAlignment="1" applyProtection="1">
      <alignment horizontal="left" vertical="top" wrapText="1"/>
      <protection locked="0"/>
    </xf>
    <xf numFmtId="0" fontId="66" fillId="0" borderId="144" xfId="0" applyFont="1" applyBorder="1" applyAlignment="1" applyProtection="1">
      <alignment horizontal="left" vertical="top" wrapText="1"/>
      <protection locked="0"/>
    </xf>
    <xf numFmtId="0" fontId="46" fillId="2" borderId="64" xfId="0" applyFont="1" applyFill="1" applyBorder="1" applyAlignment="1">
      <alignment horizontal="center" vertical="top" wrapText="1"/>
    </xf>
    <xf numFmtId="0" fontId="46" fillId="2" borderId="52" xfId="0" applyFont="1" applyFill="1" applyBorder="1" applyAlignment="1">
      <alignment horizontal="center" vertical="top" wrapText="1"/>
    </xf>
    <xf numFmtId="0" fontId="46" fillId="2" borderId="41" xfId="0" applyFont="1" applyFill="1" applyBorder="1" applyAlignment="1">
      <alignment horizontal="center" vertical="top" wrapText="1"/>
    </xf>
    <xf numFmtId="0" fontId="52" fillId="2" borderId="64" xfId="0" applyFont="1" applyFill="1" applyBorder="1" applyAlignment="1">
      <alignment horizontal="center" vertical="top" wrapText="1"/>
    </xf>
    <xf numFmtId="0" fontId="52" fillId="2" borderId="52" xfId="0" applyFont="1" applyFill="1" applyBorder="1" applyAlignment="1">
      <alignment horizontal="center" vertical="top" wrapText="1"/>
    </xf>
    <xf numFmtId="0" fontId="52" fillId="2" borderId="41" xfId="0" applyFont="1" applyFill="1" applyBorder="1" applyAlignment="1">
      <alignment horizontal="center" vertical="top" wrapText="1"/>
    </xf>
    <xf numFmtId="0" fontId="52" fillId="2" borderId="42" xfId="0" applyFont="1" applyFill="1" applyBorder="1" applyAlignment="1">
      <alignment horizontal="center" vertical="top" wrapText="1"/>
    </xf>
    <xf numFmtId="0" fontId="52" fillId="2" borderId="65" xfId="0" applyFont="1" applyFill="1" applyBorder="1" applyAlignment="1">
      <alignment horizontal="center" vertical="top" wrapText="1"/>
    </xf>
    <xf numFmtId="0" fontId="29" fillId="2" borderId="64" xfId="0" applyFont="1" applyFill="1" applyBorder="1" applyAlignment="1">
      <alignment horizontal="center" vertical="top" wrapText="1"/>
    </xf>
    <xf numFmtId="0" fontId="29"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47" fillId="2" borderId="64" xfId="0" applyFont="1" applyFill="1" applyBorder="1" applyAlignment="1">
      <alignment horizontal="center" vertical="top" wrapText="1"/>
    </xf>
    <xf numFmtId="0" fontId="47" fillId="2" borderId="52" xfId="0" applyFont="1" applyFill="1" applyBorder="1" applyAlignment="1">
      <alignment horizontal="center" vertical="top" wrapText="1"/>
    </xf>
    <xf numFmtId="0" fontId="47" fillId="2" borderId="41" xfId="0" applyFont="1" applyFill="1" applyBorder="1" applyAlignment="1">
      <alignment horizontal="center" vertical="top" wrapText="1"/>
    </xf>
    <xf numFmtId="0" fontId="47" fillId="2" borderId="42" xfId="0" applyFont="1" applyFill="1" applyBorder="1" applyAlignment="1">
      <alignment horizontal="center" vertical="top" wrapText="1"/>
    </xf>
    <xf numFmtId="0" fontId="47" fillId="2" borderId="65" xfId="0" applyFont="1" applyFill="1" applyBorder="1" applyAlignment="1">
      <alignment horizontal="center" vertical="top" wrapText="1"/>
    </xf>
    <xf numFmtId="0" fontId="26" fillId="5" borderId="42" xfId="0" applyFont="1" applyFill="1" applyBorder="1" applyAlignment="1">
      <alignment vertical="top" wrapText="1"/>
    </xf>
  </cellXfs>
  <cellStyles count="3">
    <cellStyle name="Neutral" xfId="2" builtinId="28"/>
    <cellStyle name="Normal" xfId="0" builtinId="0"/>
    <cellStyle name="Normal 3" xfId="1" xr:uid="{931A1C79-423E-4C1D-A52E-ECC68AACDB72}"/>
  </cellStyles>
  <dxfs count="920">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19"/>
      <tableStyleElement type="headerRow" dxfId="9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I293"/>
  <sheetViews>
    <sheetView showGridLines="0" tabSelected="1" showWhiteSpace="0" zoomScale="55" zoomScaleNormal="55"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36.9" x14ac:dyDescent="0.85"/>
  <cols>
    <col min="1" max="1" width="6.3828125" style="270" customWidth="1"/>
    <col min="2" max="2" width="66.3828125" style="17" customWidth="1" collapsed="1"/>
    <col min="3" max="3" width="79.53515625" style="271" customWidth="1" collapsed="1"/>
    <col min="4" max="4" width="20.15234375" style="274" bestFit="1" customWidth="1" collapsed="1"/>
    <col min="5" max="5" width="116.15234375" style="441" customWidth="1" collapsed="1"/>
    <col min="6" max="6" width="86" style="124" customWidth="1" collapsed="1"/>
    <col min="7" max="35" width="9" style="121"/>
    <col min="36" max="16384" width="9" style="121" collapsed="1"/>
  </cols>
  <sheetData>
    <row r="1" spans="1:6" s="117" customFormat="1" ht="79.5" customHeight="1" x14ac:dyDescent="1.35">
      <c r="A1" s="266"/>
      <c r="B1" s="536" t="s">
        <v>110</v>
      </c>
      <c r="C1" s="537"/>
      <c r="D1" s="537"/>
      <c r="E1" s="537"/>
      <c r="F1" s="420"/>
    </row>
    <row r="2" spans="1:6" s="119" customFormat="1" ht="37.75" x14ac:dyDescent="1.35">
      <c r="A2" s="268"/>
      <c r="B2" s="16" t="s">
        <v>37</v>
      </c>
      <c r="C2" s="421" t="s">
        <v>38</v>
      </c>
      <c r="D2" s="267" t="s">
        <v>145</v>
      </c>
      <c r="E2" s="433" t="s">
        <v>36</v>
      </c>
      <c r="F2" s="118" t="s">
        <v>134</v>
      </c>
    </row>
    <row r="3" spans="1:6" s="119" customFormat="1" ht="7.5" customHeight="1" thickBot="1" x14ac:dyDescent="1.4">
      <c r="A3" s="268"/>
      <c r="B3" s="393"/>
      <c r="C3" s="422"/>
      <c r="D3" s="394"/>
      <c r="E3" s="434"/>
      <c r="F3" s="395"/>
    </row>
    <row r="4" spans="1:6" s="120" customFormat="1" ht="38.15" thickBot="1" x14ac:dyDescent="0.9">
      <c r="A4" s="269"/>
      <c r="B4" s="515" t="s">
        <v>471</v>
      </c>
      <c r="C4" s="516"/>
      <c r="D4" s="516"/>
      <c r="E4" s="516"/>
      <c r="F4" s="517"/>
    </row>
    <row r="5" spans="1:6" ht="37.75" x14ac:dyDescent="1.25">
      <c r="B5" s="518" t="s">
        <v>880</v>
      </c>
      <c r="C5" s="450" t="s">
        <v>727</v>
      </c>
      <c r="D5" s="442" t="s">
        <v>473</v>
      </c>
      <c r="E5" s="448" t="s">
        <v>728</v>
      </c>
      <c r="F5" s="449" t="s">
        <v>729</v>
      </c>
    </row>
    <row r="6" spans="1:6" ht="37.75" x14ac:dyDescent="1.25">
      <c r="B6" s="519"/>
      <c r="C6" s="451" t="s">
        <v>730</v>
      </c>
      <c r="D6" s="396" t="s">
        <v>474</v>
      </c>
      <c r="E6" s="435" t="s">
        <v>731</v>
      </c>
      <c r="F6" s="443" t="s">
        <v>732</v>
      </c>
    </row>
    <row r="7" spans="1:6" ht="74.150000000000006" thickBot="1" x14ac:dyDescent="1.3">
      <c r="B7" s="520"/>
      <c r="C7" s="452" t="s">
        <v>733</v>
      </c>
      <c r="D7" s="445" t="s">
        <v>475</v>
      </c>
      <c r="E7" s="446" t="s">
        <v>734</v>
      </c>
      <c r="F7" s="447" t="s">
        <v>732</v>
      </c>
    </row>
    <row r="8" spans="1:6" s="226" customFormat="1" ht="37.75" x14ac:dyDescent="0.85">
      <c r="B8" s="518" t="s">
        <v>881</v>
      </c>
      <c r="C8" s="453" t="s">
        <v>890</v>
      </c>
      <c r="D8" s="454" t="s">
        <v>883</v>
      </c>
      <c r="E8" s="455" t="s">
        <v>728</v>
      </c>
      <c r="F8" s="456" t="s">
        <v>729</v>
      </c>
    </row>
    <row r="9" spans="1:6" s="226" customFormat="1" ht="37.75" x14ac:dyDescent="0.85">
      <c r="B9" s="519"/>
      <c r="C9" s="451" t="s">
        <v>655</v>
      </c>
      <c r="D9" s="396" t="s">
        <v>884</v>
      </c>
      <c r="E9" s="436" t="s">
        <v>731</v>
      </c>
      <c r="F9" s="457" t="s">
        <v>732</v>
      </c>
    </row>
    <row r="10" spans="1:6" s="226" customFormat="1" ht="74.150000000000006" thickBot="1" x14ac:dyDescent="0.9">
      <c r="B10" s="520"/>
      <c r="C10" s="452" t="s">
        <v>472</v>
      </c>
      <c r="D10" s="445" t="s">
        <v>885</v>
      </c>
      <c r="E10" s="458" t="s">
        <v>734</v>
      </c>
      <c r="F10" s="459" t="s">
        <v>732</v>
      </c>
    </row>
    <row r="11" spans="1:6" s="226" customFormat="1" ht="37.75" x14ac:dyDescent="0.85">
      <c r="B11" s="525" t="s">
        <v>882</v>
      </c>
      <c r="C11" s="460" t="s">
        <v>891</v>
      </c>
      <c r="D11" s="454" t="s">
        <v>887</v>
      </c>
      <c r="E11" s="455" t="s">
        <v>728</v>
      </c>
      <c r="F11" s="456" t="s">
        <v>729</v>
      </c>
    </row>
    <row r="12" spans="1:6" s="226" customFormat="1" ht="37.75" x14ac:dyDescent="0.85">
      <c r="B12" s="526"/>
      <c r="C12" s="419" t="s">
        <v>655</v>
      </c>
      <c r="D12" s="396" t="s">
        <v>888</v>
      </c>
      <c r="E12" s="436" t="s">
        <v>731</v>
      </c>
      <c r="F12" s="457" t="s">
        <v>732</v>
      </c>
    </row>
    <row r="13" spans="1:6" s="226" customFormat="1" ht="74.150000000000006" thickBot="1" x14ac:dyDescent="0.9">
      <c r="B13" s="527"/>
      <c r="C13" s="444" t="s">
        <v>472</v>
      </c>
      <c r="D13" s="445" t="s">
        <v>889</v>
      </c>
      <c r="E13" s="458" t="s">
        <v>734</v>
      </c>
      <c r="F13" s="459" t="s">
        <v>732</v>
      </c>
    </row>
    <row r="14" spans="1:6" ht="38.15" thickBot="1" x14ac:dyDescent="0.9">
      <c r="B14" s="521" t="s">
        <v>12</v>
      </c>
      <c r="C14" s="521"/>
      <c r="D14" s="521"/>
      <c r="E14" s="521"/>
      <c r="F14" s="521"/>
    </row>
    <row r="15" spans="1:6" ht="147.44999999999999" x14ac:dyDescent="1.25">
      <c r="B15" s="522" t="s">
        <v>121</v>
      </c>
      <c r="C15" s="453" t="s">
        <v>644</v>
      </c>
      <c r="D15" s="464" t="s">
        <v>144</v>
      </c>
      <c r="E15" s="465" t="s">
        <v>92</v>
      </c>
      <c r="F15" s="466" t="s">
        <v>634</v>
      </c>
    </row>
    <row r="16" spans="1:6" ht="110.6" x14ac:dyDescent="1.25">
      <c r="B16" s="523"/>
      <c r="C16" s="461" t="s">
        <v>645</v>
      </c>
      <c r="D16" s="399" t="s">
        <v>146</v>
      </c>
      <c r="E16" s="437" t="s">
        <v>93</v>
      </c>
      <c r="F16" s="467" t="s">
        <v>635</v>
      </c>
    </row>
    <row r="17" spans="2:6" ht="110.6" x14ac:dyDescent="1.25">
      <c r="B17" s="523"/>
      <c r="C17" s="461" t="s">
        <v>147</v>
      </c>
      <c r="D17" s="399" t="s">
        <v>348</v>
      </c>
      <c r="E17" s="437" t="s">
        <v>627</v>
      </c>
      <c r="F17" s="467" t="s">
        <v>636</v>
      </c>
    </row>
    <row r="18" spans="2:6" ht="73.75" x14ac:dyDescent="1.25">
      <c r="B18" s="523"/>
      <c r="C18" s="451" t="s">
        <v>148</v>
      </c>
      <c r="D18" s="399" t="s">
        <v>149</v>
      </c>
      <c r="E18" s="437" t="s">
        <v>43</v>
      </c>
      <c r="F18" s="467" t="s">
        <v>637</v>
      </c>
    </row>
    <row r="19" spans="2:6" ht="73.75" x14ac:dyDescent="1.25">
      <c r="B19" s="523"/>
      <c r="C19" s="451" t="s">
        <v>161</v>
      </c>
      <c r="D19" s="399" t="s">
        <v>150</v>
      </c>
      <c r="E19" s="437" t="s">
        <v>151</v>
      </c>
      <c r="F19" s="467" t="s">
        <v>638</v>
      </c>
    </row>
    <row r="20" spans="2:6" ht="73.75" x14ac:dyDescent="1.25">
      <c r="B20" s="523"/>
      <c r="C20" s="462" t="s">
        <v>153</v>
      </c>
      <c r="D20" s="401" t="s">
        <v>152</v>
      </c>
      <c r="E20" s="437" t="s">
        <v>39</v>
      </c>
      <c r="F20" s="467" t="s">
        <v>327</v>
      </c>
    </row>
    <row r="21" spans="2:6" ht="73.75" x14ac:dyDescent="1.25">
      <c r="B21" s="523"/>
      <c r="C21" s="451" t="s">
        <v>154</v>
      </c>
      <c r="D21" s="399" t="s">
        <v>155</v>
      </c>
      <c r="E21" s="437" t="s">
        <v>40</v>
      </c>
      <c r="F21" s="467" t="s">
        <v>639</v>
      </c>
    </row>
    <row r="22" spans="2:6" ht="73.75" x14ac:dyDescent="1.25">
      <c r="B22" s="523"/>
      <c r="C22" s="451" t="s">
        <v>646</v>
      </c>
      <c r="D22" s="399" t="s">
        <v>156</v>
      </c>
      <c r="E22" s="437" t="s">
        <v>41</v>
      </c>
      <c r="F22" s="467" t="s">
        <v>640</v>
      </c>
    </row>
    <row r="23" spans="2:6" ht="38.15" thickBot="1" x14ac:dyDescent="1.3">
      <c r="B23" s="524"/>
      <c r="C23" s="452" t="s">
        <v>157</v>
      </c>
      <c r="D23" s="468" t="s">
        <v>158</v>
      </c>
      <c r="E23" s="469" t="s">
        <v>42</v>
      </c>
      <c r="F23" s="470" t="s">
        <v>159</v>
      </c>
    </row>
    <row r="24" spans="2:6" ht="73.75" x14ac:dyDescent="1.25">
      <c r="B24" s="513" t="s">
        <v>13</v>
      </c>
      <c r="C24" s="460" t="s">
        <v>161</v>
      </c>
      <c r="D24" s="464" t="s">
        <v>160</v>
      </c>
      <c r="E24" s="465" t="s">
        <v>94</v>
      </c>
      <c r="F24" s="466" t="s">
        <v>641</v>
      </c>
    </row>
    <row r="25" spans="2:6" ht="111" thickBot="1" x14ac:dyDescent="1.3">
      <c r="B25" s="514"/>
      <c r="C25" s="471" t="s">
        <v>153</v>
      </c>
      <c r="D25" s="468" t="s">
        <v>162</v>
      </c>
      <c r="E25" s="469" t="s">
        <v>102</v>
      </c>
      <c r="F25" s="470" t="s">
        <v>641</v>
      </c>
    </row>
    <row r="26" spans="2:6" ht="73.75" x14ac:dyDescent="1.25">
      <c r="B26" s="513" t="s">
        <v>14</v>
      </c>
      <c r="C26" s="460" t="s">
        <v>983</v>
      </c>
      <c r="D26" s="464" t="s">
        <v>163</v>
      </c>
      <c r="E26" s="465" t="s">
        <v>95</v>
      </c>
      <c r="F26" s="466" t="s">
        <v>641</v>
      </c>
    </row>
    <row r="27" spans="2:6" ht="74.150000000000006" thickBot="1" x14ac:dyDescent="1.3">
      <c r="B27" s="514"/>
      <c r="C27" s="471" t="s">
        <v>463</v>
      </c>
      <c r="D27" s="468" t="s">
        <v>164</v>
      </c>
      <c r="E27" s="469" t="s">
        <v>103</v>
      </c>
      <c r="F27" s="470" t="s">
        <v>641</v>
      </c>
    </row>
    <row r="28" spans="2:6" ht="73.75" x14ac:dyDescent="1.25">
      <c r="B28" s="513" t="s">
        <v>15</v>
      </c>
      <c r="C28" s="460" t="s">
        <v>983</v>
      </c>
      <c r="D28" s="464" t="s">
        <v>165</v>
      </c>
      <c r="E28" s="465" t="s">
        <v>96</v>
      </c>
      <c r="F28" s="466" t="s">
        <v>641</v>
      </c>
    </row>
    <row r="29" spans="2:6" ht="74.150000000000006" thickBot="1" x14ac:dyDescent="1.3">
      <c r="B29" s="514"/>
      <c r="C29" s="471" t="s">
        <v>463</v>
      </c>
      <c r="D29" s="468" t="s">
        <v>166</v>
      </c>
      <c r="E29" s="469" t="s">
        <v>104</v>
      </c>
      <c r="F29" s="470" t="s">
        <v>641</v>
      </c>
    </row>
    <row r="30" spans="2:6" ht="37.75" x14ac:dyDescent="1.25">
      <c r="B30" s="513" t="s">
        <v>443</v>
      </c>
      <c r="C30" s="460" t="s">
        <v>984</v>
      </c>
      <c r="D30" s="464" t="s">
        <v>167</v>
      </c>
      <c r="E30" s="465" t="s">
        <v>97</v>
      </c>
      <c r="F30" s="466" t="s">
        <v>641</v>
      </c>
    </row>
    <row r="31" spans="2:6" ht="74.150000000000006" thickBot="1" x14ac:dyDescent="1.3">
      <c r="B31" s="514"/>
      <c r="C31" s="471" t="s">
        <v>463</v>
      </c>
      <c r="D31" s="468" t="s">
        <v>168</v>
      </c>
      <c r="E31" s="469" t="s">
        <v>105</v>
      </c>
      <c r="F31" s="470" t="s">
        <v>641</v>
      </c>
    </row>
    <row r="32" spans="2:6" ht="73.75" x14ac:dyDescent="1.25">
      <c r="B32" s="513" t="s">
        <v>16</v>
      </c>
      <c r="C32" s="460" t="s">
        <v>984</v>
      </c>
      <c r="D32" s="464" t="s">
        <v>169</v>
      </c>
      <c r="E32" s="465" t="s">
        <v>98</v>
      </c>
      <c r="F32" s="466" t="s">
        <v>641</v>
      </c>
    </row>
    <row r="33" spans="1:6" ht="74.150000000000006" thickBot="1" x14ac:dyDescent="1.3">
      <c r="B33" s="514"/>
      <c r="C33" s="471" t="s">
        <v>463</v>
      </c>
      <c r="D33" s="468" t="s">
        <v>170</v>
      </c>
      <c r="E33" s="469" t="s">
        <v>106</v>
      </c>
      <c r="F33" s="470" t="s">
        <v>641</v>
      </c>
    </row>
    <row r="34" spans="1:6" ht="73.75" x14ac:dyDescent="1.25">
      <c r="B34" s="513" t="s">
        <v>17</v>
      </c>
      <c r="C34" s="460" t="s">
        <v>984</v>
      </c>
      <c r="D34" s="464" t="s">
        <v>349</v>
      </c>
      <c r="E34" s="465" t="s">
        <v>99</v>
      </c>
      <c r="F34" s="466" t="s">
        <v>641</v>
      </c>
    </row>
    <row r="35" spans="1:6" s="122" customFormat="1" ht="74.150000000000006" thickBot="1" x14ac:dyDescent="0.45">
      <c r="A35" s="271"/>
      <c r="B35" s="514"/>
      <c r="C35" s="471" t="s">
        <v>463</v>
      </c>
      <c r="D35" s="468" t="s">
        <v>171</v>
      </c>
      <c r="E35" s="472" t="s">
        <v>107</v>
      </c>
      <c r="F35" s="473" t="s">
        <v>641</v>
      </c>
    </row>
    <row r="36" spans="1:6" ht="110.6" x14ac:dyDescent="1.25">
      <c r="B36" s="513" t="s">
        <v>22</v>
      </c>
      <c r="C36" s="460" t="s">
        <v>984</v>
      </c>
      <c r="D36" s="464" t="s">
        <v>172</v>
      </c>
      <c r="E36" s="465" t="s">
        <v>100</v>
      </c>
      <c r="F36" s="466" t="s">
        <v>641</v>
      </c>
    </row>
    <row r="37" spans="1:6" ht="111" thickBot="1" x14ac:dyDescent="1.3">
      <c r="B37" s="514"/>
      <c r="C37" s="471" t="s">
        <v>463</v>
      </c>
      <c r="D37" s="468" t="s">
        <v>173</v>
      </c>
      <c r="E37" s="469" t="s">
        <v>108</v>
      </c>
      <c r="F37" s="470" t="s">
        <v>641</v>
      </c>
    </row>
    <row r="38" spans="1:6" ht="73.75" x14ac:dyDescent="1.25">
      <c r="B38" s="513" t="s">
        <v>18</v>
      </c>
      <c r="C38" s="460" t="s">
        <v>984</v>
      </c>
      <c r="D38" s="464" t="s">
        <v>174</v>
      </c>
      <c r="E38" s="465" t="s">
        <v>101</v>
      </c>
      <c r="F38" s="466" t="s">
        <v>641</v>
      </c>
    </row>
    <row r="39" spans="1:6" ht="74.150000000000006" thickBot="1" x14ac:dyDescent="1.3">
      <c r="B39" s="514"/>
      <c r="C39" s="471" t="s">
        <v>463</v>
      </c>
      <c r="D39" s="468" t="s">
        <v>175</v>
      </c>
      <c r="E39" s="469" t="s">
        <v>109</v>
      </c>
      <c r="F39" s="470" t="s">
        <v>641</v>
      </c>
    </row>
    <row r="40" spans="1:6" ht="73.75" x14ac:dyDescent="1.25">
      <c r="B40" s="513" t="s">
        <v>113</v>
      </c>
      <c r="C40" s="460" t="s">
        <v>984</v>
      </c>
      <c r="D40" s="464" t="s">
        <v>350</v>
      </c>
      <c r="E40" s="465" t="s">
        <v>136</v>
      </c>
      <c r="F40" s="466" t="s">
        <v>641</v>
      </c>
    </row>
    <row r="41" spans="1:6" ht="74.150000000000006" thickBot="1" x14ac:dyDescent="1.3">
      <c r="B41" s="514"/>
      <c r="C41" s="471" t="s">
        <v>463</v>
      </c>
      <c r="D41" s="468" t="s">
        <v>176</v>
      </c>
      <c r="E41" s="469" t="s">
        <v>628</v>
      </c>
      <c r="F41" s="470" t="s">
        <v>641</v>
      </c>
    </row>
    <row r="42" spans="1:6" ht="73.75" x14ac:dyDescent="1.25">
      <c r="B42" s="474" t="s">
        <v>132</v>
      </c>
      <c r="C42" s="288" t="s">
        <v>648</v>
      </c>
      <c r="D42" s="463" t="s">
        <v>351</v>
      </c>
      <c r="E42" s="448" t="s">
        <v>1030</v>
      </c>
      <c r="F42" s="475"/>
    </row>
    <row r="43" spans="1:6" ht="73.75" x14ac:dyDescent="1.25">
      <c r="B43" s="403"/>
      <c r="C43" s="289" t="s">
        <v>657</v>
      </c>
      <c r="D43" s="399" t="s">
        <v>352</v>
      </c>
      <c r="E43" s="435" t="s">
        <v>1031</v>
      </c>
      <c r="F43" s="397"/>
    </row>
    <row r="44" spans="1:6" ht="37.75" x14ac:dyDescent="0.85">
      <c r="B44" s="529" t="s">
        <v>112</v>
      </c>
      <c r="C44" s="529"/>
      <c r="D44" s="529"/>
      <c r="E44" s="529"/>
      <c r="F44" s="529"/>
    </row>
    <row r="45" spans="1:6" ht="110.6" x14ac:dyDescent="1.25">
      <c r="B45" s="528" t="s">
        <v>20</v>
      </c>
      <c r="C45" s="419" t="s">
        <v>985</v>
      </c>
      <c r="D45" s="399" t="s">
        <v>177</v>
      </c>
      <c r="E45" s="437" t="s">
        <v>44</v>
      </c>
      <c r="F45" s="400" t="s">
        <v>183</v>
      </c>
    </row>
    <row r="46" spans="1:6" ht="73.75" x14ac:dyDescent="1.25">
      <c r="B46" s="528"/>
      <c r="C46" s="419" t="s">
        <v>178</v>
      </c>
      <c r="D46" s="399" t="s">
        <v>179</v>
      </c>
      <c r="E46" s="437" t="s">
        <v>122</v>
      </c>
      <c r="F46" s="400"/>
    </row>
    <row r="47" spans="1:6" ht="73.75" x14ac:dyDescent="1.25">
      <c r="B47" s="528"/>
      <c r="C47" s="419" t="s">
        <v>329</v>
      </c>
      <c r="D47" s="399" t="s">
        <v>180</v>
      </c>
      <c r="E47" s="437" t="s">
        <v>45</v>
      </c>
      <c r="F47" s="400"/>
    </row>
    <row r="48" spans="1:6" ht="73.75" x14ac:dyDescent="1.25">
      <c r="B48" s="528"/>
      <c r="C48" s="423" t="s">
        <v>986</v>
      </c>
      <c r="D48" s="399" t="s">
        <v>181</v>
      </c>
      <c r="E48" s="437" t="s">
        <v>46</v>
      </c>
      <c r="F48" s="400"/>
    </row>
    <row r="49" spans="2:6" ht="110.6" x14ac:dyDescent="1.25">
      <c r="B49" s="528"/>
      <c r="C49" s="423" t="s">
        <v>330</v>
      </c>
      <c r="D49" s="399" t="s">
        <v>182</v>
      </c>
      <c r="E49" s="437" t="s">
        <v>47</v>
      </c>
      <c r="F49" s="400"/>
    </row>
    <row r="50" spans="2:6" ht="37.75" x14ac:dyDescent="0.85">
      <c r="B50" s="529" t="s">
        <v>125</v>
      </c>
      <c r="C50" s="529"/>
      <c r="D50" s="529"/>
      <c r="E50" s="529"/>
      <c r="F50" s="529"/>
    </row>
    <row r="51" spans="2:6" ht="73.75" x14ac:dyDescent="1.25">
      <c r="B51" s="530" t="s">
        <v>591</v>
      </c>
      <c r="C51" s="419" t="s">
        <v>987</v>
      </c>
      <c r="D51" s="399" t="s">
        <v>187</v>
      </c>
      <c r="E51" s="437" t="s">
        <v>49</v>
      </c>
      <c r="F51" s="400" t="s">
        <v>200</v>
      </c>
    </row>
    <row r="52" spans="2:6" ht="37.75" x14ac:dyDescent="1.25">
      <c r="B52" s="530"/>
      <c r="C52" s="419" t="s">
        <v>735</v>
      </c>
      <c r="D52" s="396" t="s">
        <v>565</v>
      </c>
      <c r="E52" s="435" t="s">
        <v>736</v>
      </c>
      <c r="F52" s="397" t="s">
        <v>737</v>
      </c>
    </row>
    <row r="53" spans="2:6" ht="73.75" x14ac:dyDescent="1.25">
      <c r="B53" s="530"/>
      <c r="C53" s="419" t="s">
        <v>738</v>
      </c>
      <c r="D53" s="396" t="s">
        <v>566</v>
      </c>
      <c r="E53" s="435" t="s">
        <v>739</v>
      </c>
      <c r="F53" s="397" t="s">
        <v>737</v>
      </c>
    </row>
    <row r="54" spans="2:6" ht="147.44999999999999" x14ac:dyDescent="1.25">
      <c r="B54" s="530"/>
      <c r="C54" s="419" t="s">
        <v>988</v>
      </c>
      <c r="D54" s="399" t="s">
        <v>188</v>
      </c>
      <c r="E54" s="437" t="s">
        <v>48</v>
      </c>
      <c r="F54" s="400" t="s">
        <v>201</v>
      </c>
    </row>
    <row r="55" spans="2:6" ht="73.75" x14ac:dyDescent="1.25">
      <c r="B55" s="404" t="s">
        <v>592</v>
      </c>
      <c r="C55" s="425" t="s">
        <v>647</v>
      </c>
      <c r="D55" s="399" t="s">
        <v>189</v>
      </c>
      <c r="E55" s="437" t="s">
        <v>120</v>
      </c>
      <c r="F55" s="400" t="s">
        <v>202</v>
      </c>
    </row>
    <row r="56" spans="2:6" ht="73.75" x14ac:dyDescent="1.25">
      <c r="B56" s="530" t="s">
        <v>584</v>
      </c>
      <c r="C56" s="423" t="s">
        <v>396</v>
      </c>
      <c r="D56" s="396" t="s">
        <v>585</v>
      </c>
      <c r="E56" s="435" t="s">
        <v>740</v>
      </c>
      <c r="F56" s="397" t="s">
        <v>741</v>
      </c>
    </row>
    <row r="57" spans="2:6" ht="73.75" x14ac:dyDescent="1.25">
      <c r="B57" s="530"/>
      <c r="C57" s="423" t="s">
        <v>391</v>
      </c>
      <c r="D57" s="396" t="s">
        <v>586</v>
      </c>
      <c r="E57" s="435" t="s">
        <v>742</v>
      </c>
      <c r="F57" s="397" t="s">
        <v>741</v>
      </c>
    </row>
    <row r="58" spans="2:6" ht="73.75" x14ac:dyDescent="1.25">
      <c r="B58" s="530"/>
      <c r="C58" s="419" t="s">
        <v>392</v>
      </c>
      <c r="D58" s="396" t="s">
        <v>587</v>
      </c>
      <c r="E58" s="435" t="s">
        <v>743</v>
      </c>
      <c r="F58" s="397" t="s">
        <v>741</v>
      </c>
    </row>
    <row r="59" spans="2:6" ht="73.75" x14ac:dyDescent="1.25">
      <c r="B59" s="530"/>
      <c r="C59" s="419" t="s">
        <v>393</v>
      </c>
      <c r="D59" s="396" t="s">
        <v>588</v>
      </c>
      <c r="E59" s="435" t="s">
        <v>744</v>
      </c>
      <c r="F59" s="397" t="s">
        <v>741</v>
      </c>
    </row>
    <row r="60" spans="2:6" ht="73.75" x14ac:dyDescent="1.25">
      <c r="B60" s="530"/>
      <c r="C60" s="419" t="s">
        <v>394</v>
      </c>
      <c r="D60" s="396" t="s">
        <v>589</v>
      </c>
      <c r="E60" s="435" t="s">
        <v>745</v>
      </c>
      <c r="F60" s="397" t="s">
        <v>741</v>
      </c>
    </row>
    <row r="61" spans="2:6" ht="73.75" x14ac:dyDescent="1.25">
      <c r="B61" s="530"/>
      <c r="C61" s="419" t="s">
        <v>395</v>
      </c>
      <c r="D61" s="396" t="s">
        <v>590</v>
      </c>
      <c r="E61" s="435" t="s">
        <v>746</v>
      </c>
      <c r="F61" s="397" t="s">
        <v>741</v>
      </c>
    </row>
    <row r="62" spans="2:6" ht="73.75" x14ac:dyDescent="1.25">
      <c r="B62" s="530" t="s">
        <v>593</v>
      </c>
      <c r="C62" s="419" t="s">
        <v>563</v>
      </c>
      <c r="D62" s="399" t="s">
        <v>353</v>
      </c>
      <c r="E62" s="437" t="s">
        <v>747</v>
      </c>
      <c r="F62" s="400" t="s">
        <v>748</v>
      </c>
    </row>
    <row r="63" spans="2:6" ht="73.75" x14ac:dyDescent="1.25">
      <c r="B63" s="530"/>
      <c r="C63" s="419" t="s">
        <v>749</v>
      </c>
      <c r="D63" s="396" t="s">
        <v>569</v>
      </c>
      <c r="E63" s="435" t="s">
        <v>750</v>
      </c>
      <c r="F63" s="397" t="s">
        <v>751</v>
      </c>
    </row>
    <row r="64" spans="2:6" ht="73.75" x14ac:dyDescent="1.25">
      <c r="B64" s="530"/>
      <c r="C64" s="419" t="s">
        <v>752</v>
      </c>
      <c r="D64" s="396" t="s">
        <v>570</v>
      </c>
      <c r="E64" s="435" t="s">
        <v>753</v>
      </c>
      <c r="F64" s="397" t="s">
        <v>754</v>
      </c>
    </row>
    <row r="65" spans="2:6" ht="73.75" x14ac:dyDescent="1.25">
      <c r="B65" s="530"/>
      <c r="C65" s="419" t="s">
        <v>989</v>
      </c>
      <c r="D65" s="399" t="s">
        <v>190</v>
      </c>
      <c r="E65" s="437" t="s">
        <v>50</v>
      </c>
      <c r="F65" s="400" t="s">
        <v>203</v>
      </c>
    </row>
    <row r="66" spans="2:6" ht="110.6" x14ac:dyDescent="1.25">
      <c r="B66" s="530"/>
      <c r="C66" s="405" t="s">
        <v>571</v>
      </c>
      <c r="D66" s="396" t="s">
        <v>572</v>
      </c>
      <c r="E66" s="435" t="s">
        <v>755</v>
      </c>
      <c r="F66" s="397" t="s">
        <v>756</v>
      </c>
    </row>
    <row r="67" spans="2:6" ht="110.6" x14ac:dyDescent="1.25">
      <c r="B67" s="530" t="s">
        <v>583</v>
      </c>
      <c r="C67" s="419" t="s">
        <v>396</v>
      </c>
      <c r="D67" s="396" t="s">
        <v>594</v>
      </c>
      <c r="E67" s="435" t="s">
        <v>757</v>
      </c>
      <c r="F67" s="397"/>
    </row>
    <row r="68" spans="2:6" ht="110.6" x14ac:dyDescent="1.25">
      <c r="B68" s="530"/>
      <c r="C68" s="419" t="s">
        <v>391</v>
      </c>
      <c r="D68" s="396" t="s">
        <v>595</v>
      </c>
      <c r="E68" s="435" t="s">
        <v>758</v>
      </c>
      <c r="F68" s="397"/>
    </row>
    <row r="69" spans="2:6" ht="110.6" x14ac:dyDescent="1.25">
      <c r="B69" s="530"/>
      <c r="C69" s="419" t="s">
        <v>392</v>
      </c>
      <c r="D69" s="396" t="s">
        <v>596</v>
      </c>
      <c r="E69" s="435" t="s">
        <v>759</v>
      </c>
      <c r="F69" s="397"/>
    </row>
    <row r="70" spans="2:6" ht="110.6" x14ac:dyDescent="1.25">
      <c r="B70" s="530"/>
      <c r="C70" s="419" t="s">
        <v>393</v>
      </c>
      <c r="D70" s="396" t="s">
        <v>597</v>
      </c>
      <c r="E70" s="435" t="s">
        <v>760</v>
      </c>
      <c r="F70" s="397"/>
    </row>
    <row r="71" spans="2:6" ht="110.6" x14ac:dyDescent="1.25">
      <c r="B71" s="530"/>
      <c r="C71" s="419" t="s">
        <v>394</v>
      </c>
      <c r="D71" s="396" t="s">
        <v>598</v>
      </c>
      <c r="E71" s="435" t="s">
        <v>761</v>
      </c>
      <c r="F71" s="397"/>
    </row>
    <row r="72" spans="2:6" ht="110.6" x14ac:dyDescent="1.25">
      <c r="B72" s="530"/>
      <c r="C72" s="419" t="s">
        <v>395</v>
      </c>
      <c r="D72" s="396" t="s">
        <v>599</v>
      </c>
      <c r="E72" s="435" t="s">
        <v>762</v>
      </c>
      <c r="F72" s="397"/>
    </row>
    <row r="73" spans="2:6" ht="73.75" x14ac:dyDescent="1.25">
      <c r="B73" s="528" t="s">
        <v>28</v>
      </c>
      <c r="C73" s="419" t="s">
        <v>191</v>
      </c>
      <c r="D73" s="399" t="s">
        <v>192</v>
      </c>
      <c r="E73" s="437" t="s">
        <v>51</v>
      </c>
      <c r="F73" s="400" t="s">
        <v>203</v>
      </c>
    </row>
    <row r="74" spans="2:6" ht="73.75" x14ac:dyDescent="1.25">
      <c r="B74" s="528"/>
      <c r="C74" s="419" t="s">
        <v>331</v>
      </c>
      <c r="D74" s="399" t="s">
        <v>193</v>
      </c>
      <c r="E74" s="437" t="s">
        <v>52</v>
      </c>
      <c r="F74" s="400" t="s">
        <v>203</v>
      </c>
    </row>
    <row r="75" spans="2:6" ht="110.6" x14ac:dyDescent="1.25">
      <c r="B75" s="528"/>
      <c r="C75" s="419" t="s">
        <v>332</v>
      </c>
      <c r="D75" s="399" t="s">
        <v>354</v>
      </c>
      <c r="E75" s="437" t="s">
        <v>53</v>
      </c>
      <c r="F75" s="400" t="s">
        <v>207</v>
      </c>
    </row>
    <row r="76" spans="2:6" ht="73.75" x14ac:dyDescent="1.25">
      <c r="B76" s="528" t="s">
        <v>21</v>
      </c>
      <c r="C76" s="419" t="s">
        <v>990</v>
      </c>
      <c r="D76" s="399" t="s">
        <v>355</v>
      </c>
      <c r="E76" s="437" t="s">
        <v>54</v>
      </c>
      <c r="F76" s="400" t="s">
        <v>204</v>
      </c>
    </row>
    <row r="77" spans="2:6" ht="37.75" x14ac:dyDescent="1.25">
      <c r="B77" s="528"/>
      <c r="C77" s="419" t="s">
        <v>991</v>
      </c>
      <c r="D77" s="399" t="s">
        <v>356</v>
      </c>
      <c r="E77" s="437" t="s">
        <v>86</v>
      </c>
      <c r="F77" s="400" t="s">
        <v>205</v>
      </c>
    </row>
    <row r="78" spans="2:6" ht="73.75" x14ac:dyDescent="1.25">
      <c r="B78" s="528"/>
      <c r="C78" s="419" t="s">
        <v>194</v>
      </c>
      <c r="D78" s="399" t="s">
        <v>195</v>
      </c>
      <c r="E78" s="437" t="s">
        <v>87</v>
      </c>
      <c r="F78" s="400" t="s">
        <v>206</v>
      </c>
    </row>
    <row r="79" spans="2:6" ht="73.75" x14ac:dyDescent="1.25">
      <c r="B79" s="528"/>
      <c r="C79" s="419" t="s">
        <v>992</v>
      </c>
      <c r="D79" s="399" t="s">
        <v>196</v>
      </c>
      <c r="E79" s="437" t="s">
        <v>88</v>
      </c>
      <c r="F79" s="400" t="s">
        <v>206</v>
      </c>
    </row>
    <row r="80" spans="2:6" ht="73.75" x14ac:dyDescent="1.25">
      <c r="B80" s="528"/>
      <c r="C80" s="419" t="s">
        <v>993</v>
      </c>
      <c r="D80" s="399" t="s">
        <v>197</v>
      </c>
      <c r="E80" s="437" t="s">
        <v>89</v>
      </c>
      <c r="F80" s="400" t="s">
        <v>642</v>
      </c>
    </row>
    <row r="81" spans="2:14" ht="73.75" x14ac:dyDescent="1.25">
      <c r="B81" s="528"/>
      <c r="C81" s="419" t="s">
        <v>333</v>
      </c>
      <c r="D81" s="399" t="s">
        <v>198</v>
      </c>
      <c r="E81" s="437" t="s">
        <v>90</v>
      </c>
      <c r="F81" s="400" t="s">
        <v>208</v>
      </c>
    </row>
    <row r="82" spans="2:14" ht="37.75" x14ac:dyDescent="1.25">
      <c r="B82" s="528"/>
      <c r="C82" s="419" t="s">
        <v>994</v>
      </c>
      <c r="D82" s="399" t="s">
        <v>199</v>
      </c>
      <c r="E82" s="437" t="s">
        <v>91</v>
      </c>
      <c r="F82" s="400" t="s">
        <v>643</v>
      </c>
    </row>
    <row r="83" spans="2:14" ht="147.44999999999999" x14ac:dyDescent="1.25">
      <c r="B83" s="528" t="s">
        <v>114</v>
      </c>
      <c r="C83" s="415" t="s">
        <v>995</v>
      </c>
      <c r="D83" s="399" t="s">
        <v>357</v>
      </c>
      <c r="E83" s="437" t="s">
        <v>138</v>
      </c>
      <c r="F83" s="400" t="s">
        <v>209</v>
      </c>
    </row>
    <row r="84" spans="2:14" ht="147.44999999999999" x14ac:dyDescent="1.25">
      <c r="B84" s="528"/>
      <c r="C84" s="415" t="s">
        <v>334</v>
      </c>
      <c r="D84" s="399" t="s">
        <v>358</v>
      </c>
      <c r="E84" s="437" t="s">
        <v>137</v>
      </c>
      <c r="F84" s="400" t="s">
        <v>210</v>
      </c>
    </row>
    <row r="85" spans="2:14" ht="37.75" x14ac:dyDescent="0.85">
      <c r="B85" s="529" t="s">
        <v>126</v>
      </c>
      <c r="C85" s="529"/>
      <c r="D85" s="529"/>
      <c r="E85" s="529"/>
      <c r="F85" s="529"/>
    </row>
    <row r="86" spans="2:14" ht="110.6" x14ac:dyDescent="1.25">
      <c r="B86" s="528" t="s">
        <v>1045</v>
      </c>
      <c r="C86" s="419" t="s">
        <v>996</v>
      </c>
      <c r="D86" s="399" t="s">
        <v>213</v>
      </c>
      <c r="E86" s="437" t="s">
        <v>81</v>
      </c>
      <c r="F86" s="400" t="s">
        <v>211</v>
      </c>
    </row>
    <row r="87" spans="2:14" ht="73.75" x14ac:dyDescent="1.25">
      <c r="B87" s="528"/>
      <c r="C87" s="419" t="s">
        <v>997</v>
      </c>
      <c r="D87" s="399" t="s">
        <v>214</v>
      </c>
      <c r="E87" s="437" t="s">
        <v>1047</v>
      </c>
      <c r="F87" s="400" t="s">
        <v>211</v>
      </c>
      <c r="G87" s="511"/>
      <c r="H87" s="512"/>
      <c r="I87" s="512"/>
      <c r="J87" s="512"/>
      <c r="K87" s="512"/>
      <c r="L87" s="512"/>
      <c r="M87" s="512"/>
      <c r="N87" s="512"/>
    </row>
    <row r="88" spans="2:14" ht="73.75" x14ac:dyDescent="1.25">
      <c r="B88" s="528" t="s">
        <v>1046</v>
      </c>
      <c r="C88" s="419" t="s">
        <v>998</v>
      </c>
      <c r="D88" s="399" t="s">
        <v>215</v>
      </c>
      <c r="E88" s="437" t="s">
        <v>1050</v>
      </c>
      <c r="F88" s="400" t="s">
        <v>211</v>
      </c>
    </row>
    <row r="89" spans="2:14" ht="73.75" x14ac:dyDescent="1.25">
      <c r="B89" s="528"/>
      <c r="C89" s="419" t="s">
        <v>997</v>
      </c>
      <c r="D89" s="399" t="s">
        <v>216</v>
      </c>
      <c r="E89" s="437" t="s">
        <v>1051</v>
      </c>
      <c r="F89" s="400" t="s">
        <v>211</v>
      </c>
    </row>
    <row r="90" spans="2:14" ht="73.75" x14ac:dyDescent="1.25">
      <c r="B90" s="528" t="s">
        <v>29</v>
      </c>
      <c r="C90" s="415" t="s">
        <v>335</v>
      </c>
      <c r="D90" s="406" t="s">
        <v>217</v>
      </c>
      <c r="E90" s="437" t="s">
        <v>82</v>
      </c>
      <c r="F90" s="400" t="s">
        <v>211</v>
      </c>
    </row>
    <row r="91" spans="2:14" ht="110.6" x14ac:dyDescent="1.25">
      <c r="B91" s="528"/>
      <c r="C91" s="415" t="s">
        <v>336</v>
      </c>
      <c r="D91" s="406" t="s">
        <v>218</v>
      </c>
      <c r="E91" s="437" t="s">
        <v>212</v>
      </c>
      <c r="F91" s="400" t="s">
        <v>211</v>
      </c>
    </row>
    <row r="92" spans="2:14" ht="73.75" x14ac:dyDescent="1.25">
      <c r="B92" s="528" t="s">
        <v>30</v>
      </c>
      <c r="C92" s="415" t="s">
        <v>335</v>
      </c>
      <c r="D92" s="406" t="s">
        <v>219</v>
      </c>
      <c r="E92" s="437" t="s">
        <v>83</v>
      </c>
      <c r="F92" s="400" t="s">
        <v>211</v>
      </c>
    </row>
    <row r="93" spans="2:14" ht="110.6" x14ac:dyDescent="1.25">
      <c r="B93" s="528"/>
      <c r="C93" s="402" t="s">
        <v>1019</v>
      </c>
      <c r="D93" s="406" t="s">
        <v>220</v>
      </c>
      <c r="E93" s="437" t="s">
        <v>212</v>
      </c>
      <c r="F93" s="400" t="s">
        <v>211</v>
      </c>
    </row>
    <row r="94" spans="2:14" ht="73.75" x14ac:dyDescent="1.25">
      <c r="B94" s="528" t="s">
        <v>31</v>
      </c>
      <c r="C94" s="402" t="s">
        <v>335</v>
      </c>
      <c r="D94" s="406" t="s">
        <v>221</v>
      </c>
      <c r="E94" s="437" t="s">
        <v>84</v>
      </c>
      <c r="F94" s="400" t="s">
        <v>211</v>
      </c>
    </row>
    <row r="95" spans="2:14" ht="110.6" x14ac:dyDescent="1.25">
      <c r="B95" s="528"/>
      <c r="C95" s="415" t="s">
        <v>1020</v>
      </c>
      <c r="D95" s="406" t="s">
        <v>222</v>
      </c>
      <c r="E95" s="437" t="s">
        <v>212</v>
      </c>
      <c r="F95" s="400" t="s">
        <v>211</v>
      </c>
    </row>
    <row r="96" spans="2:14" ht="73.75" x14ac:dyDescent="1.25">
      <c r="B96" s="528" t="s">
        <v>32</v>
      </c>
      <c r="C96" s="415" t="s">
        <v>335</v>
      </c>
      <c r="D96" s="406" t="s">
        <v>223</v>
      </c>
      <c r="E96" s="437" t="s">
        <v>85</v>
      </c>
      <c r="F96" s="400" t="s">
        <v>211</v>
      </c>
    </row>
    <row r="97" spans="2:6" ht="110.6" x14ac:dyDescent="1.25">
      <c r="B97" s="528"/>
      <c r="C97" s="415" t="s">
        <v>337</v>
      </c>
      <c r="D97" s="406" t="s">
        <v>224</v>
      </c>
      <c r="E97" s="437" t="s">
        <v>212</v>
      </c>
      <c r="F97" s="400" t="s">
        <v>211</v>
      </c>
    </row>
    <row r="98" spans="2:6" ht="37.75" x14ac:dyDescent="0.85">
      <c r="B98" s="529" t="s">
        <v>127</v>
      </c>
      <c r="C98" s="529"/>
      <c r="D98" s="529"/>
      <c r="E98" s="529"/>
      <c r="F98" s="529"/>
    </row>
    <row r="99" spans="2:6" ht="110.6" x14ac:dyDescent="1.25">
      <c r="B99" s="528" t="s">
        <v>33</v>
      </c>
      <c r="C99" s="419" t="s">
        <v>999</v>
      </c>
      <c r="D99" s="399" t="s">
        <v>359</v>
      </c>
      <c r="E99" s="437" t="s">
        <v>55</v>
      </c>
      <c r="F99" s="400" t="s">
        <v>227</v>
      </c>
    </row>
    <row r="100" spans="2:6" ht="110.6" x14ac:dyDescent="1.25">
      <c r="B100" s="528"/>
      <c r="C100" s="419" t="s">
        <v>226</v>
      </c>
      <c r="D100" s="399" t="s">
        <v>225</v>
      </c>
      <c r="E100" s="437" t="s">
        <v>57</v>
      </c>
      <c r="F100" s="400" t="s">
        <v>228</v>
      </c>
    </row>
    <row r="101" spans="2:6" ht="110.6" x14ac:dyDescent="1.25">
      <c r="B101" s="528"/>
      <c r="C101" s="419" t="s">
        <v>1000</v>
      </c>
      <c r="D101" s="399" t="s">
        <v>360</v>
      </c>
      <c r="E101" s="437" t="s">
        <v>56</v>
      </c>
      <c r="F101" s="400" t="s">
        <v>229</v>
      </c>
    </row>
    <row r="102" spans="2:6" ht="37.75" x14ac:dyDescent="1.25">
      <c r="B102" s="528"/>
      <c r="C102" s="419" t="s">
        <v>1001</v>
      </c>
      <c r="D102" s="399" t="s">
        <v>230</v>
      </c>
      <c r="E102" s="437" t="s">
        <v>58</v>
      </c>
      <c r="F102" s="400" t="s">
        <v>233</v>
      </c>
    </row>
    <row r="103" spans="2:6" ht="110.6" x14ac:dyDescent="1.25">
      <c r="B103" s="528"/>
      <c r="C103" s="419" t="s">
        <v>1002</v>
      </c>
      <c r="D103" s="399" t="s">
        <v>231</v>
      </c>
      <c r="E103" s="437" t="s">
        <v>59</v>
      </c>
      <c r="F103" s="400" t="s">
        <v>234</v>
      </c>
    </row>
    <row r="104" spans="2:6" ht="110.6" x14ac:dyDescent="1.25">
      <c r="B104" s="528"/>
      <c r="C104" s="419" t="s">
        <v>1003</v>
      </c>
      <c r="D104" s="399" t="s">
        <v>232</v>
      </c>
      <c r="E104" s="437" t="s">
        <v>60</v>
      </c>
      <c r="F104" s="400" t="s">
        <v>234</v>
      </c>
    </row>
    <row r="105" spans="2:6" ht="110.6" x14ac:dyDescent="1.25">
      <c r="B105" s="528" t="s">
        <v>469</v>
      </c>
      <c r="C105" s="419" t="s">
        <v>238</v>
      </c>
      <c r="D105" s="399" t="s">
        <v>361</v>
      </c>
      <c r="E105" s="437" t="s">
        <v>55</v>
      </c>
      <c r="F105" s="400" t="s">
        <v>235</v>
      </c>
    </row>
    <row r="106" spans="2:6" ht="110.6" x14ac:dyDescent="1.25">
      <c r="B106" s="528"/>
      <c r="C106" s="419" t="s">
        <v>1004</v>
      </c>
      <c r="D106" s="399" t="s">
        <v>362</v>
      </c>
      <c r="E106" s="437" t="s">
        <v>57</v>
      </c>
      <c r="F106" s="400" t="s">
        <v>236</v>
      </c>
    </row>
    <row r="107" spans="2:6" ht="110.6" x14ac:dyDescent="1.25">
      <c r="B107" s="528"/>
      <c r="C107" s="419" t="s">
        <v>239</v>
      </c>
      <c r="D107" s="399" t="s">
        <v>240</v>
      </c>
      <c r="E107" s="437" t="s">
        <v>56</v>
      </c>
      <c r="F107" s="400" t="s">
        <v>237</v>
      </c>
    </row>
    <row r="108" spans="2:6" ht="37.75" x14ac:dyDescent="1.25">
      <c r="B108" s="528"/>
      <c r="C108" s="423" t="s">
        <v>338</v>
      </c>
      <c r="D108" s="399" t="s">
        <v>241</v>
      </c>
      <c r="E108" s="437" t="s">
        <v>58</v>
      </c>
      <c r="F108" s="400" t="s">
        <v>244</v>
      </c>
    </row>
    <row r="109" spans="2:6" ht="110.6" x14ac:dyDescent="1.25">
      <c r="B109" s="528"/>
      <c r="C109" s="423" t="s">
        <v>1002</v>
      </c>
      <c r="D109" s="399" t="s">
        <v>363</v>
      </c>
      <c r="E109" s="437" t="s">
        <v>59</v>
      </c>
      <c r="F109" s="400" t="s">
        <v>245</v>
      </c>
    </row>
    <row r="110" spans="2:6" ht="110.6" x14ac:dyDescent="1.25">
      <c r="B110" s="528"/>
      <c r="C110" s="419" t="s">
        <v>242</v>
      </c>
      <c r="D110" s="399" t="s">
        <v>243</v>
      </c>
      <c r="E110" s="437" t="s">
        <v>60</v>
      </c>
      <c r="F110" s="400" t="s">
        <v>245</v>
      </c>
    </row>
    <row r="111" spans="2:6" ht="110.6" x14ac:dyDescent="1.25">
      <c r="B111" s="528" t="s">
        <v>25</v>
      </c>
      <c r="C111" s="419" t="s">
        <v>1005</v>
      </c>
      <c r="D111" s="399" t="s">
        <v>364</v>
      </c>
      <c r="E111" s="437" t="s">
        <v>55</v>
      </c>
      <c r="F111" s="400" t="s">
        <v>246</v>
      </c>
    </row>
    <row r="112" spans="2:6" ht="110.6" x14ac:dyDescent="1.25">
      <c r="B112" s="528"/>
      <c r="C112" s="423" t="s">
        <v>226</v>
      </c>
      <c r="D112" s="399" t="s">
        <v>365</v>
      </c>
      <c r="E112" s="437" t="s">
        <v>57</v>
      </c>
      <c r="F112" s="400" t="s">
        <v>247</v>
      </c>
    </row>
    <row r="113" spans="1:6" ht="110.6" x14ac:dyDescent="1.25">
      <c r="B113" s="528"/>
      <c r="C113" s="419" t="s">
        <v>239</v>
      </c>
      <c r="D113" s="399" t="s">
        <v>366</v>
      </c>
      <c r="E113" s="437" t="s">
        <v>56</v>
      </c>
      <c r="F113" s="400" t="s">
        <v>248</v>
      </c>
    </row>
    <row r="114" spans="1:6" ht="37.75" x14ac:dyDescent="1.25">
      <c r="B114" s="528"/>
      <c r="C114" s="419" t="s">
        <v>1001</v>
      </c>
      <c r="D114" s="399" t="s">
        <v>251</v>
      </c>
      <c r="E114" s="437" t="s">
        <v>58</v>
      </c>
      <c r="F114" s="400" t="s">
        <v>250</v>
      </c>
    </row>
    <row r="115" spans="1:6" ht="110.6" x14ac:dyDescent="1.25">
      <c r="B115" s="528"/>
      <c r="C115" s="419" t="s">
        <v>1002</v>
      </c>
      <c r="D115" s="399" t="s">
        <v>367</v>
      </c>
      <c r="E115" s="437" t="s">
        <v>59</v>
      </c>
      <c r="F115" s="400" t="s">
        <v>249</v>
      </c>
    </row>
    <row r="116" spans="1:6" ht="110.6" x14ac:dyDescent="1.25">
      <c r="B116" s="528"/>
      <c r="C116" s="419" t="s">
        <v>242</v>
      </c>
      <c r="D116" s="399" t="s">
        <v>368</v>
      </c>
      <c r="E116" s="437" t="s">
        <v>60</v>
      </c>
      <c r="F116" s="400" t="s">
        <v>249</v>
      </c>
    </row>
    <row r="117" spans="1:6" ht="37.75" x14ac:dyDescent="0.85">
      <c r="B117" s="529" t="s">
        <v>128</v>
      </c>
      <c r="C117" s="529"/>
      <c r="D117" s="529"/>
      <c r="E117" s="529"/>
      <c r="F117" s="529"/>
    </row>
    <row r="118" spans="1:6" ht="37.75" x14ac:dyDescent="1.25">
      <c r="B118" s="538" t="s">
        <v>904</v>
      </c>
      <c r="C118" s="419" t="s">
        <v>689</v>
      </c>
      <c r="D118" s="407" t="s">
        <v>523</v>
      </c>
      <c r="E118" s="437" t="s">
        <v>728</v>
      </c>
      <c r="F118" s="409" t="s">
        <v>763</v>
      </c>
    </row>
    <row r="119" spans="1:6" ht="73.75" x14ac:dyDescent="1.25">
      <c r="B119" s="538"/>
      <c r="C119" s="419" t="s">
        <v>943</v>
      </c>
      <c r="D119" s="407" t="s">
        <v>524</v>
      </c>
      <c r="E119" s="437" t="s">
        <v>764</v>
      </c>
      <c r="F119" s="408" t="s">
        <v>765</v>
      </c>
    </row>
    <row r="120" spans="1:6" ht="37.75" x14ac:dyDescent="1.25">
      <c r="B120" s="538"/>
      <c r="C120" s="424" t="s">
        <v>947</v>
      </c>
      <c r="D120" s="407" t="s">
        <v>908</v>
      </c>
      <c r="E120" s="437" t="s">
        <v>962</v>
      </c>
      <c r="F120" s="408" t="s">
        <v>963</v>
      </c>
    </row>
    <row r="121" spans="1:6" ht="73.75" x14ac:dyDescent="1.25">
      <c r="B121" s="538"/>
      <c r="C121" s="419" t="s">
        <v>899</v>
      </c>
      <c r="D121" s="407" t="s">
        <v>909</v>
      </c>
      <c r="E121" s="437" t="s">
        <v>964</v>
      </c>
      <c r="F121" s="408" t="s">
        <v>963</v>
      </c>
    </row>
    <row r="122" spans="1:6" s="123" customFormat="1" ht="73.75" x14ac:dyDescent="1.25">
      <c r="A122" s="272"/>
      <c r="B122" s="538"/>
      <c r="C122" s="419" t="s">
        <v>900</v>
      </c>
      <c r="D122" s="407" t="s">
        <v>910</v>
      </c>
      <c r="E122" s="437" t="s">
        <v>965</v>
      </c>
      <c r="F122" s="408" t="s">
        <v>966</v>
      </c>
    </row>
    <row r="123" spans="1:6" ht="73.75" x14ac:dyDescent="1.25">
      <c r="B123" s="538"/>
      <c r="C123" s="419" t="s">
        <v>901</v>
      </c>
      <c r="D123" s="407" t="s">
        <v>911</v>
      </c>
      <c r="E123" s="437" t="s">
        <v>967</v>
      </c>
      <c r="F123" s="408" t="s">
        <v>963</v>
      </c>
    </row>
    <row r="124" spans="1:6" ht="73.75" x14ac:dyDescent="1.25">
      <c r="B124" s="538"/>
      <c r="C124" s="419" t="s">
        <v>902</v>
      </c>
      <c r="D124" s="407" t="s">
        <v>912</v>
      </c>
      <c r="E124" s="437" t="s">
        <v>968</v>
      </c>
      <c r="F124" s="408" t="s">
        <v>966</v>
      </c>
    </row>
    <row r="125" spans="1:6" ht="73.75" x14ac:dyDescent="1.25">
      <c r="B125" s="538"/>
      <c r="C125" s="419" t="s">
        <v>903</v>
      </c>
      <c r="D125" s="407" t="s">
        <v>913</v>
      </c>
      <c r="E125" s="437" t="s">
        <v>969</v>
      </c>
      <c r="F125" s="408" t="s">
        <v>963</v>
      </c>
    </row>
    <row r="126" spans="1:6" ht="73.75" x14ac:dyDescent="1.25">
      <c r="B126" s="538"/>
      <c r="C126" s="419" t="s">
        <v>938</v>
      </c>
      <c r="D126" s="407" t="s">
        <v>914</v>
      </c>
      <c r="E126" s="437" t="s">
        <v>973</v>
      </c>
      <c r="F126" s="408" t="s">
        <v>963</v>
      </c>
    </row>
    <row r="127" spans="1:6" ht="37.75" x14ac:dyDescent="1.25">
      <c r="B127" s="538" t="s">
        <v>905</v>
      </c>
      <c r="C127" s="419" t="s">
        <v>950</v>
      </c>
      <c r="D127" s="407" t="s">
        <v>915</v>
      </c>
      <c r="E127" s="437" t="s">
        <v>970</v>
      </c>
      <c r="F127" s="408" t="s">
        <v>971</v>
      </c>
    </row>
    <row r="128" spans="1:6" ht="73.75" x14ac:dyDescent="1.25">
      <c r="B128" s="538"/>
      <c r="C128" s="419" t="s">
        <v>944</v>
      </c>
      <c r="D128" s="407" t="s">
        <v>916</v>
      </c>
      <c r="E128" s="437" t="s">
        <v>972</v>
      </c>
      <c r="F128" s="408" t="s">
        <v>765</v>
      </c>
    </row>
    <row r="129" spans="2:6" ht="37.75" x14ac:dyDescent="1.25">
      <c r="B129" s="538"/>
      <c r="C129" s="424" t="s">
        <v>953</v>
      </c>
      <c r="D129" s="407" t="s">
        <v>917</v>
      </c>
      <c r="E129" s="437" t="s">
        <v>962</v>
      </c>
      <c r="F129" s="408" t="s">
        <v>963</v>
      </c>
    </row>
    <row r="130" spans="2:6" ht="73.75" x14ac:dyDescent="1.25">
      <c r="B130" s="538"/>
      <c r="C130" s="419" t="s">
        <v>899</v>
      </c>
      <c r="D130" s="407" t="s">
        <v>918</v>
      </c>
      <c r="E130" s="437" t="s">
        <v>964</v>
      </c>
      <c r="F130" s="408" t="s">
        <v>963</v>
      </c>
    </row>
    <row r="131" spans="2:6" ht="73.75" x14ac:dyDescent="1.25">
      <c r="B131" s="538"/>
      <c r="C131" s="419" t="s">
        <v>900</v>
      </c>
      <c r="D131" s="407" t="s">
        <v>919</v>
      </c>
      <c r="E131" s="437" t="s">
        <v>965</v>
      </c>
      <c r="F131" s="408" t="s">
        <v>966</v>
      </c>
    </row>
    <row r="132" spans="2:6" ht="73.75" x14ac:dyDescent="1.25">
      <c r="B132" s="538"/>
      <c r="C132" s="419" t="s">
        <v>901</v>
      </c>
      <c r="D132" s="407" t="s">
        <v>920</v>
      </c>
      <c r="E132" s="437" t="s">
        <v>967</v>
      </c>
      <c r="F132" s="408" t="s">
        <v>963</v>
      </c>
    </row>
    <row r="133" spans="2:6" ht="73.75" x14ac:dyDescent="1.25">
      <c r="B133" s="538"/>
      <c r="C133" s="419" t="s">
        <v>902</v>
      </c>
      <c r="D133" s="407" t="s">
        <v>921</v>
      </c>
      <c r="E133" s="437" t="s">
        <v>968</v>
      </c>
      <c r="F133" s="408" t="s">
        <v>966</v>
      </c>
    </row>
    <row r="134" spans="2:6" ht="73.75" x14ac:dyDescent="1.25">
      <c r="B134" s="538"/>
      <c r="C134" s="419" t="s">
        <v>903</v>
      </c>
      <c r="D134" s="407" t="s">
        <v>922</v>
      </c>
      <c r="E134" s="437" t="s">
        <v>969</v>
      </c>
      <c r="F134" s="408" t="s">
        <v>963</v>
      </c>
    </row>
    <row r="135" spans="2:6" ht="73.75" x14ac:dyDescent="1.25">
      <c r="B135" s="538"/>
      <c r="C135" s="419" t="s">
        <v>938</v>
      </c>
      <c r="D135" s="407" t="s">
        <v>923</v>
      </c>
      <c r="E135" s="437" t="s">
        <v>973</v>
      </c>
      <c r="F135" s="408" t="s">
        <v>963</v>
      </c>
    </row>
    <row r="136" spans="2:6" ht="37.75" x14ac:dyDescent="1.25">
      <c r="B136" s="538" t="s">
        <v>907</v>
      </c>
      <c r="C136" s="419" t="s">
        <v>951</v>
      </c>
      <c r="D136" s="407" t="s">
        <v>924</v>
      </c>
      <c r="E136" s="437" t="s">
        <v>974</v>
      </c>
      <c r="F136" s="408" t="s">
        <v>975</v>
      </c>
    </row>
    <row r="137" spans="2:6" ht="73.75" x14ac:dyDescent="1.25">
      <c r="B137" s="538"/>
      <c r="C137" s="419" t="s">
        <v>945</v>
      </c>
      <c r="D137" s="407" t="s">
        <v>925</v>
      </c>
      <c r="E137" s="437" t="s">
        <v>976</v>
      </c>
      <c r="F137" s="408" t="s">
        <v>765</v>
      </c>
    </row>
    <row r="138" spans="2:6" ht="37.75" x14ac:dyDescent="1.25">
      <c r="B138" s="538"/>
      <c r="C138" s="424" t="s">
        <v>954</v>
      </c>
      <c r="D138" s="407" t="s">
        <v>926</v>
      </c>
      <c r="E138" s="437" t="s">
        <v>962</v>
      </c>
      <c r="F138" s="408" t="s">
        <v>963</v>
      </c>
    </row>
    <row r="139" spans="2:6" ht="73.75" x14ac:dyDescent="1.25">
      <c r="B139" s="538"/>
      <c r="C139" s="419" t="s">
        <v>899</v>
      </c>
      <c r="D139" s="407" t="s">
        <v>927</v>
      </c>
      <c r="E139" s="437" t="s">
        <v>977</v>
      </c>
      <c r="F139" s="408" t="s">
        <v>963</v>
      </c>
    </row>
    <row r="140" spans="2:6" ht="73.75" x14ac:dyDescent="1.25">
      <c r="B140" s="538"/>
      <c r="C140" s="419" t="s">
        <v>900</v>
      </c>
      <c r="D140" s="407" t="s">
        <v>928</v>
      </c>
      <c r="E140" s="437" t="s">
        <v>978</v>
      </c>
      <c r="F140" s="408" t="s">
        <v>966</v>
      </c>
    </row>
    <row r="141" spans="2:6" ht="73.75" x14ac:dyDescent="1.25">
      <c r="B141" s="538"/>
      <c r="C141" s="419" t="s">
        <v>901</v>
      </c>
      <c r="D141" s="407" t="s">
        <v>929</v>
      </c>
      <c r="E141" s="437" t="s">
        <v>979</v>
      </c>
      <c r="F141" s="408" t="s">
        <v>963</v>
      </c>
    </row>
    <row r="142" spans="2:6" ht="73.75" x14ac:dyDescent="1.25">
      <c r="B142" s="538"/>
      <c r="C142" s="419" t="s">
        <v>902</v>
      </c>
      <c r="D142" s="407" t="s">
        <v>930</v>
      </c>
      <c r="E142" s="437" t="s">
        <v>980</v>
      </c>
      <c r="F142" s="408" t="s">
        <v>966</v>
      </c>
    </row>
    <row r="143" spans="2:6" ht="73.75" x14ac:dyDescent="1.25">
      <c r="B143" s="538"/>
      <c r="C143" s="419" t="s">
        <v>903</v>
      </c>
      <c r="D143" s="407" t="s">
        <v>931</v>
      </c>
      <c r="E143" s="437" t="s">
        <v>969</v>
      </c>
      <c r="F143" s="408" t="s">
        <v>963</v>
      </c>
    </row>
    <row r="144" spans="2:6" ht="73.75" x14ac:dyDescent="1.25">
      <c r="B144" s="538"/>
      <c r="C144" s="419" t="s">
        <v>938</v>
      </c>
      <c r="D144" s="407" t="s">
        <v>932</v>
      </c>
      <c r="E144" s="437" t="s">
        <v>973</v>
      </c>
      <c r="F144" s="408" t="s">
        <v>963</v>
      </c>
    </row>
    <row r="145" spans="2:6" ht="37.75" x14ac:dyDescent="1.25">
      <c r="B145" s="538" t="s">
        <v>906</v>
      </c>
      <c r="C145" s="419" t="s">
        <v>952</v>
      </c>
      <c r="D145" s="407" t="s">
        <v>933</v>
      </c>
      <c r="E145" s="437" t="s">
        <v>728</v>
      </c>
      <c r="F145" s="408" t="s">
        <v>981</v>
      </c>
    </row>
    <row r="146" spans="2:6" ht="73.75" x14ac:dyDescent="1.25">
      <c r="B146" s="538"/>
      <c r="C146" s="419" t="s">
        <v>946</v>
      </c>
      <c r="D146" s="407" t="s">
        <v>934</v>
      </c>
      <c r="E146" s="437" t="s">
        <v>764</v>
      </c>
      <c r="F146" s="408" t="s">
        <v>765</v>
      </c>
    </row>
    <row r="147" spans="2:6" ht="37.75" x14ac:dyDescent="1.25">
      <c r="B147" s="538"/>
      <c r="C147" s="424" t="s">
        <v>955</v>
      </c>
      <c r="D147" s="407" t="s">
        <v>935</v>
      </c>
      <c r="E147" s="437" t="s">
        <v>962</v>
      </c>
      <c r="F147" s="408" t="s">
        <v>963</v>
      </c>
    </row>
    <row r="148" spans="2:6" ht="73.75" x14ac:dyDescent="1.25">
      <c r="B148" s="538"/>
      <c r="C148" s="419" t="s">
        <v>899</v>
      </c>
      <c r="D148" s="407" t="s">
        <v>936</v>
      </c>
      <c r="E148" s="437" t="s">
        <v>964</v>
      </c>
      <c r="F148" s="408" t="s">
        <v>963</v>
      </c>
    </row>
    <row r="149" spans="2:6" ht="73.75" x14ac:dyDescent="1.25">
      <c r="B149" s="538"/>
      <c r="C149" s="419" t="s">
        <v>900</v>
      </c>
      <c r="D149" s="407" t="s">
        <v>937</v>
      </c>
      <c r="E149" s="437" t="s">
        <v>965</v>
      </c>
      <c r="F149" s="408" t="s">
        <v>966</v>
      </c>
    </row>
    <row r="150" spans="2:6" ht="73.75" x14ac:dyDescent="1.25">
      <c r="B150" s="538"/>
      <c r="C150" s="419" t="s">
        <v>901</v>
      </c>
      <c r="D150" s="407" t="s">
        <v>939</v>
      </c>
      <c r="E150" s="437" t="s">
        <v>967</v>
      </c>
      <c r="F150" s="408" t="s">
        <v>963</v>
      </c>
    </row>
    <row r="151" spans="2:6" ht="73.75" x14ac:dyDescent="1.25">
      <c r="B151" s="538"/>
      <c r="C151" s="419" t="s">
        <v>902</v>
      </c>
      <c r="D151" s="407" t="s">
        <v>940</v>
      </c>
      <c r="E151" s="437" t="s">
        <v>968</v>
      </c>
      <c r="F151" s="408" t="s">
        <v>966</v>
      </c>
    </row>
    <row r="152" spans="2:6" ht="73.75" x14ac:dyDescent="1.25">
      <c r="B152" s="538"/>
      <c r="C152" s="419" t="s">
        <v>903</v>
      </c>
      <c r="D152" s="407" t="s">
        <v>941</v>
      </c>
      <c r="E152" s="437" t="s">
        <v>969</v>
      </c>
      <c r="F152" s="408" t="s">
        <v>963</v>
      </c>
    </row>
    <row r="153" spans="2:6" ht="73.75" x14ac:dyDescent="1.25">
      <c r="B153" s="538"/>
      <c r="C153" s="419" t="s">
        <v>938</v>
      </c>
      <c r="D153" s="407" t="s">
        <v>942</v>
      </c>
      <c r="E153" s="437" t="s">
        <v>973</v>
      </c>
      <c r="F153" s="408" t="s">
        <v>963</v>
      </c>
    </row>
    <row r="154" spans="2:6" ht="73.75" x14ac:dyDescent="1.25">
      <c r="B154" s="528" t="s">
        <v>34</v>
      </c>
      <c r="C154" s="419" t="s">
        <v>184</v>
      </c>
      <c r="D154" s="399" t="s">
        <v>186</v>
      </c>
      <c r="E154" s="437" t="s">
        <v>275</v>
      </c>
      <c r="F154" s="400" t="s">
        <v>253</v>
      </c>
    </row>
    <row r="155" spans="2:6" ht="73.75" x14ac:dyDescent="1.25">
      <c r="B155" s="528"/>
      <c r="C155" s="419" t="s">
        <v>1006</v>
      </c>
      <c r="D155" s="399" t="s">
        <v>185</v>
      </c>
      <c r="E155" s="437" t="s">
        <v>64</v>
      </c>
      <c r="F155" s="400" t="s">
        <v>254</v>
      </c>
    </row>
    <row r="156" spans="2:6" ht="75.45" x14ac:dyDescent="1.35">
      <c r="B156" s="528" t="s">
        <v>35</v>
      </c>
      <c r="C156" s="426" t="s">
        <v>1021</v>
      </c>
      <c r="D156" s="410" t="s">
        <v>252</v>
      </c>
      <c r="E156" s="438" t="s">
        <v>321</v>
      </c>
      <c r="F156" s="411" t="s">
        <v>253</v>
      </c>
    </row>
    <row r="157" spans="2:6" ht="73.75" x14ac:dyDescent="1.25">
      <c r="B157" s="528"/>
      <c r="C157" s="423" t="s">
        <v>255</v>
      </c>
      <c r="D157" s="399" t="s">
        <v>256</v>
      </c>
      <c r="E157" s="437" t="s">
        <v>61</v>
      </c>
      <c r="F157" s="400" t="s">
        <v>254</v>
      </c>
    </row>
    <row r="158" spans="2:6" ht="37.75" x14ac:dyDescent="1.25">
      <c r="B158" s="530" t="s">
        <v>26</v>
      </c>
      <c r="C158" s="415" t="s">
        <v>1007</v>
      </c>
      <c r="D158" s="399" t="s">
        <v>257</v>
      </c>
      <c r="E158" s="437" t="s">
        <v>62</v>
      </c>
      <c r="F158" s="400" t="s">
        <v>266</v>
      </c>
    </row>
    <row r="159" spans="2:6" ht="37.75" x14ac:dyDescent="1.25">
      <c r="B159" s="530"/>
      <c r="C159" s="415" t="s">
        <v>339</v>
      </c>
      <c r="D159" s="399" t="s">
        <v>258</v>
      </c>
      <c r="E159" s="437" t="s">
        <v>65</v>
      </c>
      <c r="F159" s="400" t="s">
        <v>266</v>
      </c>
    </row>
    <row r="160" spans="2:6" ht="37.75" x14ac:dyDescent="1.25">
      <c r="B160" s="530"/>
      <c r="C160" s="415" t="s">
        <v>1008</v>
      </c>
      <c r="D160" s="399" t="s">
        <v>259</v>
      </c>
      <c r="E160" s="437" t="s">
        <v>63</v>
      </c>
      <c r="F160" s="400" t="s">
        <v>267</v>
      </c>
    </row>
    <row r="161" spans="2:6" ht="73.75" x14ac:dyDescent="1.25">
      <c r="B161" s="530"/>
      <c r="C161" s="415" t="s">
        <v>340</v>
      </c>
      <c r="D161" s="399" t="s">
        <v>260</v>
      </c>
      <c r="E161" s="437" t="s">
        <v>270</v>
      </c>
      <c r="F161" s="400" t="s">
        <v>269</v>
      </c>
    </row>
    <row r="162" spans="2:6" ht="73.75" x14ac:dyDescent="1.25">
      <c r="B162" s="530"/>
      <c r="C162" s="415" t="s">
        <v>341</v>
      </c>
      <c r="D162" s="399" t="s">
        <v>261</v>
      </c>
      <c r="E162" s="437" t="s">
        <v>271</v>
      </c>
      <c r="F162" s="400" t="s">
        <v>268</v>
      </c>
    </row>
    <row r="163" spans="2:6" ht="73.75" x14ac:dyDescent="1.25">
      <c r="B163" s="530"/>
      <c r="C163" s="402" t="s">
        <v>1009</v>
      </c>
      <c r="D163" s="399" t="s">
        <v>262</v>
      </c>
      <c r="E163" s="437" t="s">
        <v>66</v>
      </c>
      <c r="F163" s="400" t="s">
        <v>272</v>
      </c>
    </row>
    <row r="164" spans="2:6" ht="42" x14ac:dyDescent="1.25">
      <c r="B164" s="530"/>
      <c r="C164" s="402" t="s">
        <v>1010</v>
      </c>
      <c r="D164" s="399" t="s">
        <v>263</v>
      </c>
      <c r="E164" s="437" t="s">
        <v>67</v>
      </c>
      <c r="F164" s="400" t="s">
        <v>272</v>
      </c>
    </row>
    <row r="165" spans="2:6" ht="73.75" x14ac:dyDescent="1.25">
      <c r="B165" s="530" t="s">
        <v>111</v>
      </c>
      <c r="C165" s="415" t="s">
        <v>273</v>
      </c>
      <c r="D165" s="399" t="s">
        <v>264</v>
      </c>
      <c r="E165" s="437" t="s">
        <v>139</v>
      </c>
      <c r="F165" s="400" t="s">
        <v>254</v>
      </c>
    </row>
    <row r="166" spans="2:6" ht="73.75" x14ac:dyDescent="1.25">
      <c r="B166" s="530"/>
      <c r="C166" s="402" t="s">
        <v>274</v>
      </c>
      <c r="D166" s="399" t="s">
        <v>265</v>
      </c>
      <c r="E166" s="437" t="s">
        <v>629</v>
      </c>
      <c r="F166" s="400" t="s">
        <v>254</v>
      </c>
    </row>
    <row r="167" spans="2:6" ht="73.75" x14ac:dyDescent="1.25">
      <c r="B167" s="530"/>
      <c r="C167" s="415" t="s">
        <v>1011</v>
      </c>
      <c r="D167" s="399" t="s">
        <v>322</v>
      </c>
      <c r="E167" s="437" t="s">
        <v>324</v>
      </c>
      <c r="F167" s="400" t="s">
        <v>325</v>
      </c>
    </row>
    <row r="168" spans="2:6" ht="73.75" x14ac:dyDescent="1.25">
      <c r="B168" s="530"/>
      <c r="C168" s="415" t="s">
        <v>1012</v>
      </c>
      <c r="D168" s="399" t="s">
        <v>323</v>
      </c>
      <c r="E168" s="437" t="s">
        <v>326</v>
      </c>
      <c r="F168" s="400" t="s">
        <v>325</v>
      </c>
    </row>
    <row r="169" spans="2:6" ht="37.75" x14ac:dyDescent="0.85">
      <c r="B169" s="529" t="s">
        <v>130</v>
      </c>
      <c r="C169" s="529"/>
      <c r="D169" s="529"/>
      <c r="E169" s="529"/>
      <c r="F169" s="529"/>
    </row>
    <row r="170" spans="2:6" ht="73.75" x14ac:dyDescent="1.25">
      <c r="B170" s="531" t="s">
        <v>115</v>
      </c>
      <c r="C170" s="426" t="s">
        <v>1022</v>
      </c>
      <c r="D170" s="410" t="s">
        <v>369</v>
      </c>
      <c r="E170" s="437" t="s">
        <v>69</v>
      </c>
      <c r="F170" s="400" t="s">
        <v>278</v>
      </c>
    </row>
    <row r="171" spans="2:6" ht="73.75" x14ac:dyDescent="1.25">
      <c r="B171" s="531"/>
      <c r="C171" s="426" t="s">
        <v>476</v>
      </c>
      <c r="D171" s="410" t="s">
        <v>276</v>
      </c>
      <c r="E171" s="437" t="s">
        <v>68</v>
      </c>
      <c r="F171" s="400" t="s">
        <v>279</v>
      </c>
    </row>
    <row r="172" spans="2:6" ht="110.6" x14ac:dyDescent="1.25">
      <c r="B172" s="531"/>
      <c r="C172" s="419" t="s">
        <v>1013</v>
      </c>
      <c r="D172" s="399" t="s">
        <v>277</v>
      </c>
      <c r="E172" s="437" t="s">
        <v>117</v>
      </c>
      <c r="F172" s="400" t="s">
        <v>280</v>
      </c>
    </row>
    <row r="173" spans="2:6" ht="73.75" x14ac:dyDescent="1.25">
      <c r="B173" s="531"/>
      <c r="C173" s="426" t="s">
        <v>478</v>
      </c>
      <c r="D173" s="410" t="s">
        <v>370</v>
      </c>
      <c r="E173" s="437" t="s">
        <v>116</v>
      </c>
      <c r="F173" s="400" t="s">
        <v>281</v>
      </c>
    </row>
    <row r="174" spans="2:6" ht="110.6" x14ac:dyDescent="1.25">
      <c r="B174" s="531"/>
      <c r="C174" s="425" t="s">
        <v>477</v>
      </c>
      <c r="D174" s="396" t="s">
        <v>481</v>
      </c>
      <c r="E174" s="435" t="s">
        <v>766</v>
      </c>
      <c r="F174" s="397"/>
    </row>
    <row r="175" spans="2:6" ht="110.6" x14ac:dyDescent="1.25">
      <c r="B175" s="531"/>
      <c r="C175" s="425" t="s">
        <v>482</v>
      </c>
      <c r="D175" s="396" t="s">
        <v>498</v>
      </c>
      <c r="E175" s="437" t="s">
        <v>767</v>
      </c>
      <c r="F175" s="397"/>
    </row>
    <row r="176" spans="2:6" ht="111.45" x14ac:dyDescent="1.35">
      <c r="B176" s="528" t="s">
        <v>1014</v>
      </c>
      <c r="C176" s="427" t="s">
        <v>1023</v>
      </c>
      <c r="D176" s="410" t="s">
        <v>282</v>
      </c>
      <c r="E176" s="437" t="s">
        <v>630</v>
      </c>
      <c r="F176" s="400" t="s">
        <v>281</v>
      </c>
    </row>
    <row r="177" spans="2:6" ht="184.3" x14ac:dyDescent="1.25">
      <c r="B177" s="528"/>
      <c r="C177" s="419" t="s">
        <v>479</v>
      </c>
      <c r="D177" s="410" t="s">
        <v>283</v>
      </c>
      <c r="E177" s="437" t="s">
        <v>631</v>
      </c>
      <c r="F177" s="400" t="s">
        <v>281</v>
      </c>
    </row>
    <row r="178" spans="2:6" ht="73.75" x14ac:dyDescent="1.25">
      <c r="B178" s="528"/>
      <c r="C178" s="419" t="s">
        <v>484</v>
      </c>
      <c r="D178" s="396" t="s">
        <v>486</v>
      </c>
      <c r="E178" s="435" t="s">
        <v>768</v>
      </c>
      <c r="F178" s="397" t="s">
        <v>769</v>
      </c>
    </row>
    <row r="179" spans="2:6" ht="110.6" x14ac:dyDescent="1.25">
      <c r="B179" s="528"/>
      <c r="C179" s="419" t="s">
        <v>485</v>
      </c>
      <c r="D179" s="396" t="s">
        <v>487</v>
      </c>
      <c r="E179" s="435" t="s">
        <v>770</v>
      </c>
      <c r="F179" s="397" t="s">
        <v>769</v>
      </c>
    </row>
    <row r="180" spans="2:6" ht="147.44999999999999" x14ac:dyDescent="1.25">
      <c r="B180" s="532" t="s">
        <v>488</v>
      </c>
      <c r="C180" s="419" t="s">
        <v>342</v>
      </c>
      <c r="D180" s="399" t="s">
        <v>371</v>
      </c>
      <c r="E180" s="437" t="s">
        <v>118</v>
      </c>
      <c r="F180" s="400" t="s">
        <v>771</v>
      </c>
    </row>
    <row r="181" spans="2:6" ht="73.75" x14ac:dyDescent="1.25">
      <c r="B181" s="532"/>
      <c r="C181" s="419" t="s">
        <v>1024</v>
      </c>
      <c r="D181" s="410" t="s">
        <v>372</v>
      </c>
      <c r="E181" s="435" t="s">
        <v>772</v>
      </c>
      <c r="F181" s="397" t="s">
        <v>773</v>
      </c>
    </row>
    <row r="182" spans="2:6" ht="37.75" x14ac:dyDescent="1.25">
      <c r="B182" s="532"/>
      <c r="C182" s="423" t="s">
        <v>651</v>
      </c>
      <c r="D182" s="396" t="s">
        <v>652</v>
      </c>
      <c r="E182" s="437" t="s">
        <v>774</v>
      </c>
      <c r="F182" s="400" t="s">
        <v>771</v>
      </c>
    </row>
    <row r="183" spans="2:6" ht="73.75" x14ac:dyDescent="1.25">
      <c r="B183" s="532"/>
      <c r="C183" s="423" t="s">
        <v>1025</v>
      </c>
      <c r="D183" s="396" t="s">
        <v>653</v>
      </c>
      <c r="E183" s="435" t="s">
        <v>775</v>
      </c>
      <c r="F183" s="400" t="s">
        <v>773</v>
      </c>
    </row>
    <row r="184" spans="2:6" ht="110.6" x14ac:dyDescent="1.25">
      <c r="B184" s="532" t="s">
        <v>493</v>
      </c>
      <c r="C184" s="419" t="s">
        <v>480</v>
      </c>
      <c r="D184" s="410" t="s">
        <v>284</v>
      </c>
      <c r="E184" s="437" t="s">
        <v>119</v>
      </c>
      <c r="F184" s="400" t="s">
        <v>285</v>
      </c>
    </row>
    <row r="185" spans="2:6" ht="147.44999999999999" x14ac:dyDescent="1.25">
      <c r="B185" s="532"/>
      <c r="C185" s="423" t="s">
        <v>1026</v>
      </c>
      <c r="D185" s="410" t="s">
        <v>286</v>
      </c>
      <c r="E185" s="437" t="s">
        <v>632</v>
      </c>
      <c r="F185" s="400" t="s">
        <v>285</v>
      </c>
    </row>
    <row r="186" spans="2:6" ht="110.6" x14ac:dyDescent="1.25">
      <c r="B186" s="532"/>
      <c r="C186" s="423" t="s">
        <v>489</v>
      </c>
      <c r="D186" s="396" t="s">
        <v>494</v>
      </c>
      <c r="E186" s="435" t="s">
        <v>776</v>
      </c>
      <c r="F186" s="400" t="s">
        <v>777</v>
      </c>
    </row>
    <row r="187" spans="2:6" ht="110.6" x14ac:dyDescent="1.25">
      <c r="B187" s="532"/>
      <c r="C187" s="419" t="s">
        <v>490</v>
      </c>
      <c r="D187" s="396" t="s">
        <v>495</v>
      </c>
      <c r="E187" s="435" t="s">
        <v>778</v>
      </c>
      <c r="F187" s="397" t="s">
        <v>779</v>
      </c>
    </row>
    <row r="188" spans="2:6" ht="73.75" x14ac:dyDescent="1.25">
      <c r="B188" s="532"/>
      <c r="C188" s="419" t="s">
        <v>491</v>
      </c>
      <c r="D188" s="396" t="s">
        <v>496</v>
      </c>
      <c r="E188" s="435" t="s">
        <v>780</v>
      </c>
      <c r="F188" s="397" t="s">
        <v>781</v>
      </c>
    </row>
    <row r="189" spans="2:6" ht="73.75" x14ac:dyDescent="1.25">
      <c r="B189" s="532"/>
      <c r="C189" s="419" t="s">
        <v>492</v>
      </c>
      <c r="D189" s="396" t="s">
        <v>497</v>
      </c>
      <c r="E189" s="435" t="s">
        <v>782</v>
      </c>
      <c r="F189" s="397" t="s">
        <v>781</v>
      </c>
    </row>
    <row r="190" spans="2:6" ht="110.6" x14ac:dyDescent="1.25">
      <c r="B190" s="531" t="s">
        <v>124</v>
      </c>
      <c r="C190" s="419" t="s">
        <v>868</v>
      </c>
      <c r="D190" s="399" t="s">
        <v>287</v>
      </c>
      <c r="E190" s="437" t="s">
        <v>135</v>
      </c>
      <c r="F190" s="400" t="s">
        <v>289</v>
      </c>
    </row>
    <row r="191" spans="2:6" ht="110.6" x14ac:dyDescent="1.25">
      <c r="B191" s="531"/>
      <c r="C191" s="419" t="s">
        <v>343</v>
      </c>
      <c r="D191" s="399" t="s">
        <v>288</v>
      </c>
      <c r="E191" s="437" t="s">
        <v>633</v>
      </c>
      <c r="F191" s="400" t="s">
        <v>289</v>
      </c>
    </row>
    <row r="192" spans="2:6" ht="73.75" x14ac:dyDescent="1.25">
      <c r="B192" s="531" t="s">
        <v>513</v>
      </c>
      <c r="C192" s="419" t="s">
        <v>520</v>
      </c>
      <c r="D192" s="396" t="s">
        <v>530</v>
      </c>
      <c r="E192" s="435" t="s">
        <v>783</v>
      </c>
      <c r="F192" s="397" t="s">
        <v>784</v>
      </c>
    </row>
    <row r="193" spans="2:6" ht="73.75" x14ac:dyDescent="1.25">
      <c r="B193" s="531"/>
      <c r="C193" s="419" t="s">
        <v>515</v>
      </c>
      <c r="D193" s="396" t="s">
        <v>531</v>
      </c>
      <c r="E193" s="435" t="s">
        <v>785</v>
      </c>
      <c r="F193" s="397" t="s">
        <v>784</v>
      </c>
    </row>
    <row r="194" spans="2:6" ht="73.75" x14ac:dyDescent="1.25">
      <c r="B194" s="531"/>
      <c r="C194" s="425" t="s">
        <v>516</v>
      </c>
      <c r="D194" s="396" t="s">
        <v>532</v>
      </c>
      <c r="E194" s="435" t="s">
        <v>786</v>
      </c>
      <c r="F194" s="397"/>
    </row>
    <row r="195" spans="2:6" ht="73.75" x14ac:dyDescent="1.25">
      <c r="B195" s="531" t="s">
        <v>517</v>
      </c>
      <c r="C195" s="419" t="s">
        <v>521</v>
      </c>
      <c r="D195" s="396" t="s">
        <v>533</v>
      </c>
      <c r="E195" s="435" t="s">
        <v>787</v>
      </c>
      <c r="F195" s="397" t="s">
        <v>788</v>
      </c>
    </row>
    <row r="196" spans="2:6" ht="73.75" x14ac:dyDescent="1.25">
      <c r="B196" s="531"/>
      <c r="C196" s="419" t="s">
        <v>518</v>
      </c>
      <c r="D196" s="396" t="s">
        <v>534</v>
      </c>
      <c r="E196" s="435" t="s">
        <v>789</v>
      </c>
      <c r="F196" s="397" t="s">
        <v>788</v>
      </c>
    </row>
    <row r="197" spans="2:6" ht="73.75" x14ac:dyDescent="1.25">
      <c r="B197" s="531"/>
      <c r="C197" s="425" t="s">
        <v>519</v>
      </c>
      <c r="D197" s="396" t="s">
        <v>535</v>
      </c>
      <c r="E197" s="435" t="s">
        <v>790</v>
      </c>
      <c r="F197" s="397"/>
    </row>
    <row r="198" spans="2:6" ht="73.75" x14ac:dyDescent="1.25">
      <c r="B198" s="531" t="s">
        <v>514</v>
      </c>
      <c r="C198" s="419" t="s">
        <v>960</v>
      </c>
      <c r="D198" s="396" t="s">
        <v>536</v>
      </c>
      <c r="E198" s="435" t="s">
        <v>791</v>
      </c>
      <c r="F198" s="397" t="s">
        <v>792</v>
      </c>
    </row>
    <row r="199" spans="2:6" ht="73.75" x14ac:dyDescent="1.25">
      <c r="B199" s="531"/>
      <c r="C199" s="419" t="s">
        <v>961</v>
      </c>
      <c r="D199" s="396" t="s">
        <v>537</v>
      </c>
      <c r="E199" s="435" t="s">
        <v>793</v>
      </c>
      <c r="F199" s="397" t="s">
        <v>792</v>
      </c>
    </row>
    <row r="200" spans="2:6" ht="73.75" x14ac:dyDescent="1.25">
      <c r="B200" s="531"/>
      <c r="C200" s="412" t="s">
        <v>982</v>
      </c>
      <c r="D200" s="396" t="s">
        <v>538</v>
      </c>
      <c r="E200" s="435" t="s">
        <v>794</v>
      </c>
      <c r="F200" s="397"/>
    </row>
    <row r="201" spans="2:6" ht="37.75" x14ac:dyDescent="0.85">
      <c r="B201" s="529" t="s">
        <v>129</v>
      </c>
      <c r="C201" s="529"/>
      <c r="D201" s="529"/>
      <c r="E201" s="529"/>
      <c r="F201" s="529"/>
    </row>
    <row r="202" spans="2:6" ht="110.6" x14ac:dyDescent="1.25">
      <c r="B202" s="532" t="s">
        <v>483</v>
      </c>
      <c r="C202" s="419" t="s">
        <v>499</v>
      </c>
      <c r="D202" s="410" t="s">
        <v>373</v>
      </c>
      <c r="E202" s="437" t="s">
        <v>70</v>
      </c>
      <c r="F202" s="400" t="s">
        <v>795</v>
      </c>
    </row>
    <row r="203" spans="2:6" ht="73.75" x14ac:dyDescent="1.25">
      <c r="B203" s="532"/>
      <c r="C203" s="419" t="s">
        <v>500</v>
      </c>
      <c r="D203" s="410" t="s">
        <v>374</v>
      </c>
      <c r="E203" s="437" t="s">
        <v>71</v>
      </c>
      <c r="F203" s="400" t="s">
        <v>795</v>
      </c>
    </row>
    <row r="204" spans="2:6" ht="37.75" x14ac:dyDescent="1.25">
      <c r="B204" s="532"/>
      <c r="C204" s="425" t="s">
        <v>501</v>
      </c>
      <c r="D204" s="396" t="s">
        <v>508</v>
      </c>
      <c r="E204" s="435"/>
      <c r="F204" s="397"/>
    </row>
    <row r="205" spans="2:6" ht="73.75" x14ac:dyDescent="1.25">
      <c r="B205" s="528" t="s">
        <v>869</v>
      </c>
      <c r="C205" s="419" t="s">
        <v>502</v>
      </c>
      <c r="D205" s="396" t="s">
        <v>509</v>
      </c>
      <c r="E205" s="435" t="s">
        <v>796</v>
      </c>
      <c r="F205" s="400" t="s">
        <v>795</v>
      </c>
    </row>
    <row r="206" spans="2:6" ht="73.75" x14ac:dyDescent="1.25">
      <c r="B206" s="528"/>
      <c r="C206" s="419" t="s">
        <v>503</v>
      </c>
      <c r="D206" s="396" t="s">
        <v>510</v>
      </c>
      <c r="E206" s="435" t="s">
        <v>797</v>
      </c>
      <c r="F206" s="400" t="s">
        <v>795</v>
      </c>
    </row>
    <row r="207" spans="2:6" ht="73.75" x14ac:dyDescent="1.25">
      <c r="B207" s="533" t="s">
        <v>488</v>
      </c>
      <c r="C207" s="428" t="s">
        <v>504</v>
      </c>
      <c r="D207" s="417" t="s">
        <v>375</v>
      </c>
      <c r="E207" s="439" t="s">
        <v>140</v>
      </c>
      <c r="F207" s="413" t="s">
        <v>296</v>
      </c>
    </row>
    <row r="208" spans="2:6" ht="73.75" x14ac:dyDescent="1.25">
      <c r="B208" s="533"/>
      <c r="C208" s="428" t="s">
        <v>649</v>
      </c>
      <c r="D208" s="418" t="s">
        <v>650</v>
      </c>
      <c r="E208" s="439" t="s">
        <v>798</v>
      </c>
      <c r="F208" s="413" t="s">
        <v>296</v>
      </c>
    </row>
    <row r="209" spans="1:6" ht="73.75" x14ac:dyDescent="1.25">
      <c r="B209" s="532" t="s">
        <v>493</v>
      </c>
      <c r="C209" s="419" t="s">
        <v>506</v>
      </c>
      <c r="D209" s="396" t="s">
        <v>376</v>
      </c>
      <c r="E209" s="437" t="s">
        <v>799</v>
      </c>
      <c r="F209" s="400" t="s">
        <v>800</v>
      </c>
    </row>
    <row r="210" spans="1:6" ht="73.75" x14ac:dyDescent="1.25">
      <c r="B210" s="532"/>
      <c r="C210" s="419" t="s">
        <v>507</v>
      </c>
      <c r="D210" s="396" t="s">
        <v>511</v>
      </c>
      <c r="E210" s="435" t="s">
        <v>801</v>
      </c>
      <c r="F210" s="400" t="s">
        <v>800</v>
      </c>
    </row>
    <row r="211" spans="1:6" ht="73.75" x14ac:dyDescent="1.25">
      <c r="B211" s="532"/>
      <c r="C211" s="419" t="s">
        <v>505</v>
      </c>
      <c r="D211" s="396" t="s">
        <v>512</v>
      </c>
      <c r="E211" s="435" t="s">
        <v>802</v>
      </c>
      <c r="F211" s="400" t="s">
        <v>803</v>
      </c>
    </row>
    <row r="212" spans="1:6" ht="73.75" x14ac:dyDescent="1.25">
      <c r="B212" s="398" t="s">
        <v>290</v>
      </c>
      <c r="C212" s="419" t="s">
        <v>870</v>
      </c>
      <c r="D212" s="399" t="s">
        <v>377</v>
      </c>
      <c r="E212" s="437" t="s">
        <v>291</v>
      </c>
      <c r="F212" s="400" t="s">
        <v>292</v>
      </c>
    </row>
    <row r="213" spans="1:6" ht="110.6" x14ac:dyDescent="1.25">
      <c r="B213" s="532" t="s">
        <v>871</v>
      </c>
      <c r="C213" s="419" t="s">
        <v>293</v>
      </c>
      <c r="D213" s="399" t="s">
        <v>378</v>
      </c>
      <c r="E213" s="437" t="s">
        <v>294</v>
      </c>
      <c r="F213" s="400" t="s">
        <v>295</v>
      </c>
    </row>
    <row r="214" spans="1:6" s="125" customFormat="1" ht="184.3" x14ac:dyDescent="1.25">
      <c r="A214" s="273"/>
      <c r="B214" s="532"/>
      <c r="C214" s="419" t="s">
        <v>344</v>
      </c>
      <c r="D214" s="399" t="s">
        <v>379</v>
      </c>
      <c r="E214" s="437" t="s">
        <v>141</v>
      </c>
      <c r="F214" s="400" t="s">
        <v>296</v>
      </c>
    </row>
    <row r="215" spans="1:6" ht="147.44999999999999" x14ac:dyDescent="1.25">
      <c r="B215" s="532"/>
      <c r="C215" s="419" t="s">
        <v>872</v>
      </c>
      <c r="D215" s="399" t="s">
        <v>380</v>
      </c>
      <c r="E215" s="437" t="s">
        <v>142</v>
      </c>
      <c r="F215" s="400" t="s">
        <v>297</v>
      </c>
    </row>
    <row r="216" spans="1:6" ht="37.75" x14ac:dyDescent="0.85">
      <c r="B216" s="529" t="s">
        <v>131</v>
      </c>
      <c r="C216" s="529"/>
      <c r="D216" s="529"/>
      <c r="E216" s="529"/>
      <c r="F216" s="529"/>
    </row>
    <row r="217" spans="1:6" ht="73.75" x14ac:dyDescent="1.25">
      <c r="B217" s="398" t="s">
        <v>298</v>
      </c>
      <c r="C217" s="429" t="s">
        <v>1015</v>
      </c>
      <c r="D217" s="399" t="s">
        <v>299</v>
      </c>
      <c r="E217" s="437" t="s">
        <v>804</v>
      </c>
      <c r="F217" s="400" t="s">
        <v>805</v>
      </c>
    </row>
    <row r="218" spans="1:6" ht="73.75" x14ac:dyDescent="1.25">
      <c r="B218" s="528" t="s">
        <v>579</v>
      </c>
      <c r="C218" s="423" t="s">
        <v>396</v>
      </c>
      <c r="D218" s="396" t="s">
        <v>573</v>
      </c>
      <c r="E218" s="435" t="s">
        <v>806</v>
      </c>
      <c r="F218" s="400" t="s">
        <v>805</v>
      </c>
    </row>
    <row r="219" spans="1:6" ht="73.75" x14ac:dyDescent="1.25">
      <c r="B219" s="528"/>
      <c r="C219" s="423" t="s">
        <v>391</v>
      </c>
      <c r="D219" s="396" t="s">
        <v>574</v>
      </c>
      <c r="E219" s="435" t="s">
        <v>807</v>
      </c>
      <c r="F219" s="400" t="s">
        <v>805</v>
      </c>
    </row>
    <row r="220" spans="1:6" ht="73.75" x14ac:dyDescent="1.25">
      <c r="B220" s="528"/>
      <c r="C220" s="419" t="s">
        <v>392</v>
      </c>
      <c r="D220" s="396" t="s">
        <v>575</v>
      </c>
      <c r="E220" s="435" t="s">
        <v>808</v>
      </c>
      <c r="F220" s="400" t="s">
        <v>805</v>
      </c>
    </row>
    <row r="221" spans="1:6" ht="73.75" x14ac:dyDescent="1.25">
      <c r="B221" s="528"/>
      <c r="C221" s="419" t="s">
        <v>393</v>
      </c>
      <c r="D221" s="396" t="s">
        <v>576</v>
      </c>
      <c r="E221" s="435" t="s">
        <v>809</v>
      </c>
      <c r="F221" s="400" t="s">
        <v>805</v>
      </c>
    </row>
    <row r="222" spans="1:6" ht="73.75" x14ac:dyDescent="1.25">
      <c r="B222" s="528"/>
      <c r="C222" s="419" t="s">
        <v>394</v>
      </c>
      <c r="D222" s="396" t="s">
        <v>577</v>
      </c>
      <c r="E222" s="435" t="s">
        <v>810</v>
      </c>
      <c r="F222" s="400" t="s">
        <v>805</v>
      </c>
    </row>
    <row r="223" spans="1:6" ht="73.75" x14ac:dyDescent="1.25">
      <c r="B223" s="528"/>
      <c r="C223" s="419" t="s">
        <v>395</v>
      </c>
      <c r="D223" s="396" t="s">
        <v>578</v>
      </c>
      <c r="E223" s="435" t="s">
        <v>811</v>
      </c>
      <c r="F223" s="400" t="s">
        <v>805</v>
      </c>
    </row>
    <row r="224" spans="1:6" ht="73.75" x14ac:dyDescent="1.25">
      <c r="B224" s="398" t="s">
        <v>580</v>
      </c>
      <c r="C224" s="430" t="s">
        <v>1018</v>
      </c>
      <c r="D224" s="399" t="s">
        <v>300</v>
      </c>
      <c r="E224" s="437" t="s">
        <v>72</v>
      </c>
      <c r="F224" s="400" t="s">
        <v>805</v>
      </c>
    </row>
    <row r="225" spans="2:6" ht="37.75" x14ac:dyDescent="1.25">
      <c r="B225" s="528" t="s">
        <v>581</v>
      </c>
      <c r="C225" s="419" t="s">
        <v>562</v>
      </c>
      <c r="D225" s="396" t="s">
        <v>561</v>
      </c>
      <c r="E225" s="435" t="s">
        <v>812</v>
      </c>
      <c r="F225" s="397" t="s">
        <v>813</v>
      </c>
    </row>
    <row r="226" spans="2:6" ht="37.75" x14ac:dyDescent="1.25">
      <c r="B226" s="528"/>
      <c r="C226" s="429" t="s">
        <v>1016</v>
      </c>
      <c r="D226" s="399" t="s">
        <v>302</v>
      </c>
      <c r="E226" s="437" t="s">
        <v>301</v>
      </c>
      <c r="F226" s="400" t="s">
        <v>303</v>
      </c>
    </row>
    <row r="227" spans="2:6" ht="73.75" x14ac:dyDescent="1.25">
      <c r="B227" s="528" t="s">
        <v>441</v>
      </c>
      <c r="C227" s="419" t="s">
        <v>396</v>
      </c>
      <c r="D227" s="399" t="s">
        <v>410</v>
      </c>
      <c r="E227" s="437" t="s">
        <v>427</v>
      </c>
      <c r="F227" s="400" t="s">
        <v>303</v>
      </c>
    </row>
    <row r="228" spans="2:6" ht="73.75" x14ac:dyDescent="1.25">
      <c r="B228" s="528"/>
      <c r="C228" s="419" t="s">
        <v>391</v>
      </c>
      <c r="D228" s="399" t="s">
        <v>411</v>
      </c>
      <c r="E228" s="437" t="s">
        <v>428</v>
      </c>
      <c r="F228" s="400" t="s">
        <v>303</v>
      </c>
    </row>
    <row r="229" spans="2:6" ht="73.75" x14ac:dyDescent="1.25">
      <c r="B229" s="528"/>
      <c r="C229" s="419" t="s">
        <v>392</v>
      </c>
      <c r="D229" s="399" t="s">
        <v>412</v>
      </c>
      <c r="E229" s="437" t="s">
        <v>429</v>
      </c>
      <c r="F229" s="400" t="s">
        <v>303</v>
      </c>
    </row>
    <row r="230" spans="2:6" ht="73.75" x14ac:dyDescent="1.25">
      <c r="B230" s="528"/>
      <c r="C230" s="419" t="s">
        <v>393</v>
      </c>
      <c r="D230" s="399" t="s">
        <v>413</v>
      </c>
      <c r="E230" s="437" t="s">
        <v>430</v>
      </c>
      <c r="F230" s="400" t="s">
        <v>303</v>
      </c>
    </row>
    <row r="231" spans="2:6" ht="73.75" x14ac:dyDescent="1.25">
      <c r="B231" s="528"/>
      <c r="C231" s="419" t="s">
        <v>394</v>
      </c>
      <c r="D231" s="399" t="s">
        <v>414</v>
      </c>
      <c r="E231" s="437" t="s">
        <v>431</v>
      </c>
      <c r="F231" s="400" t="s">
        <v>303</v>
      </c>
    </row>
    <row r="232" spans="2:6" ht="73.75" x14ac:dyDescent="1.25">
      <c r="B232" s="528"/>
      <c r="C232" s="419" t="s">
        <v>395</v>
      </c>
      <c r="D232" s="399" t="s">
        <v>415</v>
      </c>
      <c r="E232" s="437" t="s">
        <v>432</v>
      </c>
      <c r="F232" s="400" t="s">
        <v>303</v>
      </c>
    </row>
    <row r="233" spans="2:6" ht="37.75" x14ac:dyDescent="1.25">
      <c r="B233" s="528" t="s">
        <v>442</v>
      </c>
      <c r="C233" s="419" t="s">
        <v>445</v>
      </c>
      <c r="D233" s="399" t="s">
        <v>421</v>
      </c>
      <c r="E233" s="437" t="s">
        <v>433</v>
      </c>
      <c r="F233" s="400" t="s">
        <v>439</v>
      </c>
    </row>
    <row r="234" spans="2:6" ht="37.75" x14ac:dyDescent="1.25">
      <c r="B234" s="528"/>
      <c r="C234" s="423" t="s">
        <v>416</v>
      </c>
      <c r="D234" s="399" t="s">
        <v>422</v>
      </c>
      <c r="E234" s="437" t="s">
        <v>434</v>
      </c>
      <c r="F234" s="400" t="s">
        <v>439</v>
      </c>
    </row>
    <row r="235" spans="2:6" ht="37.75" x14ac:dyDescent="1.25">
      <c r="B235" s="528"/>
      <c r="C235" s="423" t="s">
        <v>417</v>
      </c>
      <c r="D235" s="399" t="s">
        <v>423</v>
      </c>
      <c r="E235" s="437" t="s">
        <v>435</v>
      </c>
      <c r="F235" s="400" t="s">
        <v>439</v>
      </c>
    </row>
    <row r="236" spans="2:6" ht="37.75" x14ac:dyDescent="1.25">
      <c r="B236" s="528"/>
      <c r="C236" s="419" t="s">
        <v>418</v>
      </c>
      <c r="D236" s="399" t="s">
        <v>424</v>
      </c>
      <c r="E236" s="437" t="s">
        <v>436</v>
      </c>
      <c r="F236" s="400" t="s">
        <v>439</v>
      </c>
    </row>
    <row r="237" spans="2:6" ht="37.75" x14ac:dyDescent="1.25">
      <c r="B237" s="528"/>
      <c r="C237" s="419" t="s">
        <v>419</v>
      </c>
      <c r="D237" s="399" t="s">
        <v>425</v>
      </c>
      <c r="E237" s="437" t="s">
        <v>437</v>
      </c>
      <c r="F237" s="400" t="s">
        <v>439</v>
      </c>
    </row>
    <row r="238" spans="2:6" ht="37.75" x14ac:dyDescent="1.25">
      <c r="B238" s="528"/>
      <c r="C238" s="419" t="s">
        <v>420</v>
      </c>
      <c r="D238" s="399" t="s">
        <v>426</v>
      </c>
      <c r="E238" s="437" t="s">
        <v>438</v>
      </c>
      <c r="F238" s="400" t="s">
        <v>439</v>
      </c>
    </row>
    <row r="239" spans="2:6" ht="37.75" x14ac:dyDescent="1.25">
      <c r="B239" s="528"/>
      <c r="C239" s="424" t="s">
        <v>440</v>
      </c>
      <c r="D239" s="399" t="s">
        <v>444</v>
      </c>
      <c r="E239" s="435"/>
      <c r="F239" s="397"/>
    </row>
    <row r="240" spans="2:6" ht="73.75" x14ac:dyDescent="1.25">
      <c r="B240" s="528"/>
      <c r="C240" s="419" t="s">
        <v>462</v>
      </c>
      <c r="D240" s="399" t="s">
        <v>446</v>
      </c>
      <c r="E240" s="437" t="s">
        <v>460</v>
      </c>
      <c r="F240" s="400" t="s">
        <v>439</v>
      </c>
    </row>
    <row r="241" spans="2:6" ht="110.6" x14ac:dyDescent="1.25">
      <c r="B241" s="535" t="s">
        <v>615</v>
      </c>
      <c r="C241" s="419" t="s">
        <v>606</v>
      </c>
      <c r="D241" s="396" t="s">
        <v>558</v>
      </c>
      <c r="E241" s="435" t="s">
        <v>815</v>
      </c>
      <c r="F241" s="397" t="s">
        <v>816</v>
      </c>
    </row>
    <row r="242" spans="2:6" ht="110.6" x14ac:dyDescent="1.25">
      <c r="B242" s="535"/>
      <c r="C242" s="419" t="s">
        <v>607</v>
      </c>
      <c r="D242" s="396" t="s">
        <v>559</v>
      </c>
      <c r="E242" s="435" t="s">
        <v>817</v>
      </c>
      <c r="F242" s="397" t="s">
        <v>816</v>
      </c>
    </row>
    <row r="243" spans="2:6" ht="37.75" x14ac:dyDescent="1.25">
      <c r="B243" s="535"/>
      <c r="C243" s="424" t="s">
        <v>856</v>
      </c>
      <c r="D243" s="396" t="s">
        <v>557</v>
      </c>
      <c r="E243" s="435"/>
      <c r="F243" s="415"/>
    </row>
    <row r="244" spans="2:6" ht="110.6" x14ac:dyDescent="1.25">
      <c r="B244" s="535"/>
      <c r="C244" s="419" t="s">
        <v>608</v>
      </c>
      <c r="D244" s="396" t="s">
        <v>560</v>
      </c>
      <c r="E244" s="435" t="s">
        <v>818</v>
      </c>
      <c r="F244" s="397" t="s">
        <v>816</v>
      </c>
    </row>
    <row r="245" spans="2:6" ht="110.6" x14ac:dyDescent="1.25">
      <c r="B245" s="535"/>
      <c r="C245" s="419" t="s">
        <v>609</v>
      </c>
      <c r="D245" s="396" t="s">
        <v>602</v>
      </c>
      <c r="E245" s="435" t="s">
        <v>819</v>
      </c>
      <c r="F245" s="397" t="s">
        <v>816</v>
      </c>
    </row>
    <row r="246" spans="2:6" ht="110.6" x14ac:dyDescent="1.25">
      <c r="B246" s="535"/>
      <c r="C246" s="424" t="s">
        <v>857</v>
      </c>
      <c r="D246" s="396" t="s">
        <v>304</v>
      </c>
      <c r="E246" s="437" t="s">
        <v>814</v>
      </c>
      <c r="F246" s="400" t="s">
        <v>303</v>
      </c>
    </row>
    <row r="247" spans="2:6" ht="73.75" x14ac:dyDescent="1.25">
      <c r="B247" s="535"/>
      <c r="C247" s="419" t="s">
        <v>1027</v>
      </c>
      <c r="D247" s="396" t="s">
        <v>603</v>
      </c>
      <c r="E247" s="435" t="s">
        <v>820</v>
      </c>
      <c r="F247" s="397" t="s">
        <v>821</v>
      </c>
    </row>
    <row r="248" spans="2:6" ht="73.75" x14ac:dyDescent="1.25">
      <c r="B248" s="535"/>
      <c r="C248" s="419" t="s">
        <v>1028</v>
      </c>
      <c r="D248" s="396" t="s">
        <v>604</v>
      </c>
      <c r="E248" s="435" t="s">
        <v>822</v>
      </c>
      <c r="F248" s="397" t="s">
        <v>823</v>
      </c>
    </row>
    <row r="249" spans="2:6" ht="73.75" x14ac:dyDescent="1.25">
      <c r="B249" s="535"/>
      <c r="C249" s="419" t="s">
        <v>1029</v>
      </c>
      <c r="D249" s="396" t="s">
        <v>605</v>
      </c>
      <c r="E249" s="435" t="s">
        <v>824</v>
      </c>
      <c r="F249" s="397" t="s">
        <v>825</v>
      </c>
    </row>
    <row r="250" spans="2:6" ht="37.75" x14ac:dyDescent="0.85">
      <c r="B250" s="535"/>
      <c r="C250" s="424" t="s">
        <v>858</v>
      </c>
      <c r="D250" s="396" t="s">
        <v>613</v>
      </c>
      <c r="E250" s="440" t="s">
        <v>867</v>
      </c>
      <c r="F250" s="414">
        <f t="shared" ref="F250" si="0">SUM(F247:F249)</f>
        <v>0</v>
      </c>
    </row>
    <row r="251" spans="2:6" ht="73.75" x14ac:dyDescent="1.25">
      <c r="B251" s="535"/>
      <c r="C251" s="419" t="s">
        <v>610</v>
      </c>
      <c r="D251" s="396" t="s">
        <v>614</v>
      </c>
      <c r="E251" s="435" t="s">
        <v>826</v>
      </c>
      <c r="F251" s="397" t="s">
        <v>827</v>
      </c>
    </row>
    <row r="252" spans="2:6" ht="37.75" x14ac:dyDescent="1.25">
      <c r="B252" s="535"/>
      <c r="C252" s="424" t="s">
        <v>859</v>
      </c>
      <c r="D252" s="396" t="s">
        <v>617</v>
      </c>
      <c r="E252" s="435" t="s">
        <v>828</v>
      </c>
      <c r="F252" s="397" t="s">
        <v>829</v>
      </c>
    </row>
    <row r="253" spans="2:6" ht="73.75" x14ac:dyDescent="1.25">
      <c r="B253" s="535"/>
      <c r="C253" s="419" t="s">
        <v>830</v>
      </c>
      <c r="D253" s="396" t="s">
        <v>618</v>
      </c>
      <c r="E253" s="435" t="s">
        <v>831</v>
      </c>
      <c r="F253" s="397" t="s">
        <v>832</v>
      </c>
    </row>
    <row r="254" spans="2:6" ht="37.75" x14ac:dyDescent="1.25">
      <c r="B254" s="535"/>
      <c r="C254" s="419" t="s">
        <v>833</v>
      </c>
      <c r="D254" s="396" t="s">
        <v>619</v>
      </c>
      <c r="E254" s="435" t="s">
        <v>834</v>
      </c>
      <c r="F254" s="397" t="s">
        <v>832</v>
      </c>
    </row>
    <row r="255" spans="2:6" ht="37.75" x14ac:dyDescent="1.25">
      <c r="B255" s="532" t="s">
        <v>616</v>
      </c>
      <c r="C255" s="424" t="s">
        <v>522</v>
      </c>
      <c r="D255" s="399" t="s">
        <v>620</v>
      </c>
      <c r="E255" s="435" t="s">
        <v>728</v>
      </c>
      <c r="F255" s="397" t="s">
        <v>835</v>
      </c>
    </row>
    <row r="256" spans="2:6" ht="37.75" x14ac:dyDescent="1.25">
      <c r="B256" s="532"/>
      <c r="C256" s="431" t="s">
        <v>1052</v>
      </c>
      <c r="D256" s="396" t="s">
        <v>620</v>
      </c>
      <c r="E256" s="435"/>
      <c r="F256" s="397"/>
    </row>
    <row r="257" spans="2:6" ht="37.75" x14ac:dyDescent="1.25">
      <c r="B257" s="532"/>
      <c r="C257" s="419" t="s">
        <v>601</v>
      </c>
      <c r="D257" s="396" t="s">
        <v>621</v>
      </c>
      <c r="E257" s="398" t="s">
        <v>836</v>
      </c>
      <c r="F257" s="397" t="s">
        <v>837</v>
      </c>
    </row>
    <row r="258" spans="2:6" ht="73.75" x14ac:dyDescent="1.25">
      <c r="B258" s="532"/>
      <c r="C258" s="419" t="s">
        <v>1027</v>
      </c>
      <c r="D258" s="396" t="s">
        <v>622</v>
      </c>
      <c r="E258" s="435" t="s">
        <v>838</v>
      </c>
      <c r="F258" s="397" t="s">
        <v>821</v>
      </c>
    </row>
    <row r="259" spans="2:6" ht="73.75" x14ac:dyDescent="1.25">
      <c r="B259" s="532"/>
      <c r="C259" s="419" t="s">
        <v>1028</v>
      </c>
      <c r="D259" s="396" t="s">
        <v>623</v>
      </c>
      <c r="E259" s="435" t="s">
        <v>839</v>
      </c>
      <c r="F259" s="397" t="s">
        <v>823</v>
      </c>
    </row>
    <row r="260" spans="2:6" ht="73.75" x14ac:dyDescent="1.25">
      <c r="B260" s="532"/>
      <c r="C260" s="419" t="s">
        <v>1029</v>
      </c>
      <c r="D260" s="396" t="s">
        <v>624</v>
      </c>
      <c r="E260" s="435" t="s">
        <v>840</v>
      </c>
      <c r="F260" s="397" t="s">
        <v>825</v>
      </c>
    </row>
    <row r="261" spans="2:6" ht="73.75" x14ac:dyDescent="1.25">
      <c r="B261" s="532"/>
      <c r="C261" s="419" t="s">
        <v>610</v>
      </c>
      <c r="D261" s="396" t="s">
        <v>625</v>
      </c>
      <c r="E261" s="435" t="s">
        <v>841</v>
      </c>
      <c r="F261" s="397" t="s">
        <v>827</v>
      </c>
    </row>
    <row r="262" spans="2:6" ht="73.75" x14ac:dyDescent="1.25">
      <c r="B262" s="532"/>
      <c r="C262" s="424" t="s">
        <v>611</v>
      </c>
      <c r="D262" s="396" t="s">
        <v>626</v>
      </c>
      <c r="E262" s="435" t="s">
        <v>842</v>
      </c>
      <c r="F262" s="397" t="s">
        <v>829</v>
      </c>
    </row>
    <row r="263" spans="2:6" ht="37.75" x14ac:dyDescent="0.85">
      <c r="B263" s="529" t="s">
        <v>133</v>
      </c>
      <c r="C263" s="529"/>
      <c r="D263" s="529"/>
      <c r="E263" s="529"/>
      <c r="F263" s="529"/>
    </row>
    <row r="264" spans="2:6" ht="110.6" x14ac:dyDescent="1.25">
      <c r="B264" s="530" t="s">
        <v>390</v>
      </c>
      <c r="C264" s="419" t="s">
        <v>396</v>
      </c>
      <c r="D264" s="401" t="s">
        <v>397</v>
      </c>
      <c r="E264" s="437" t="s">
        <v>403</v>
      </c>
      <c r="F264" s="400" t="s">
        <v>409</v>
      </c>
    </row>
    <row r="265" spans="2:6" ht="110.6" x14ac:dyDescent="1.25">
      <c r="B265" s="530"/>
      <c r="C265" s="419" t="s">
        <v>391</v>
      </c>
      <c r="D265" s="401" t="s">
        <v>398</v>
      </c>
      <c r="E265" s="437" t="s">
        <v>404</v>
      </c>
      <c r="F265" s="400" t="s">
        <v>409</v>
      </c>
    </row>
    <row r="266" spans="2:6" ht="110.6" x14ac:dyDescent="1.25">
      <c r="B266" s="530"/>
      <c r="C266" s="419" t="s">
        <v>392</v>
      </c>
      <c r="D266" s="401" t="s">
        <v>399</v>
      </c>
      <c r="E266" s="437" t="s">
        <v>405</v>
      </c>
      <c r="F266" s="400" t="s">
        <v>409</v>
      </c>
    </row>
    <row r="267" spans="2:6" ht="110.6" x14ac:dyDescent="1.25">
      <c r="B267" s="530"/>
      <c r="C267" s="419" t="s">
        <v>393</v>
      </c>
      <c r="D267" s="401" t="s">
        <v>400</v>
      </c>
      <c r="E267" s="437" t="s">
        <v>406</v>
      </c>
      <c r="F267" s="400" t="s">
        <v>409</v>
      </c>
    </row>
    <row r="268" spans="2:6" ht="110.6" x14ac:dyDescent="1.25">
      <c r="B268" s="530"/>
      <c r="C268" s="419" t="s">
        <v>394</v>
      </c>
      <c r="D268" s="401" t="s">
        <v>401</v>
      </c>
      <c r="E268" s="437" t="s">
        <v>407</v>
      </c>
      <c r="F268" s="400" t="s">
        <v>409</v>
      </c>
    </row>
    <row r="269" spans="2:6" ht="110.6" x14ac:dyDescent="1.25">
      <c r="B269" s="530"/>
      <c r="C269" s="419" t="s">
        <v>395</v>
      </c>
      <c r="D269" s="401" t="s">
        <v>402</v>
      </c>
      <c r="E269" s="437" t="s">
        <v>408</v>
      </c>
      <c r="F269" s="400" t="s">
        <v>409</v>
      </c>
    </row>
    <row r="270" spans="2:6" ht="110.6" x14ac:dyDescent="1.25">
      <c r="B270" s="528" t="s">
        <v>27</v>
      </c>
      <c r="C270" s="419" t="s">
        <v>345</v>
      </c>
      <c r="D270" s="399" t="s">
        <v>305</v>
      </c>
      <c r="E270" s="437" t="s">
        <v>73</v>
      </c>
      <c r="F270" s="400" t="s">
        <v>306</v>
      </c>
    </row>
    <row r="271" spans="2:6" ht="73.75" x14ac:dyDescent="1.25">
      <c r="B271" s="528"/>
      <c r="C271" s="419" t="s">
        <v>600</v>
      </c>
      <c r="D271" s="399" t="s">
        <v>450</v>
      </c>
      <c r="E271" s="437" t="s">
        <v>456</v>
      </c>
      <c r="F271" s="400" t="s">
        <v>458</v>
      </c>
    </row>
    <row r="272" spans="2:6" ht="73.75" x14ac:dyDescent="1.25">
      <c r="B272" s="528"/>
      <c r="C272" s="419" t="s">
        <v>454</v>
      </c>
      <c r="D272" s="399" t="s">
        <v>451</v>
      </c>
      <c r="E272" s="437" t="s">
        <v>457</v>
      </c>
      <c r="F272" s="400" t="s">
        <v>458</v>
      </c>
    </row>
    <row r="273" spans="2:6" ht="331.75" x14ac:dyDescent="1.25">
      <c r="B273" s="528"/>
      <c r="C273" s="419" t="s">
        <v>447</v>
      </c>
      <c r="D273" s="399" t="s">
        <v>452</v>
      </c>
      <c r="E273" s="437" t="s">
        <v>448</v>
      </c>
      <c r="F273" s="400" t="s">
        <v>315</v>
      </c>
    </row>
    <row r="274" spans="2:6" ht="147.44999999999999" x14ac:dyDescent="1.25">
      <c r="B274" s="528"/>
      <c r="C274" s="419" t="s">
        <v>449</v>
      </c>
      <c r="D274" s="399" t="s">
        <v>453</v>
      </c>
      <c r="E274" s="437" t="s">
        <v>455</v>
      </c>
      <c r="F274" s="400" t="s">
        <v>459</v>
      </c>
    </row>
    <row r="275" spans="2:6" ht="37.75" x14ac:dyDescent="1.25">
      <c r="B275" s="528"/>
      <c r="C275" s="432" t="s">
        <v>461</v>
      </c>
      <c r="D275" s="416" t="s">
        <v>307</v>
      </c>
      <c r="E275" s="435"/>
      <c r="F275" s="397"/>
    </row>
    <row r="276" spans="2:6" ht="73.75" x14ac:dyDescent="1.25">
      <c r="B276" s="528" t="s">
        <v>1017</v>
      </c>
      <c r="C276" s="419" t="s">
        <v>317</v>
      </c>
      <c r="D276" s="399" t="s">
        <v>308</v>
      </c>
      <c r="E276" s="437" t="s">
        <v>80</v>
      </c>
      <c r="F276" s="400" t="s">
        <v>316</v>
      </c>
    </row>
    <row r="277" spans="2:6" ht="73.75" x14ac:dyDescent="1.25">
      <c r="B277" s="528"/>
      <c r="C277" s="419" t="s">
        <v>553</v>
      </c>
      <c r="D277" s="399" t="s">
        <v>309</v>
      </c>
      <c r="E277" s="437" t="s">
        <v>79</v>
      </c>
      <c r="F277" s="400" t="s">
        <v>316</v>
      </c>
    </row>
    <row r="278" spans="2:6" ht="37.75" x14ac:dyDescent="1.25">
      <c r="B278" s="528"/>
      <c r="C278" s="419" t="s">
        <v>346</v>
      </c>
      <c r="D278" s="399" t="s">
        <v>310</v>
      </c>
      <c r="E278" s="437" t="s">
        <v>78</v>
      </c>
      <c r="F278" s="400" t="s">
        <v>316</v>
      </c>
    </row>
    <row r="279" spans="2:6" ht="110.6" x14ac:dyDescent="1.25">
      <c r="B279" s="528"/>
      <c r="C279" s="419" t="s">
        <v>318</v>
      </c>
      <c r="D279" s="399" t="s">
        <v>311</v>
      </c>
      <c r="E279" s="437" t="s">
        <v>74</v>
      </c>
      <c r="F279" s="400"/>
    </row>
    <row r="280" spans="2:6" ht="73.75" x14ac:dyDescent="1.25">
      <c r="B280" s="528"/>
      <c r="C280" s="419" t="s">
        <v>554</v>
      </c>
      <c r="D280" s="399" t="s">
        <v>312</v>
      </c>
      <c r="E280" s="437" t="s">
        <v>75</v>
      </c>
      <c r="F280" s="400" t="s">
        <v>316</v>
      </c>
    </row>
    <row r="281" spans="2:6" ht="73.75" x14ac:dyDescent="1.25">
      <c r="B281" s="528"/>
      <c r="C281" s="419" t="s">
        <v>319</v>
      </c>
      <c r="D281" s="399" t="s">
        <v>313</v>
      </c>
      <c r="E281" s="437" t="s">
        <v>76</v>
      </c>
      <c r="F281" s="400" t="s">
        <v>316</v>
      </c>
    </row>
    <row r="282" spans="2:6" ht="37.75" x14ac:dyDescent="1.25">
      <c r="B282" s="528"/>
      <c r="C282" s="419" t="s">
        <v>320</v>
      </c>
      <c r="D282" s="399" t="s">
        <v>314</v>
      </c>
      <c r="E282" s="437" t="s">
        <v>77</v>
      </c>
      <c r="F282" s="400" t="s">
        <v>316</v>
      </c>
    </row>
    <row r="283" spans="2:6" ht="37.75" x14ac:dyDescent="0.85">
      <c r="B283" s="529" t="s">
        <v>582</v>
      </c>
      <c r="C283" s="529"/>
      <c r="D283" s="529"/>
      <c r="E283" s="529"/>
      <c r="F283" s="529"/>
    </row>
    <row r="284" spans="2:6" ht="73.75" x14ac:dyDescent="1.25">
      <c r="B284" s="534" t="s">
        <v>525</v>
      </c>
      <c r="C284" s="419" t="s">
        <v>526</v>
      </c>
      <c r="D284" s="399" t="s">
        <v>529</v>
      </c>
      <c r="E284" s="435" t="s">
        <v>843</v>
      </c>
      <c r="F284" s="397" t="s">
        <v>844</v>
      </c>
    </row>
    <row r="285" spans="2:6" ht="73.75" x14ac:dyDescent="1.25">
      <c r="B285" s="534"/>
      <c r="C285" s="415" t="s">
        <v>552</v>
      </c>
      <c r="D285" s="399" t="s">
        <v>539</v>
      </c>
      <c r="E285" s="435" t="s">
        <v>845</v>
      </c>
      <c r="F285" s="397" t="s">
        <v>846</v>
      </c>
    </row>
    <row r="286" spans="2:6" ht="37.75" x14ac:dyDescent="1.25">
      <c r="B286" s="534"/>
      <c r="C286" s="412" t="s">
        <v>527</v>
      </c>
      <c r="D286" s="399" t="s">
        <v>540</v>
      </c>
      <c r="E286" s="435" t="s">
        <v>847</v>
      </c>
      <c r="F286" s="397"/>
    </row>
    <row r="287" spans="2:6" ht="37.75" x14ac:dyDescent="1.25">
      <c r="B287" s="534"/>
      <c r="C287" s="415" t="s">
        <v>549</v>
      </c>
      <c r="D287" s="399" t="s">
        <v>541</v>
      </c>
      <c r="E287" s="404" t="s">
        <v>848</v>
      </c>
      <c r="F287" s="397" t="s">
        <v>846</v>
      </c>
    </row>
    <row r="288" spans="2:6" ht="37.75" x14ac:dyDescent="1.25">
      <c r="B288" s="534"/>
      <c r="C288" s="412" t="s">
        <v>528</v>
      </c>
      <c r="D288" s="399" t="s">
        <v>542</v>
      </c>
      <c r="E288" s="435" t="s">
        <v>849</v>
      </c>
      <c r="F288" s="397"/>
    </row>
    <row r="289" spans="2:6" ht="37.75" x14ac:dyDescent="1.25">
      <c r="B289" s="534"/>
      <c r="C289" s="415" t="s">
        <v>551</v>
      </c>
      <c r="D289" s="399" t="s">
        <v>543</v>
      </c>
      <c r="E289" s="435" t="s">
        <v>850</v>
      </c>
      <c r="F289" s="397" t="s">
        <v>846</v>
      </c>
    </row>
    <row r="290" spans="2:6" ht="37.75" x14ac:dyDescent="1.25">
      <c r="B290" s="534"/>
      <c r="C290" s="412" t="s">
        <v>544</v>
      </c>
      <c r="D290" s="399" t="s">
        <v>545</v>
      </c>
      <c r="E290" s="435" t="s">
        <v>851</v>
      </c>
      <c r="F290" s="397"/>
    </row>
    <row r="291" spans="2:6" ht="73.75" x14ac:dyDescent="1.25">
      <c r="B291" s="534"/>
      <c r="C291" s="415" t="s">
        <v>548</v>
      </c>
      <c r="D291" s="399" t="s">
        <v>546</v>
      </c>
      <c r="E291" s="435" t="s">
        <v>852</v>
      </c>
      <c r="F291" s="397" t="s">
        <v>853</v>
      </c>
    </row>
    <row r="292" spans="2:6" ht="73.75" x14ac:dyDescent="1.25">
      <c r="B292" s="534"/>
      <c r="C292" s="415" t="s">
        <v>550</v>
      </c>
      <c r="D292" s="399" t="s">
        <v>547</v>
      </c>
      <c r="E292" s="435" t="s">
        <v>854</v>
      </c>
      <c r="F292" s="397" t="s">
        <v>853</v>
      </c>
    </row>
    <row r="293" spans="2:6" ht="37.75" x14ac:dyDescent="1.25">
      <c r="B293" s="534"/>
      <c r="C293" s="412" t="s">
        <v>556</v>
      </c>
      <c r="D293" s="399" t="s">
        <v>555</v>
      </c>
      <c r="E293" s="435" t="s">
        <v>855</v>
      </c>
      <c r="F293" s="397"/>
    </row>
  </sheetData>
  <autoFilter ref="B2:F293" xr:uid="{B4420F47-1321-421B-B7C8-E50E9A19F5B4}"/>
  <mergeCells count="75">
    <mergeCell ref="B154:B155"/>
    <mergeCell ref="B1:E1"/>
    <mergeCell ref="B127:B135"/>
    <mergeCell ref="B136:B144"/>
    <mergeCell ref="B145:B153"/>
    <mergeCell ref="B118:B126"/>
    <mergeCell ref="B117:F117"/>
    <mergeCell ref="B85:F85"/>
    <mergeCell ref="B86:B87"/>
    <mergeCell ref="B88:B89"/>
    <mergeCell ref="B90:B91"/>
    <mergeCell ref="B92:B93"/>
    <mergeCell ref="B94:B95"/>
    <mergeCell ref="B96:B97"/>
    <mergeCell ref="B98:F98"/>
    <mergeCell ref="B99:B104"/>
    <mergeCell ref="B283:F283"/>
    <mergeCell ref="B284:B293"/>
    <mergeCell ref="B241:B254"/>
    <mergeCell ref="B255:B262"/>
    <mergeCell ref="B263:F263"/>
    <mergeCell ref="B264:B269"/>
    <mergeCell ref="B270:B275"/>
    <mergeCell ref="B276:B282"/>
    <mergeCell ref="B233:B240"/>
    <mergeCell ref="B198:B200"/>
    <mergeCell ref="B201:F201"/>
    <mergeCell ref="B202:B204"/>
    <mergeCell ref="B205:B206"/>
    <mergeCell ref="B207:B208"/>
    <mergeCell ref="B209:B211"/>
    <mergeCell ref="B213:B215"/>
    <mergeCell ref="B216:F216"/>
    <mergeCell ref="B218:B223"/>
    <mergeCell ref="B225:B226"/>
    <mergeCell ref="B227:B232"/>
    <mergeCell ref="B195:B197"/>
    <mergeCell ref="B156:B157"/>
    <mergeCell ref="B158:B164"/>
    <mergeCell ref="B165:B168"/>
    <mergeCell ref="B169:F169"/>
    <mergeCell ref="B170:B175"/>
    <mergeCell ref="B176:B179"/>
    <mergeCell ref="B180:B183"/>
    <mergeCell ref="B184:B189"/>
    <mergeCell ref="B190:B191"/>
    <mergeCell ref="B192:B194"/>
    <mergeCell ref="B105:B110"/>
    <mergeCell ref="B111:B116"/>
    <mergeCell ref="B83:B84"/>
    <mergeCell ref="B38:B39"/>
    <mergeCell ref="B40:B41"/>
    <mergeCell ref="B44:F44"/>
    <mergeCell ref="B45:B49"/>
    <mergeCell ref="B50:F50"/>
    <mergeCell ref="B51:B54"/>
    <mergeCell ref="B56:B61"/>
    <mergeCell ref="B62:B66"/>
    <mergeCell ref="B67:B72"/>
    <mergeCell ref="B73:B75"/>
    <mergeCell ref="B76:B82"/>
    <mergeCell ref="G87:N87"/>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0">
    <cfRule type="cellIs" dxfId="917" priority="1" operator="equal">
      <formula>0</formula>
    </cfRule>
  </conditionalFormatting>
  <conditionalFormatting sqref="F118">
    <cfRule type="cellIs" dxfId="916" priority="8" operator="equal">
      <formula>0</formula>
    </cfRule>
  </conditionalFormatting>
  <conditionalFormatting sqref="D118:D153">
    <cfRule type="duplicateValues" dxfId="915" priority="3"/>
  </conditionalFormatting>
  <conditionalFormatting sqref="D118:D153">
    <cfRule type="duplicateValues" dxfId="914" priority="4"/>
  </conditionalFormatting>
  <conditionalFormatting sqref="D118:D153">
    <cfRule type="duplicateValues" dxfId="913" priority="2"/>
  </conditionalFormatting>
  <dataValidations count="2">
    <dataValidation type="whole" allowBlank="1" showInputMessage="1" showErrorMessage="1" errorTitle="Non-Numeric or abnormal value" error="Enter Numbers only between 0 and 99999" sqref="E8:F13 E250:F250 E118:F119" xr:uid="{A98F9822-88B5-4A5E-BF36-2A1A3402C309}">
      <formula1>0</formula1>
      <formula2>99999</formula2>
    </dataValidation>
    <dataValidation allowBlank="1" showInputMessage="1" showErrorMessage="1" errorTitle="Non-Numeric or abnormal value" error="Enter Numbers only between 0 and 99999" sqref="E120:F153"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77"/>
  <sheetViews>
    <sheetView showGridLines="0" showRuler="0" zoomScale="55" zoomScaleNormal="55" zoomScaleSheetLayoutView="68" zoomScalePageLayoutView="21" workbookViewId="0">
      <pane xSplit="2" ySplit="6" topLeftCell="C242" activePane="bottomRight" state="frozen"/>
      <selection pane="topRight" activeCell="C1" sqref="C1"/>
      <selection pane="bottomLeft" activeCell="A7" sqref="A7"/>
      <selection pane="bottomRight" activeCell="O278" sqref="O278"/>
    </sheetView>
  </sheetViews>
  <sheetFormatPr defaultColWidth="9.15234375" defaultRowHeight="30.9" x14ac:dyDescent="0.95"/>
  <cols>
    <col min="1" max="1" width="37" style="502" customWidth="1" collapsed="1"/>
    <col min="2" max="2" width="83.53515625" style="229" customWidth="1" collapsed="1"/>
    <col min="3" max="3" width="11" style="1" bestFit="1" customWidth="1" collapsed="1"/>
    <col min="4" max="28" width="7.53515625" style="2" customWidth="1" collapsed="1"/>
    <col min="29" max="29" width="9.69140625" style="9" hidden="1" customWidth="1" collapsed="1"/>
    <col min="30" max="30" width="31.84375" style="199" customWidth="1" collapsed="1"/>
    <col min="31" max="31" width="31.53515625" style="2" hidden="1" customWidth="1" collapsed="1"/>
    <col min="32" max="32" width="36.69140625" style="2" bestFit="1" customWidth="1" collapsed="1"/>
    <col min="33" max="34" width="9.15234375" style="335" collapsed="1"/>
    <col min="35" max="16384" width="9.15234375" style="2" collapsed="1"/>
  </cols>
  <sheetData>
    <row r="1" spans="1:34" s="5" customFormat="1" ht="51" customHeight="1" thickBot="1" x14ac:dyDescent="1">
      <c r="A1" s="494" t="s">
        <v>383</v>
      </c>
      <c r="B1" s="640" t="s">
        <v>464</v>
      </c>
      <c r="C1" s="641"/>
      <c r="D1" s="668" t="s">
        <v>143</v>
      </c>
      <c r="E1" s="669"/>
      <c r="F1" s="670" t="s">
        <v>465</v>
      </c>
      <c r="G1" s="671"/>
      <c r="H1" s="668" t="s">
        <v>382</v>
      </c>
      <c r="I1" s="669"/>
      <c r="J1" s="669"/>
      <c r="K1" s="670" t="s">
        <v>466</v>
      </c>
      <c r="L1" s="670"/>
      <c r="M1" s="670"/>
      <c r="N1" s="670"/>
      <c r="O1" s="670"/>
      <c r="P1" s="670"/>
      <c r="Q1" s="670"/>
      <c r="R1" s="669" t="s">
        <v>389</v>
      </c>
      <c r="S1" s="669"/>
      <c r="T1" s="670" t="s">
        <v>467</v>
      </c>
      <c r="U1" s="670"/>
      <c r="V1" s="671"/>
      <c r="W1" s="668" t="s">
        <v>384</v>
      </c>
      <c r="X1" s="669"/>
      <c r="Y1" s="108" t="s">
        <v>468</v>
      </c>
      <c r="Z1" s="109" t="s">
        <v>385</v>
      </c>
      <c r="AA1" s="670">
        <v>2020</v>
      </c>
      <c r="AB1" s="671"/>
      <c r="AC1" s="651" t="s">
        <v>386</v>
      </c>
      <c r="AD1" s="652"/>
      <c r="AE1" s="652"/>
      <c r="AF1" s="652"/>
      <c r="AG1" s="479">
        <v>0</v>
      </c>
      <c r="AH1" s="332"/>
    </row>
    <row r="2" spans="1:34" s="3" customFormat="1" ht="29.15" hidden="1" x14ac:dyDescent="1.05">
      <c r="A2" s="653" t="s">
        <v>123</v>
      </c>
      <c r="B2" s="653"/>
      <c r="C2" s="653"/>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197"/>
      <c r="AG2" s="479">
        <v>1</v>
      </c>
      <c r="AH2" s="333"/>
    </row>
    <row r="3" spans="1:34" s="3" customFormat="1" ht="31.75" hidden="1" x14ac:dyDescent="1.05">
      <c r="A3" s="495" t="s">
        <v>726</v>
      </c>
      <c r="B3" s="227"/>
      <c r="C3" s="6"/>
      <c r="D3" s="10" t="s">
        <v>864</v>
      </c>
      <c r="E3" s="11">
        <v>1</v>
      </c>
      <c r="F3" s="12" t="s">
        <v>865</v>
      </c>
      <c r="G3" s="13">
        <v>1</v>
      </c>
      <c r="H3" s="12" t="s">
        <v>866</v>
      </c>
      <c r="I3" s="13">
        <v>1</v>
      </c>
      <c r="AC3" s="114"/>
      <c r="AD3" s="198"/>
      <c r="AG3" s="479">
        <v>2</v>
      </c>
      <c r="AH3" s="333"/>
    </row>
    <row r="4" spans="1:34" s="14" customFormat="1" ht="39.75" customHeight="1" thickBot="1" x14ac:dyDescent="0.9">
      <c r="A4" s="676" t="s">
        <v>1038</v>
      </c>
      <c r="B4" s="677"/>
      <c r="C4" s="677"/>
      <c r="D4" s="674" t="s">
        <v>874</v>
      </c>
      <c r="E4" s="674"/>
      <c r="F4" s="675"/>
      <c r="G4" s="675"/>
      <c r="H4" s="675"/>
      <c r="I4" s="675"/>
      <c r="J4" s="675"/>
      <c r="K4" s="675"/>
      <c r="L4" s="675"/>
      <c r="M4" s="675"/>
      <c r="N4" s="675"/>
      <c r="O4" s="675"/>
      <c r="P4" s="675"/>
      <c r="Q4" s="675"/>
      <c r="R4" s="675"/>
      <c r="S4" s="675"/>
      <c r="T4" s="675"/>
      <c r="U4" s="675"/>
      <c r="V4" s="675"/>
      <c r="W4" s="23"/>
      <c r="X4" s="23"/>
      <c r="Y4" s="23"/>
      <c r="Z4" s="23"/>
      <c r="AA4" s="481"/>
      <c r="AB4" s="482"/>
      <c r="AC4" s="483"/>
      <c r="AD4" s="484"/>
      <c r="AE4" s="482"/>
      <c r="AF4" s="482"/>
      <c r="AG4" s="479">
        <v>3</v>
      </c>
      <c r="AH4" s="334"/>
    </row>
    <row r="5" spans="1:34" s="7" customFormat="1" ht="26.25" customHeight="1" x14ac:dyDescent="0.85">
      <c r="A5" s="578" t="s">
        <v>37</v>
      </c>
      <c r="B5" s="601" t="s">
        <v>347</v>
      </c>
      <c r="C5" s="655" t="s">
        <v>328</v>
      </c>
      <c r="D5" s="592" t="s">
        <v>0</v>
      </c>
      <c r="E5" s="592"/>
      <c r="F5" s="592" t="s">
        <v>1</v>
      </c>
      <c r="G5" s="592"/>
      <c r="H5" s="592" t="s">
        <v>2</v>
      </c>
      <c r="I5" s="592"/>
      <c r="J5" s="592" t="s">
        <v>3</v>
      </c>
      <c r="K5" s="592"/>
      <c r="L5" s="592" t="s">
        <v>4</v>
      </c>
      <c r="M5" s="592"/>
      <c r="N5" s="592" t="s">
        <v>5</v>
      </c>
      <c r="O5" s="592"/>
      <c r="P5" s="592" t="s">
        <v>6</v>
      </c>
      <c r="Q5" s="592"/>
      <c r="R5" s="592" t="s">
        <v>7</v>
      </c>
      <c r="S5" s="592"/>
      <c r="T5" s="592" t="s">
        <v>8</v>
      </c>
      <c r="U5" s="592"/>
      <c r="V5" s="592" t="s">
        <v>23</v>
      </c>
      <c r="W5" s="592"/>
      <c r="X5" s="592" t="s">
        <v>24</v>
      </c>
      <c r="Y5" s="592"/>
      <c r="Z5" s="592" t="s">
        <v>9</v>
      </c>
      <c r="AA5" s="635"/>
      <c r="AB5" s="658" t="s">
        <v>19</v>
      </c>
      <c r="AC5" s="624" t="s">
        <v>381</v>
      </c>
      <c r="AD5" s="507" t="s">
        <v>381</v>
      </c>
      <c r="AE5" s="613" t="s">
        <v>388</v>
      </c>
      <c r="AF5" s="508" t="s">
        <v>1042</v>
      </c>
      <c r="AG5" s="480">
        <v>4</v>
      </c>
      <c r="AH5" s="335"/>
    </row>
    <row r="6" spans="1:34" s="7" customFormat="1" ht="27" customHeight="1" thickBot="1" x14ac:dyDescent="0.9">
      <c r="A6" s="579"/>
      <c r="B6" s="602"/>
      <c r="C6" s="656"/>
      <c r="D6" s="81" t="s">
        <v>10</v>
      </c>
      <c r="E6" s="81" t="s">
        <v>11</v>
      </c>
      <c r="F6" s="81" t="s">
        <v>10</v>
      </c>
      <c r="G6" s="81" t="s">
        <v>11</v>
      </c>
      <c r="H6" s="81" t="s">
        <v>10</v>
      </c>
      <c r="I6" s="81" t="s">
        <v>11</v>
      </c>
      <c r="J6" s="81" t="s">
        <v>10</v>
      </c>
      <c r="K6" s="81" t="s">
        <v>11</v>
      </c>
      <c r="L6" s="81" t="s">
        <v>10</v>
      </c>
      <c r="M6" s="81" t="s">
        <v>11</v>
      </c>
      <c r="N6" s="81" t="s">
        <v>10</v>
      </c>
      <c r="O6" s="81" t="s">
        <v>11</v>
      </c>
      <c r="P6" s="81" t="s">
        <v>10</v>
      </c>
      <c r="Q6" s="81" t="s">
        <v>11</v>
      </c>
      <c r="R6" s="81" t="s">
        <v>10</v>
      </c>
      <c r="S6" s="81" t="s">
        <v>11</v>
      </c>
      <c r="T6" s="81" t="s">
        <v>10</v>
      </c>
      <c r="U6" s="81" t="s">
        <v>11</v>
      </c>
      <c r="V6" s="81" t="s">
        <v>10</v>
      </c>
      <c r="W6" s="81" t="s">
        <v>11</v>
      </c>
      <c r="X6" s="81" t="s">
        <v>10</v>
      </c>
      <c r="Y6" s="81" t="s">
        <v>11</v>
      </c>
      <c r="Z6" s="81" t="s">
        <v>10</v>
      </c>
      <c r="AA6" s="81" t="s">
        <v>11</v>
      </c>
      <c r="AB6" s="659"/>
      <c r="AC6" s="657"/>
      <c r="AD6" s="509" t="str">
        <f>IF(LEN(A326)-LEN(SUBSTITUTE(A326,"*",""))&gt;0," Total Errors are "&amp;(LEN(A326)-LEN(SUBSTITUTE(A326,"*",""))),"")</f>
        <v/>
      </c>
      <c r="AE6" s="614"/>
      <c r="AF6" s="510" t="str">
        <f>IF(LEN(A348)-LEN(SUBSTITUTE(A348,"*",""))&gt;0," Total Warnings are "&amp;(LEN(A348)-LEN(SUBSTITUTE(A348,"*",""))),"")</f>
        <v/>
      </c>
      <c r="AG6" s="480">
        <v>5</v>
      </c>
      <c r="AH6" s="335"/>
    </row>
    <row r="7" spans="1:34" ht="35.15" thickBot="1" x14ac:dyDescent="0.9">
      <c r="A7" s="672" t="s">
        <v>471</v>
      </c>
      <c r="B7" s="673"/>
      <c r="C7" s="673"/>
      <c r="D7" s="673"/>
      <c r="E7" s="673"/>
      <c r="F7" s="673"/>
      <c r="G7" s="673"/>
      <c r="H7" s="673"/>
      <c r="I7" s="673"/>
      <c r="J7" s="673"/>
      <c r="K7" s="673"/>
      <c r="L7" s="673"/>
      <c r="M7" s="673"/>
      <c r="N7" s="673"/>
      <c r="O7" s="673"/>
      <c r="P7" s="673"/>
      <c r="Q7" s="673"/>
      <c r="R7" s="673"/>
      <c r="S7" s="673"/>
      <c r="T7" s="673"/>
      <c r="U7" s="673"/>
      <c r="V7" s="673"/>
      <c r="W7" s="673"/>
      <c r="X7" s="673"/>
      <c r="Y7" s="673"/>
      <c r="Z7" s="673"/>
      <c r="AA7" s="673"/>
      <c r="AB7" s="673"/>
      <c r="AC7" s="673"/>
      <c r="AD7" s="569"/>
      <c r="AE7" s="673"/>
      <c r="AF7" s="570"/>
      <c r="AG7" s="480">
        <v>6</v>
      </c>
    </row>
    <row r="8" spans="1:34" ht="31.2" customHeight="1" x14ac:dyDescent="0.85">
      <c r="A8" s="542" t="s">
        <v>880</v>
      </c>
      <c r="B8" s="313" t="s">
        <v>654</v>
      </c>
      <c r="C8" s="217" t="s">
        <v>473</v>
      </c>
      <c r="D8" s="382"/>
      <c r="E8" s="345"/>
      <c r="F8" s="345"/>
      <c r="G8" s="346"/>
      <c r="H8" s="346"/>
      <c r="I8" s="346"/>
      <c r="J8" s="346"/>
      <c r="K8" s="346"/>
      <c r="L8" s="346"/>
      <c r="M8" s="346"/>
      <c r="N8" s="346"/>
      <c r="O8" s="346"/>
      <c r="P8" s="346"/>
      <c r="Q8" s="346"/>
      <c r="R8" s="346"/>
      <c r="S8" s="346"/>
      <c r="T8" s="346"/>
      <c r="U8" s="346"/>
      <c r="V8" s="346"/>
      <c r="W8" s="346"/>
      <c r="X8" s="346"/>
      <c r="Y8" s="346"/>
      <c r="Z8" s="346"/>
      <c r="AA8" s="346"/>
      <c r="AB8" s="242">
        <f t="shared" ref="AB8:AB18" si="0">SUM(D8:AA8)</f>
        <v>0</v>
      </c>
      <c r="AC8" s="82" t="str">
        <f>CONCATENATE(IF(D9&gt;D8," * F00-02 "&amp;$D$20&amp;" "&amp;$D$21&amp;" is more than F00-01"&amp;CHAR(10),""),IF(E9&gt;E8," * F00-02 "&amp;$D$20&amp;" "&amp;$E$21&amp;" is more than F00-01"&amp;CHAR(10),""),IF(F9&gt;F8," * F00-02 "&amp;$F$20&amp;" "&amp;$F$21&amp;" is more than F00-01"&amp;CHAR(10),""),IF(G9&gt;G8," * F00-02 "&amp;$F$20&amp;" "&amp;$G$21&amp;" is more than F00-01"&amp;CHAR(10),""),IF(H9&gt;H8," * F00-02 "&amp;$H$20&amp;" "&amp;$H$21&amp;" is more than F00-01"&amp;CHAR(10),""),IF(I9&gt;I8," * F00-02 "&amp;$H$20&amp;" "&amp;$I$21&amp;" is more than F00-01"&amp;CHAR(10),""),IF(J9&gt;J8," * F00-02 "&amp;$J$20&amp;" "&amp;$J$21&amp;" is more than F00-01"&amp;CHAR(10),""),IF(K9&gt;K8," * F00-02 "&amp;$J$20&amp;" "&amp;$K$21&amp;" is more than F00-01"&amp;CHAR(10),""),IF(L9&gt;L8," * F00-02 "&amp;$L$20&amp;" "&amp;$L$21&amp;" is more than F00-01"&amp;CHAR(10),""),IF(M9&gt;M8," * F00-02 "&amp;$L$20&amp;" "&amp;$M$21&amp;" is more than F00-01"&amp;CHAR(10),""),IF(N9&gt;N8," * F00-02 "&amp;$N$20&amp;" "&amp;$N$21&amp;" is more than F00-01"&amp;CHAR(10),""),IF(O9&gt;O8," * F00-02 "&amp;$N$20&amp;" "&amp;$O$21&amp;" is more than F00-01"&amp;CHAR(10),""),IF(P9&gt;P8," * F00-02 "&amp;$P$20&amp;" "&amp;$P$21&amp;" is more than F00-01"&amp;CHAR(10),""),IF(Q9&gt;Q8," * F00-02 "&amp;$P$20&amp;" "&amp;$Q$21&amp;" is more than F00-01"&amp;CHAR(10),""),IF(R9&gt;R8," * F00-02 "&amp;$R$20&amp;" "&amp;$R$21&amp;" is more than F00-01"&amp;CHAR(10),""),IF(S9&gt;S8," * F00-02 "&amp;$R$20&amp;" "&amp;$S$21&amp;" is more than F00-01"&amp;CHAR(10),""),IF(T9&gt;T8," * F00-02 "&amp;$T$20&amp;" "&amp;$T$21&amp;" is more than F00-01"&amp;CHAR(10),""),IF(U9&gt;U8," * F00-02 "&amp;$T$20&amp;" "&amp;$U$21&amp;" is more than F00-01"&amp;CHAR(10),""),IF(V9&gt;V8," * F00-02 "&amp;$V$20&amp;" "&amp;$V$21&amp;" is more than F00-01"&amp;CHAR(10),""),IF(W9&gt;W8," * F00-02 "&amp;$V$20&amp;" "&amp;$W$21&amp;" is more than F00-01"&amp;CHAR(10),""),IF(X9&gt;X8," * F00-02 "&amp;$X$20&amp;" "&amp;$X$21&amp;" is more than F00-01"&amp;CHAR(10),""),IF(Y9&gt;Y8," * F00-02 "&amp;$X$20&amp;" "&amp;$Y$21&amp;" is more than F00-01"&amp;CHAR(10),""),IF(Z9&gt;Z8," * F00-02 "&amp;$Z$20&amp;" "&amp;$Z$21&amp;" is more than F00-01"&amp;CHAR(10),""),IF(AA9&gt;AA8," * F00-02 "&amp;$Z$20&amp;" "&amp;$AA$21&amp;" is more than F00-01"&amp;CHAR(10),""))</f>
        <v/>
      </c>
      <c r="AD8" s="543" t="str">
        <f>CONCATENATE(AC8,AC9,AC10,AC11,AC12,AC13,AC15,AC16,AC17,AC18,AC14)</f>
        <v/>
      </c>
      <c r="AE8" s="83"/>
      <c r="AF8" s="546" t="str">
        <f>CONCATENATE(AE8,AE9,AE10,AE11,AE12,AE13,AE14,AE15,AE16,AE17,AE18)</f>
        <v/>
      </c>
      <c r="AG8" s="480">
        <v>7</v>
      </c>
    </row>
    <row r="9" spans="1:34" x14ac:dyDescent="0.85">
      <c r="A9" s="540"/>
      <c r="B9" s="340" t="s">
        <v>655</v>
      </c>
      <c r="C9" s="218" t="s">
        <v>474</v>
      </c>
      <c r="D9" s="383"/>
      <c r="E9" s="343"/>
      <c r="F9" s="343"/>
      <c r="G9" s="342"/>
      <c r="H9" s="342"/>
      <c r="I9" s="342"/>
      <c r="J9" s="342"/>
      <c r="K9" s="342"/>
      <c r="L9" s="342"/>
      <c r="M9" s="342"/>
      <c r="N9" s="342"/>
      <c r="O9" s="342"/>
      <c r="P9" s="342"/>
      <c r="Q9" s="342"/>
      <c r="R9" s="342"/>
      <c r="S9" s="342"/>
      <c r="T9" s="342"/>
      <c r="U9" s="342"/>
      <c r="V9" s="342"/>
      <c r="W9" s="342"/>
      <c r="X9" s="342"/>
      <c r="Y9" s="342"/>
      <c r="Z9" s="342"/>
      <c r="AA9" s="342"/>
      <c r="AB9" s="257">
        <f t="shared" si="0"/>
        <v>0</v>
      </c>
      <c r="AC9" s="82" t="str">
        <f>CONCATENATE(IF(D10&gt;D9," * F00-03 "&amp;$D$20&amp;" "&amp;$D$21&amp;" is more than F00-02"&amp;CHAR(10),""),IF(E10&gt;E9," * F00-03 "&amp;$D$20&amp;" "&amp;$E$21&amp;" is more than F00-02"&amp;CHAR(10),""),IF(F10&gt;F9," * F00-03 "&amp;$F$20&amp;" "&amp;$F$21&amp;" is more than F00-02"&amp;CHAR(10),""),IF(G10&gt;G9," * F00-03 "&amp;$F$20&amp;" "&amp;$G$21&amp;" is more than F00-02"&amp;CHAR(10),""),IF(H10&gt;H9," * F00-03 "&amp;$H$20&amp;" "&amp;$H$21&amp;" is more than F00-02"&amp;CHAR(10),""),IF(I10&gt;I9," * F00-03 "&amp;$H$20&amp;" "&amp;$I$21&amp;" is more than F00-02"&amp;CHAR(10),""),IF(J10&gt;J9," * F00-03 "&amp;$J$20&amp;" "&amp;$J$21&amp;" is more than F00-02"&amp;CHAR(10),""),IF(K10&gt;K9," * F00-03 "&amp;$J$20&amp;" "&amp;$K$21&amp;" is more than F00-02"&amp;CHAR(10),""),IF(L10&gt;L9," * F00-03 "&amp;$L$20&amp;" "&amp;$L$21&amp;" is more than F00-02"&amp;CHAR(10),""),IF(M10&gt;M9," * F00-03 "&amp;$L$20&amp;" "&amp;$M$21&amp;" is more than F00-02"&amp;CHAR(10),""),IF(N10&gt;N9," * F00-03 "&amp;$N$20&amp;" "&amp;$N$21&amp;" is more than F00-02"&amp;CHAR(10),""),IF(O10&gt;O9," * F00-03 "&amp;$N$20&amp;" "&amp;$O$21&amp;" is more than F00-02"&amp;CHAR(10),""),IF(P10&gt;P9," * F00-03 "&amp;$P$20&amp;" "&amp;$P$21&amp;" is more than F00-02"&amp;CHAR(10),""),IF(Q10&gt;Q9," * F00-03 "&amp;$P$20&amp;" "&amp;$Q$21&amp;" is more than F00-02"&amp;CHAR(10),""),IF(R10&gt;R9," * F00-03 "&amp;$R$20&amp;" "&amp;$R$21&amp;" is more than F00-02"&amp;CHAR(10),""),IF(S10&gt;S9," * F00-03 "&amp;$R$20&amp;" "&amp;$S$21&amp;" is more than F00-02"&amp;CHAR(10),""),IF(T10&gt;T9," * F00-03 "&amp;$T$20&amp;" "&amp;$T$21&amp;" is more than F00-02"&amp;CHAR(10),""),IF(U10&gt;U9," * F00-03 "&amp;$T$20&amp;" "&amp;$U$21&amp;" is more than F00-02"&amp;CHAR(10),""),IF(V10&gt;V9," * F00-03 "&amp;$V$20&amp;" "&amp;$V$21&amp;" is more than F00-02"&amp;CHAR(10),""),IF(W10&gt;W9," * F00-03 "&amp;$V$20&amp;" "&amp;$W$21&amp;" is more than F00-02"&amp;CHAR(10),""),IF(X10&gt;X9," * F00-03 "&amp;$X$20&amp;" "&amp;$X$21&amp;" is more than F00-02"&amp;CHAR(10),""),IF(Y10&gt;Y9," * F00-03 "&amp;$X$20&amp;" "&amp;$Y$21&amp;" is more than F00-02"&amp;CHAR(10),""),IF(Z10&gt;Z9," * F00-03 "&amp;$Z$20&amp;" "&amp;$Z$21&amp;" is more than F00-02"&amp;CHAR(10),""),IF(AA10&gt;AA9," * F00-03 "&amp;$Z$20&amp;" "&amp;$AA$21&amp;" is more than F00-02"&amp;CHAR(10),""))</f>
        <v/>
      </c>
      <c r="AD9" s="544"/>
      <c r="AE9" s="83"/>
      <c r="AF9" s="547"/>
      <c r="AG9" s="480">
        <v>8</v>
      </c>
    </row>
    <row r="10" spans="1:34" ht="31.3" thickBot="1" x14ac:dyDescent="0.9">
      <c r="A10" s="541"/>
      <c r="B10" s="315" t="s">
        <v>472</v>
      </c>
      <c r="C10" s="219" t="s">
        <v>475</v>
      </c>
      <c r="D10" s="384"/>
      <c r="E10" s="347"/>
      <c r="F10" s="347"/>
      <c r="G10" s="347"/>
      <c r="H10" s="347"/>
      <c r="I10" s="347"/>
      <c r="J10" s="347"/>
      <c r="K10" s="347"/>
      <c r="L10" s="347"/>
      <c r="M10" s="347"/>
      <c r="N10" s="347"/>
      <c r="O10" s="347"/>
      <c r="P10" s="347"/>
      <c r="Q10" s="347"/>
      <c r="R10" s="347"/>
      <c r="S10" s="347"/>
      <c r="T10" s="347"/>
      <c r="U10" s="347"/>
      <c r="V10" s="347"/>
      <c r="W10" s="347"/>
      <c r="X10" s="347"/>
      <c r="Y10" s="347"/>
      <c r="Z10" s="347"/>
      <c r="AA10" s="347"/>
      <c r="AB10" s="385">
        <f t="shared" si="0"/>
        <v>0</v>
      </c>
      <c r="AC10" s="215"/>
      <c r="AD10" s="544"/>
      <c r="AE10" s="83"/>
      <c r="AF10" s="547"/>
      <c r="AG10" s="480">
        <v>9</v>
      </c>
    </row>
    <row r="11" spans="1:34" x14ac:dyDescent="0.85">
      <c r="A11" s="539" t="s">
        <v>881</v>
      </c>
      <c r="B11" s="313" t="s">
        <v>890</v>
      </c>
      <c r="C11" s="220" t="s">
        <v>883</v>
      </c>
      <c r="D11" s="382"/>
      <c r="E11" s="345"/>
      <c r="F11" s="345"/>
      <c r="G11" s="346"/>
      <c r="H11" s="346"/>
      <c r="I11" s="346"/>
      <c r="J11" s="346"/>
      <c r="K11" s="346"/>
      <c r="L11" s="346"/>
      <c r="M11" s="346"/>
      <c r="N11" s="346"/>
      <c r="O11" s="346"/>
      <c r="P11" s="346"/>
      <c r="Q11" s="346"/>
      <c r="R11" s="346"/>
      <c r="S11" s="346"/>
      <c r="T11" s="346"/>
      <c r="U11" s="346"/>
      <c r="V11" s="346"/>
      <c r="W11" s="346"/>
      <c r="X11" s="346"/>
      <c r="Y11" s="346"/>
      <c r="Z11" s="346"/>
      <c r="AA11" s="346"/>
      <c r="AB11" s="242">
        <f t="shared" si="0"/>
        <v>0</v>
      </c>
      <c r="AC11" s="82"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544"/>
      <c r="AE11" s="83"/>
      <c r="AF11" s="547"/>
      <c r="AG11" s="480">
        <v>10</v>
      </c>
    </row>
    <row r="12" spans="1:34" x14ac:dyDescent="0.85">
      <c r="A12" s="540"/>
      <c r="B12" s="340" t="s">
        <v>655</v>
      </c>
      <c r="C12" s="218" t="s">
        <v>884</v>
      </c>
      <c r="D12" s="383"/>
      <c r="E12" s="343"/>
      <c r="F12" s="343"/>
      <c r="G12" s="342"/>
      <c r="H12" s="342"/>
      <c r="I12" s="342"/>
      <c r="J12" s="342"/>
      <c r="K12" s="342"/>
      <c r="L12" s="342"/>
      <c r="M12" s="342"/>
      <c r="N12" s="342"/>
      <c r="O12" s="342"/>
      <c r="P12" s="342"/>
      <c r="Q12" s="342"/>
      <c r="R12" s="342"/>
      <c r="S12" s="342"/>
      <c r="T12" s="342"/>
      <c r="U12" s="342"/>
      <c r="V12" s="342"/>
      <c r="W12" s="342"/>
      <c r="X12" s="342"/>
      <c r="Y12" s="342"/>
      <c r="Z12" s="342"/>
      <c r="AA12" s="342"/>
      <c r="AB12" s="257">
        <f t="shared" si="0"/>
        <v>0</v>
      </c>
      <c r="AC12" s="82"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544"/>
      <c r="AE12" s="83"/>
      <c r="AF12" s="547"/>
      <c r="AG12" s="480">
        <v>11</v>
      </c>
    </row>
    <row r="13" spans="1:34" ht="31.3" thickBot="1" x14ac:dyDescent="0.9">
      <c r="A13" s="541"/>
      <c r="B13" s="315" t="s">
        <v>472</v>
      </c>
      <c r="C13" s="219" t="s">
        <v>885</v>
      </c>
      <c r="D13" s="384"/>
      <c r="E13" s="347"/>
      <c r="F13" s="347"/>
      <c r="G13" s="347"/>
      <c r="H13" s="347"/>
      <c r="I13" s="347"/>
      <c r="J13" s="347"/>
      <c r="K13" s="347"/>
      <c r="L13" s="347"/>
      <c r="M13" s="347"/>
      <c r="N13" s="347"/>
      <c r="O13" s="347"/>
      <c r="P13" s="347"/>
      <c r="Q13" s="347"/>
      <c r="R13" s="347"/>
      <c r="S13" s="347"/>
      <c r="T13" s="347"/>
      <c r="U13" s="347"/>
      <c r="V13" s="347"/>
      <c r="W13" s="347"/>
      <c r="X13" s="347"/>
      <c r="Y13" s="347"/>
      <c r="Z13" s="347"/>
      <c r="AA13" s="347"/>
      <c r="AB13" s="385">
        <f t="shared" si="0"/>
        <v>0</v>
      </c>
      <c r="AC13" s="215"/>
      <c r="AD13" s="544"/>
      <c r="AE13" s="83"/>
      <c r="AF13" s="547"/>
      <c r="AG13" s="480">
        <v>12</v>
      </c>
    </row>
    <row r="14" spans="1:34" s="230" customFormat="1" ht="32.15" thickBot="1" x14ac:dyDescent="0.9">
      <c r="A14" s="496" t="s">
        <v>949</v>
      </c>
      <c r="B14" s="349" t="s">
        <v>894</v>
      </c>
      <c r="C14" s="344" t="s">
        <v>886</v>
      </c>
      <c r="D14" s="386">
        <f t="shared" ref="D14:E14" si="1">D13+D10</f>
        <v>0</v>
      </c>
      <c r="E14" s="386">
        <f t="shared" si="1"/>
        <v>0</v>
      </c>
      <c r="F14" s="386">
        <f>F13+F10</f>
        <v>0</v>
      </c>
      <c r="G14" s="386">
        <f t="shared" ref="G14:AA14" si="2">G13+G10</f>
        <v>0</v>
      </c>
      <c r="H14" s="386">
        <f t="shared" si="2"/>
        <v>0</v>
      </c>
      <c r="I14" s="386">
        <f t="shared" si="2"/>
        <v>0</v>
      </c>
      <c r="J14" s="386">
        <f t="shared" si="2"/>
        <v>0</v>
      </c>
      <c r="K14" s="386">
        <f t="shared" si="2"/>
        <v>0</v>
      </c>
      <c r="L14" s="386">
        <f t="shared" si="2"/>
        <v>0</v>
      </c>
      <c r="M14" s="386">
        <f t="shared" si="2"/>
        <v>0</v>
      </c>
      <c r="N14" s="386">
        <f t="shared" si="2"/>
        <v>0</v>
      </c>
      <c r="O14" s="386">
        <f t="shared" si="2"/>
        <v>0</v>
      </c>
      <c r="P14" s="386">
        <f t="shared" si="2"/>
        <v>0</v>
      </c>
      <c r="Q14" s="386">
        <f t="shared" si="2"/>
        <v>0</v>
      </c>
      <c r="R14" s="386">
        <f t="shared" si="2"/>
        <v>0</v>
      </c>
      <c r="S14" s="386">
        <f t="shared" si="2"/>
        <v>0</v>
      </c>
      <c r="T14" s="386">
        <f t="shared" si="2"/>
        <v>0</v>
      </c>
      <c r="U14" s="386">
        <f t="shared" si="2"/>
        <v>0</v>
      </c>
      <c r="V14" s="386">
        <f t="shared" si="2"/>
        <v>0</v>
      </c>
      <c r="W14" s="386">
        <f t="shared" si="2"/>
        <v>0</v>
      </c>
      <c r="X14" s="386">
        <f t="shared" si="2"/>
        <v>0</v>
      </c>
      <c r="Y14" s="386">
        <f t="shared" si="2"/>
        <v>0</v>
      </c>
      <c r="Z14" s="386">
        <f t="shared" si="2"/>
        <v>0</v>
      </c>
      <c r="AA14" s="386">
        <f t="shared" si="2"/>
        <v>0</v>
      </c>
      <c r="AB14" s="356">
        <f t="shared" si="0"/>
        <v>0</v>
      </c>
      <c r="AC14" s="252"/>
      <c r="AD14" s="544"/>
      <c r="AE14" s="254" t="str">
        <f>CONCATENATE(IF(D49&gt;D14," * Total Testes ( excluding PMTCT Tests ) "&amp;$D$20&amp;" "&amp;$D$21&amp;" is more than Eligible for Testing IPD and OPD"&amp;CHAR(10),""),IF(E49&gt;E14," * Total Testes ( excluding PMTCT Tests ) "&amp;$D$20&amp;" "&amp;$E$21&amp;" is more than Eligible for Testing IPD and OPD"&amp;CHAR(10),""),IF(F49&gt;F14," * Total Testes ( excluding PMTCT Tests ) "&amp;$F$20&amp;" "&amp;$F$21&amp;" is more than Eligible for Testing IPD and OPD"&amp;CHAR(10),""),IF(G49&gt;G14," * Total Testes ( excluding PMTCT Tests ) "&amp;$F$20&amp;" "&amp;$G$21&amp;" is more than Eligible for Testing IPD and OPD"&amp;CHAR(10),""),IF(H49&gt;H14," * Total Testes ( excluding PMTCT Tests ) "&amp;$H$20&amp;" "&amp;$H$21&amp;" is more than Eligible for Testing IPD and OPD"&amp;CHAR(10),""),IF(I49&gt;I14," * Total Testes ( excluding PMTCT Tests ) "&amp;$H$20&amp;" "&amp;$I$21&amp;" is more than Eligible for Testing IPD and OPD"&amp;CHAR(10),""),IF(J49&gt;J14," * Total Testes ( excluding PMTCT Tests ) "&amp;$J$20&amp;" "&amp;$J$21&amp;" is more than Eligible for Testing IPD and OPD"&amp;CHAR(10),""),IF(K49&gt;K14," * Total Testes ( excluding PMTCT Tests ) "&amp;$J$20&amp;" "&amp;$K$21&amp;" is more than Eligible for Testing IPD and OPD"&amp;CHAR(10),""),IF(L49&gt;L14," * Total Testes ( excluding PMTCT Tests ) "&amp;$L$20&amp;" "&amp;$L$21&amp;" is more than Eligible for Testing IPD and OPD"&amp;CHAR(10),""),IF(M49&gt;M14," * Total Testes ( excluding PMTCT Tests ) "&amp;$L$20&amp;" "&amp;$M$21&amp;" is more than Eligible for Testing IPD and OPD"&amp;CHAR(10),""),IF(N49&gt;N14," * Total Testes ( excluding PMTCT Tests ) "&amp;$N$20&amp;" "&amp;$N$21&amp;" is more than Eligible for Testing IPD and OPD"&amp;CHAR(10),""),IF(O49&gt;O14," * Total Testes ( excluding PMTCT Tests ) "&amp;$N$20&amp;" "&amp;$O$21&amp;" is more than Eligible for Testing IPD and OPD"&amp;CHAR(10),""),IF(P49&gt;P14," * Total Testes ( excluding PMTCT Tests ) "&amp;$P$20&amp;" "&amp;$P$21&amp;" is more than Eligible for Testing IPD and OPD"&amp;CHAR(10),""),IF(Q49&gt;Q14," * Total Testes ( excluding PMTCT Tests ) "&amp;$P$20&amp;" "&amp;$Q$21&amp;" is more than Eligible for Testing IPD and OPD"&amp;CHAR(10),""),IF(R49&gt;R14," * Total Testes ( excluding PMTCT Tests ) "&amp;$R$20&amp;" "&amp;$R$21&amp;" is more than Eligible for Testing IPD and OPD"&amp;CHAR(10),""),IF(S49&gt;S14," * Total Testes ( excluding PMTCT Tests ) "&amp;$R$20&amp;" "&amp;$S$21&amp;" is more than Eligible for Testing IPD and OPD"&amp;CHAR(10),""),IF(T49&gt;T14," * Total Testes ( excluding PMTCT Tests ) "&amp;$T$20&amp;" "&amp;$T$21&amp;" is more than Eligible for Testing IPD and OPD"&amp;CHAR(10),""),IF(U49&gt;U14," * Total Testes ( excluding PMTCT Tests ) "&amp;$T$20&amp;" "&amp;$U$21&amp;" is more than Eligible for Testing IPD and OPD"&amp;CHAR(10),""),IF(V49&gt;V14," * Total Testes ( excluding PMTCT Tests ) "&amp;$V$20&amp;" "&amp;$V$21&amp;" is more than Eligible for Testing IPD and OPD"&amp;CHAR(10),""),IF(W49&gt;W14," * Total Testes ( excluding PMTCT Tests ) "&amp;$V$20&amp;" "&amp;$W$21&amp;" is more than Eligible for Testing IPD and OPD"&amp;CHAR(10),""),IF(X49&gt;X14," * Total Testes ( excluding PMTCT Tests ) "&amp;$X$20&amp;" "&amp;$X$21&amp;" is more than Eligible for Testing IPD and OPD"&amp;CHAR(10),""),IF(Y49&gt;Y14," * Total Testes ( excluding PMTCT Tests ) "&amp;$X$20&amp;" "&amp;$Y$21&amp;" is more than Eligible for Testing IPD and OPD"&amp;CHAR(10),""),IF(Z49&gt;Z14," * Total Testes ( excluding PMTCT Tests ) "&amp;$Z$20&amp;" "&amp;$Z$21&amp;" is more than Eligible for Testing IPD and OPD"&amp;CHAR(10),""),IF(AA49&gt;AA14," * Total Testes ( excluding PMTCT Tests ) "&amp;$Z$20&amp;" "&amp;$AA$21&amp;" is more than Eligible for Testing IPD and OPD"&amp;CHAR(10),""))</f>
        <v/>
      </c>
      <c r="AF14" s="547"/>
      <c r="AG14" s="480">
        <v>13</v>
      </c>
      <c r="AH14" s="336"/>
    </row>
    <row r="15" spans="1:34" x14ac:dyDescent="0.85">
      <c r="A15" s="542" t="s">
        <v>882</v>
      </c>
      <c r="B15" s="313" t="s">
        <v>891</v>
      </c>
      <c r="C15" s="220" t="s">
        <v>887</v>
      </c>
      <c r="D15" s="382"/>
      <c r="E15" s="345"/>
      <c r="F15" s="345"/>
      <c r="G15" s="346"/>
      <c r="H15" s="346"/>
      <c r="I15" s="346"/>
      <c r="J15" s="346"/>
      <c r="K15" s="346"/>
      <c r="L15" s="346"/>
      <c r="M15" s="346"/>
      <c r="N15" s="346"/>
      <c r="O15" s="346"/>
      <c r="P15" s="346"/>
      <c r="Q15" s="346"/>
      <c r="R15" s="346"/>
      <c r="S15" s="346"/>
      <c r="T15" s="346"/>
      <c r="U15" s="346"/>
      <c r="V15" s="346"/>
      <c r="W15" s="346"/>
      <c r="X15" s="346"/>
      <c r="Y15" s="346"/>
      <c r="Z15" s="346"/>
      <c r="AA15" s="346"/>
      <c r="AB15" s="242">
        <f t="shared" si="0"/>
        <v>0</v>
      </c>
      <c r="AC15" s="82"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544"/>
      <c r="AE15" s="83"/>
      <c r="AF15" s="547"/>
      <c r="AG15" s="480">
        <v>14</v>
      </c>
    </row>
    <row r="16" spans="1:34" x14ac:dyDescent="0.85">
      <c r="A16" s="540"/>
      <c r="B16" s="314" t="s">
        <v>655</v>
      </c>
      <c r="C16" s="218" t="s">
        <v>888</v>
      </c>
      <c r="D16" s="383"/>
      <c r="E16" s="343"/>
      <c r="F16" s="343"/>
      <c r="G16" s="342"/>
      <c r="H16" s="342"/>
      <c r="I16" s="342"/>
      <c r="J16" s="342"/>
      <c r="K16" s="342"/>
      <c r="L16" s="342"/>
      <c r="M16" s="342"/>
      <c r="N16" s="342"/>
      <c r="O16" s="342"/>
      <c r="P16" s="342"/>
      <c r="Q16" s="342"/>
      <c r="R16" s="342"/>
      <c r="S16" s="342"/>
      <c r="T16" s="342"/>
      <c r="U16" s="342"/>
      <c r="V16" s="342"/>
      <c r="W16" s="342"/>
      <c r="X16" s="342"/>
      <c r="Y16" s="342"/>
      <c r="Z16" s="342"/>
      <c r="AA16" s="342"/>
      <c r="AB16" s="257">
        <f t="shared" si="0"/>
        <v>0</v>
      </c>
      <c r="AC16" s="82"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544"/>
      <c r="AE16" s="83"/>
      <c r="AF16" s="547"/>
      <c r="AG16" s="480">
        <v>15</v>
      </c>
    </row>
    <row r="17" spans="1:34" ht="31.3" thickBot="1" x14ac:dyDescent="0.9">
      <c r="A17" s="541"/>
      <c r="B17" s="315" t="s">
        <v>472</v>
      </c>
      <c r="C17" s="219" t="s">
        <v>889</v>
      </c>
      <c r="D17" s="384"/>
      <c r="E17" s="347"/>
      <c r="F17" s="347"/>
      <c r="G17" s="347"/>
      <c r="H17" s="347"/>
      <c r="I17" s="347"/>
      <c r="J17" s="347"/>
      <c r="K17" s="347"/>
      <c r="L17" s="347"/>
      <c r="M17" s="347"/>
      <c r="N17" s="347"/>
      <c r="O17" s="347"/>
      <c r="P17" s="347"/>
      <c r="Q17" s="347"/>
      <c r="R17" s="347"/>
      <c r="S17" s="347"/>
      <c r="T17" s="347"/>
      <c r="U17" s="347"/>
      <c r="V17" s="347"/>
      <c r="W17" s="347"/>
      <c r="X17" s="347"/>
      <c r="Y17" s="347"/>
      <c r="Z17" s="347"/>
      <c r="AA17" s="347"/>
      <c r="AB17" s="385">
        <f t="shared" si="0"/>
        <v>0</v>
      </c>
      <c r="AC17" s="215"/>
      <c r="AD17" s="544"/>
      <c r="AE17" s="83"/>
      <c r="AF17" s="547"/>
      <c r="AG17" s="480">
        <v>16</v>
      </c>
    </row>
    <row r="18" spans="1:34" ht="32.15" thickBot="1" x14ac:dyDescent="0.9">
      <c r="A18" s="497"/>
      <c r="B18" s="349" t="s">
        <v>893</v>
      </c>
      <c r="C18" s="223" t="s">
        <v>892</v>
      </c>
      <c r="D18" s="354">
        <f t="shared" ref="D18:E18" si="3">D17+D13+D10</f>
        <v>0</v>
      </c>
      <c r="E18" s="354">
        <f t="shared" si="3"/>
        <v>0</v>
      </c>
      <c r="F18" s="354">
        <f>F17+F13+F10</f>
        <v>0</v>
      </c>
      <c r="G18" s="354">
        <f t="shared" ref="G18:AA18" si="4">G17+G13+G10</f>
        <v>0</v>
      </c>
      <c r="H18" s="354">
        <f t="shared" si="4"/>
        <v>0</v>
      </c>
      <c r="I18" s="354">
        <f t="shared" si="4"/>
        <v>0</v>
      </c>
      <c r="J18" s="354">
        <f t="shared" si="4"/>
        <v>0</v>
      </c>
      <c r="K18" s="354">
        <f t="shared" si="4"/>
        <v>0</v>
      </c>
      <c r="L18" s="354">
        <f t="shared" si="4"/>
        <v>0</v>
      </c>
      <c r="M18" s="354">
        <f t="shared" si="4"/>
        <v>0</v>
      </c>
      <c r="N18" s="354">
        <f t="shared" si="4"/>
        <v>0</v>
      </c>
      <c r="O18" s="354">
        <f t="shared" si="4"/>
        <v>0</v>
      </c>
      <c r="P18" s="354">
        <f t="shared" si="4"/>
        <v>0</v>
      </c>
      <c r="Q18" s="354">
        <f t="shared" si="4"/>
        <v>0</v>
      </c>
      <c r="R18" s="354">
        <f t="shared" si="4"/>
        <v>0</v>
      </c>
      <c r="S18" s="354">
        <f t="shared" si="4"/>
        <v>0</v>
      </c>
      <c r="T18" s="354">
        <f t="shared" si="4"/>
        <v>0</v>
      </c>
      <c r="U18" s="354">
        <f t="shared" si="4"/>
        <v>0</v>
      </c>
      <c r="V18" s="354">
        <f t="shared" si="4"/>
        <v>0</v>
      </c>
      <c r="W18" s="354">
        <f t="shared" si="4"/>
        <v>0</v>
      </c>
      <c r="X18" s="354">
        <f t="shared" si="4"/>
        <v>0</v>
      </c>
      <c r="Y18" s="354">
        <f t="shared" si="4"/>
        <v>0</v>
      </c>
      <c r="Z18" s="354">
        <f t="shared" si="4"/>
        <v>0</v>
      </c>
      <c r="AA18" s="354">
        <f t="shared" si="4"/>
        <v>0</v>
      </c>
      <c r="AB18" s="257">
        <f t="shared" si="0"/>
        <v>0</v>
      </c>
      <c r="AC18" s="215"/>
      <c r="AD18" s="545"/>
      <c r="AE18" s="83"/>
      <c r="AF18" s="548"/>
      <c r="AG18" s="480">
        <v>17</v>
      </c>
    </row>
    <row r="19" spans="1:34" ht="35.15" thickBot="1" x14ac:dyDescent="0.9">
      <c r="A19" s="646" t="s">
        <v>12</v>
      </c>
      <c r="B19" s="647"/>
      <c r="C19" s="647"/>
      <c r="D19" s="647"/>
      <c r="E19" s="647"/>
      <c r="F19" s="647"/>
      <c r="G19" s="647"/>
      <c r="H19" s="647"/>
      <c r="I19" s="647"/>
      <c r="J19" s="647"/>
      <c r="K19" s="647"/>
      <c r="L19" s="647"/>
      <c r="M19" s="647"/>
      <c r="N19" s="647"/>
      <c r="O19" s="647"/>
      <c r="P19" s="647"/>
      <c r="Q19" s="647"/>
      <c r="R19" s="647"/>
      <c r="S19" s="647"/>
      <c r="T19" s="647"/>
      <c r="U19" s="647"/>
      <c r="V19" s="647"/>
      <c r="W19" s="647"/>
      <c r="X19" s="647"/>
      <c r="Y19" s="647"/>
      <c r="Z19" s="647"/>
      <c r="AA19" s="647"/>
      <c r="AB19" s="647"/>
      <c r="AC19" s="647"/>
      <c r="AD19" s="569"/>
      <c r="AE19" s="647"/>
      <c r="AF19" s="570"/>
      <c r="AG19" s="480">
        <v>18</v>
      </c>
    </row>
    <row r="20" spans="1:34" s="7" customFormat="1" ht="26.25" customHeight="1" x14ac:dyDescent="0.85">
      <c r="A20" s="578" t="s">
        <v>37</v>
      </c>
      <c r="B20" s="601" t="s">
        <v>347</v>
      </c>
      <c r="C20" s="655" t="s">
        <v>328</v>
      </c>
      <c r="D20" s="635" t="s">
        <v>0</v>
      </c>
      <c r="E20" s="635"/>
      <c r="F20" s="635" t="s">
        <v>1</v>
      </c>
      <c r="G20" s="635"/>
      <c r="H20" s="635" t="s">
        <v>2</v>
      </c>
      <c r="I20" s="635"/>
      <c r="J20" s="635" t="s">
        <v>3</v>
      </c>
      <c r="K20" s="635"/>
      <c r="L20" s="635" t="s">
        <v>4</v>
      </c>
      <c r="M20" s="635"/>
      <c r="N20" s="635" t="s">
        <v>5</v>
      </c>
      <c r="O20" s="635"/>
      <c r="P20" s="635" t="s">
        <v>6</v>
      </c>
      <c r="Q20" s="635"/>
      <c r="R20" s="635" t="s">
        <v>7</v>
      </c>
      <c r="S20" s="635"/>
      <c r="T20" s="635" t="s">
        <v>8</v>
      </c>
      <c r="U20" s="635"/>
      <c r="V20" s="635" t="s">
        <v>23</v>
      </c>
      <c r="W20" s="635"/>
      <c r="X20" s="635" t="s">
        <v>24</v>
      </c>
      <c r="Y20" s="635"/>
      <c r="Z20" s="635" t="s">
        <v>9</v>
      </c>
      <c r="AA20" s="635"/>
      <c r="AB20" s="658" t="s">
        <v>19</v>
      </c>
      <c r="AC20" s="624" t="s">
        <v>381</v>
      </c>
      <c r="AD20" s="575" t="s">
        <v>387</v>
      </c>
      <c r="AE20" s="613" t="s">
        <v>388</v>
      </c>
      <c r="AF20" s="644" t="s">
        <v>388</v>
      </c>
      <c r="AG20" s="480">
        <v>19</v>
      </c>
      <c r="AH20" s="335"/>
    </row>
    <row r="21" spans="1:34" s="7" customFormat="1" ht="27" customHeight="1" thickBot="1" x14ac:dyDescent="0.9">
      <c r="A21" s="579"/>
      <c r="B21" s="602"/>
      <c r="C21" s="656"/>
      <c r="D21" s="81" t="s">
        <v>10</v>
      </c>
      <c r="E21" s="81" t="s">
        <v>11</v>
      </c>
      <c r="F21" s="81" t="s">
        <v>10</v>
      </c>
      <c r="G21" s="81" t="s">
        <v>11</v>
      </c>
      <c r="H21" s="81" t="s">
        <v>10</v>
      </c>
      <c r="I21" s="81" t="s">
        <v>11</v>
      </c>
      <c r="J21" s="81" t="s">
        <v>10</v>
      </c>
      <c r="K21" s="81" t="s">
        <v>11</v>
      </c>
      <c r="L21" s="81" t="s">
        <v>10</v>
      </c>
      <c r="M21" s="81" t="s">
        <v>11</v>
      </c>
      <c r="N21" s="81" t="s">
        <v>10</v>
      </c>
      <c r="O21" s="81" t="s">
        <v>11</v>
      </c>
      <c r="P21" s="81" t="s">
        <v>10</v>
      </c>
      <c r="Q21" s="81" t="s">
        <v>11</v>
      </c>
      <c r="R21" s="81" t="s">
        <v>10</v>
      </c>
      <c r="S21" s="81" t="s">
        <v>11</v>
      </c>
      <c r="T21" s="81" t="s">
        <v>10</v>
      </c>
      <c r="U21" s="81" t="s">
        <v>11</v>
      </c>
      <c r="V21" s="81" t="s">
        <v>10</v>
      </c>
      <c r="W21" s="81" t="s">
        <v>11</v>
      </c>
      <c r="X21" s="81" t="s">
        <v>10</v>
      </c>
      <c r="Y21" s="81" t="s">
        <v>11</v>
      </c>
      <c r="Z21" s="81" t="s">
        <v>10</v>
      </c>
      <c r="AA21" s="81" t="s">
        <v>11</v>
      </c>
      <c r="AB21" s="659"/>
      <c r="AC21" s="657"/>
      <c r="AD21" s="574"/>
      <c r="AE21" s="614"/>
      <c r="AF21" s="645"/>
      <c r="AG21" s="480">
        <v>20</v>
      </c>
      <c r="AH21" s="335"/>
    </row>
    <row r="22" spans="1:34" x14ac:dyDescent="0.85">
      <c r="A22" s="654" t="s">
        <v>121</v>
      </c>
      <c r="B22" s="275" t="s">
        <v>644</v>
      </c>
      <c r="C22" s="134" t="s">
        <v>144</v>
      </c>
      <c r="D22" s="126"/>
      <c r="E22" s="32"/>
      <c r="F22" s="31"/>
      <c r="G22" s="31"/>
      <c r="H22" s="31"/>
      <c r="I22" s="98"/>
      <c r="J22" s="31"/>
      <c r="K22" s="31"/>
      <c r="L22" s="31"/>
      <c r="M22" s="31"/>
      <c r="N22" s="31"/>
      <c r="O22" s="31"/>
      <c r="P22" s="31"/>
      <c r="Q22" s="31"/>
      <c r="R22" s="31"/>
      <c r="S22" s="31"/>
      <c r="T22" s="31"/>
      <c r="U22" s="31"/>
      <c r="V22" s="31"/>
      <c r="W22" s="31"/>
      <c r="X22" s="31"/>
      <c r="Y22" s="31"/>
      <c r="Z22" s="31"/>
      <c r="AA22" s="31"/>
      <c r="AB22" s="89">
        <f t="shared" ref="AB22:AB26" si="5">SUM(D22:AA22)</f>
        <v>0</v>
      </c>
      <c r="AC22" s="64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48" t="str">
        <f>CONCATENATE(AC22,AC24,AC25,AC26,AC28,AC29,AC30,AC31,AC33,AC35,AC37,AC39,AC41,AC43,AC45,AC47,AC49)</f>
        <v/>
      </c>
      <c r="AE22" s="99"/>
      <c r="AF22" s="628" t="str">
        <f>CONCATENATE(AE22,AE23,AE24,AE25,AE26,AE27,AE28,AE29,AE30,AE31,AE32,AE33,AE34,AE35,AE36,AE37,AE38,AE39,AE40,AE41,AE42,AE43,AE44,AE45,AE46,AE47,AE48,AE49,AE50)</f>
        <v/>
      </c>
      <c r="AG22" s="480">
        <v>21</v>
      </c>
    </row>
    <row r="23" spans="1:34" x14ac:dyDescent="0.85">
      <c r="A23" s="556"/>
      <c r="B23" s="276" t="s">
        <v>645</v>
      </c>
      <c r="C23" s="135" t="s">
        <v>146</v>
      </c>
      <c r="D23" s="127"/>
      <c r="E23" s="18"/>
      <c r="F23" s="19"/>
      <c r="G23" s="19"/>
      <c r="H23" s="19"/>
      <c r="I23" s="19"/>
      <c r="J23" s="19"/>
      <c r="K23" s="19"/>
      <c r="L23" s="19"/>
      <c r="M23" s="19"/>
      <c r="N23" s="19"/>
      <c r="O23" s="19"/>
      <c r="P23" s="19"/>
      <c r="Q23" s="19"/>
      <c r="R23" s="19"/>
      <c r="S23" s="19"/>
      <c r="T23" s="19"/>
      <c r="U23" s="19"/>
      <c r="V23" s="19"/>
      <c r="W23" s="19"/>
      <c r="X23" s="19"/>
      <c r="Y23" s="19"/>
      <c r="Z23" s="19"/>
      <c r="AA23" s="19"/>
      <c r="AB23" s="37">
        <f t="shared" si="5"/>
        <v>0</v>
      </c>
      <c r="AC23" s="634"/>
      <c r="AD23" s="632"/>
      <c r="AE23" s="83"/>
      <c r="AF23" s="629"/>
      <c r="AG23" s="480">
        <v>22</v>
      </c>
    </row>
    <row r="24" spans="1:34" s="9" customFormat="1" x14ac:dyDescent="0.85">
      <c r="A24" s="556"/>
      <c r="B24" s="276" t="s">
        <v>147</v>
      </c>
      <c r="C24" s="135" t="s">
        <v>348</v>
      </c>
      <c r="D24" s="127"/>
      <c r="E24" s="18"/>
      <c r="F24" s="19"/>
      <c r="G24" s="19"/>
      <c r="H24" s="19"/>
      <c r="I24" s="19"/>
      <c r="J24" s="19"/>
      <c r="K24" s="19"/>
      <c r="L24" s="19"/>
      <c r="M24" s="19"/>
      <c r="N24" s="19"/>
      <c r="O24" s="19"/>
      <c r="P24" s="19"/>
      <c r="Q24" s="19"/>
      <c r="R24" s="19"/>
      <c r="S24" s="19"/>
      <c r="T24" s="19"/>
      <c r="U24" s="19"/>
      <c r="V24" s="19"/>
      <c r="W24" s="19"/>
      <c r="X24" s="19"/>
      <c r="Y24" s="19"/>
      <c r="Z24" s="19"/>
      <c r="AA24" s="19"/>
      <c r="AB24" s="37">
        <f t="shared" si="5"/>
        <v>0</v>
      </c>
      <c r="AC24" s="92"/>
      <c r="AD24" s="632"/>
      <c r="AE24" s="84"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29"/>
      <c r="AG24" s="480">
        <v>23</v>
      </c>
      <c r="AH24" s="336"/>
    </row>
    <row r="25" spans="1:34" s="8" customFormat="1" x14ac:dyDescent="0.85">
      <c r="A25" s="556"/>
      <c r="B25" s="276" t="s">
        <v>148</v>
      </c>
      <c r="C25" s="136" t="s">
        <v>149</v>
      </c>
      <c r="D25" s="127"/>
      <c r="E25" s="18"/>
      <c r="F25" s="19"/>
      <c r="G25" s="19"/>
      <c r="H25" s="19"/>
      <c r="I25" s="19"/>
      <c r="J25" s="19"/>
      <c r="K25" s="19"/>
      <c r="L25" s="19"/>
      <c r="M25" s="19"/>
      <c r="N25" s="19"/>
      <c r="O25" s="19"/>
      <c r="P25" s="19"/>
      <c r="Q25" s="19"/>
      <c r="R25" s="19"/>
      <c r="S25" s="19"/>
      <c r="T25" s="19"/>
      <c r="U25" s="19"/>
      <c r="V25" s="19"/>
      <c r="W25" s="19"/>
      <c r="X25" s="19"/>
      <c r="Y25" s="19"/>
      <c r="Z25" s="19"/>
      <c r="AA25" s="19"/>
      <c r="AB25" s="37">
        <f t="shared" si="5"/>
        <v>0</v>
      </c>
      <c r="AC25" s="92"/>
      <c r="AD25" s="632"/>
      <c r="AE25" s="83"/>
      <c r="AF25" s="629"/>
      <c r="AG25" s="480">
        <v>24</v>
      </c>
      <c r="AH25" s="337"/>
    </row>
    <row r="26" spans="1:34" s="8" customFormat="1" x14ac:dyDescent="0.85">
      <c r="A26" s="556"/>
      <c r="B26" s="276" t="s">
        <v>161</v>
      </c>
      <c r="C26" s="136" t="s">
        <v>150</v>
      </c>
      <c r="D26" s="127"/>
      <c r="E26" s="18"/>
      <c r="F26" s="19"/>
      <c r="G26" s="19"/>
      <c r="H26" s="19"/>
      <c r="I26" s="19"/>
      <c r="J26" s="19"/>
      <c r="K26" s="19"/>
      <c r="L26" s="19"/>
      <c r="M26" s="19"/>
      <c r="N26" s="19"/>
      <c r="O26" s="19"/>
      <c r="P26" s="19"/>
      <c r="Q26" s="19"/>
      <c r="R26" s="19"/>
      <c r="S26" s="19"/>
      <c r="T26" s="19"/>
      <c r="U26" s="19"/>
      <c r="V26" s="19"/>
      <c r="W26" s="19"/>
      <c r="X26" s="19"/>
      <c r="Y26" s="19"/>
      <c r="Z26" s="19"/>
      <c r="AA26" s="19"/>
      <c r="AB26" s="37">
        <f t="shared" si="5"/>
        <v>0</v>
      </c>
      <c r="AC26" s="63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32"/>
      <c r="AE26" s="83" t="str">
        <f>CONCATENATE(IF(AND(IFERROR((AB27*100)/AB26,0)&gt;10,AB27&gt;5)," * This facility has a high positivity rate for Index Testing. Kindly confirm if this is the true reflection"&amp;CHAR(10),""),"")</f>
        <v/>
      </c>
      <c r="AF26" s="629"/>
      <c r="AG26" s="480">
        <v>25</v>
      </c>
      <c r="AH26" s="337"/>
    </row>
    <row r="27" spans="1:34" s="8" customFormat="1" ht="31.75" x14ac:dyDescent="0.85">
      <c r="A27" s="556"/>
      <c r="B27" s="281" t="s">
        <v>153</v>
      </c>
      <c r="C27" s="137" t="s">
        <v>152</v>
      </c>
      <c r="D27" s="127"/>
      <c r="E27" s="18"/>
      <c r="F27" s="20"/>
      <c r="G27" s="20"/>
      <c r="H27" s="20"/>
      <c r="I27" s="20"/>
      <c r="J27" s="20"/>
      <c r="K27" s="20"/>
      <c r="L27" s="20"/>
      <c r="M27" s="20"/>
      <c r="N27" s="20"/>
      <c r="O27" s="20"/>
      <c r="P27" s="20"/>
      <c r="Q27" s="20"/>
      <c r="R27" s="20"/>
      <c r="S27" s="20"/>
      <c r="T27" s="20"/>
      <c r="U27" s="20"/>
      <c r="V27" s="20"/>
      <c r="W27" s="20"/>
      <c r="X27" s="20"/>
      <c r="Y27" s="20"/>
      <c r="Z27" s="20"/>
      <c r="AA27" s="20"/>
      <c r="AB27" s="41">
        <f>SUM(D27:AA27)</f>
        <v>0</v>
      </c>
      <c r="AC27" s="634"/>
      <c r="AD27" s="632"/>
      <c r="AE27" s="83"/>
      <c r="AF27" s="629"/>
      <c r="AG27" s="480">
        <v>26</v>
      </c>
      <c r="AH27" s="337"/>
    </row>
    <row r="28" spans="1:34" s="8" customFormat="1" x14ac:dyDescent="0.85">
      <c r="A28" s="556"/>
      <c r="B28" s="276" t="s">
        <v>154</v>
      </c>
      <c r="C28" s="136" t="s">
        <v>155</v>
      </c>
      <c r="D28" s="127"/>
      <c r="E28" s="18"/>
      <c r="F28" s="19"/>
      <c r="G28" s="19"/>
      <c r="H28" s="19"/>
      <c r="I28" s="19"/>
      <c r="J28" s="19"/>
      <c r="K28" s="19"/>
      <c r="L28" s="19"/>
      <c r="M28" s="19"/>
      <c r="N28" s="19"/>
      <c r="O28" s="19"/>
      <c r="P28" s="19"/>
      <c r="Q28" s="19"/>
      <c r="R28" s="19"/>
      <c r="S28" s="19"/>
      <c r="T28" s="19"/>
      <c r="U28" s="19"/>
      <c r="V28" s="19"/>
      <c r="W28" s="19"/>
      <c r="X28" s="19"/>
      <c r="Y28" s="19"/>
      <c r="Z28" s="19"/>
      <c r="AA28" s="19"/>
      <c r="AB28" s="37">
        <f t="shared" ref="AB28:AB50" si="6">SUM(D28:AA28)</f>
        <v>0</v>
      </c>
      <c r="AC28" s="92"/>
      <c r="AD28" s="632"/>
      <c r="AE28" s="83"/>
      <c r="AF28" s="629"/>
      <c r="AG28" s="480">
        <v>27</v>
      </c>
      <c r="AH28" s="337"/>
    </row>
    <row r="29" spans="1:34" s="8" customFormat="1" x14ac:dyDescent="0.85">
      <c r="A29" s="556"/>
      <c r="B29" s="276" t="s">
        <v>656</v>
      </c>
      <c r="C29" s="136" t="s">
        <v>156</v>
      </c>
      <c r="D29" s="132"/>
      <c r="E29" s="21"/>
      <c r="F29" s="19"/>
      <c r="G29" s="19"/>
      <c r="H29" s="19"/>
      <c r="I29" s="19"/>
      <c r="J29" s="19"/>
      <c r="K29" s="19"/>
      <c r="L29" s="19"/>
      <c r="M29" s="19"/>
      <c r="N29" s="19"/>
      <c r="O29" s="19"/>
      <c r="P29" s="19"/>
      <c r="Q29" s="19"/>
      <c r="R29" s="19"/>
      <c r="S29" s="19"/>
      <c r="T29" s="19"/>
      <c r="U29" s="19"/>
      <c r="V29" s="19"/>
      <c r="W29" s="19"/>
      <c r="X29" s="19"/>
      <c r="Y29" s="19"/>
      <c r="Z29" s="19"/>
      <c r="AA29" s="19"/>
      <c r="AB29" s="37">
        <f t="shared" si="6"/>
        <v>0</v>
      </c>
      <c r="AC29" s="92"/>
      <c r="AD29" s="632"/>
      <c r="AE29" s="83"/>
      <c r="AF29" s="629"/>
      <c r="AG29" s="480">
        <v>28</v>
      </c>
      <c r="AH29" s="337"/>
    </row>
    <row r="30" spans="1:34" s="8" customFormat="1" ht="31.3" thickBot="1" x14ac:dyDescent="0.9">
      <c r="A30" s="557"/>
      <c r="B30" s="282" t="s">
        <v>157</v>
      </c>
      <c r="C30" s="138" t="s">
        <v>158</v>
      </c>
      <c r="D30" s="133"/>
      <c r="E30" s="42"/>
      <c r="F30" s="39"/>
      <c r="G30" s="39"/>
      <c r="H30" s="39"/>
      <c r="I30" s="39"/>
      <c r="J30" s="39"/>
      <c r="K30" s="39"/>
      <c r="L30" s="39"/>
      <c r="M30" s="39"/>
      <c r="N30" s="39"/>
      <c r="O30" s="39"/>
      <c r="P30" s="39"/>
      <c r="Q30" s="39"/>
      <c r="R30" s="39"/>
      <c r="S30" s="39"/>
      <c r="T30" s="39"/>
      <c r="U30" s="39"/>
      <c r="V30" s="39"/>
      <c r="W30" s="39"/>
      <c r="X30" s="39"/>
      <c r="Y30" s="39"/>
      <c r="Z30" s="39"/>
      <c r="AA30" s="39"/>
      <c r="AB30" s="40">
        <f t="shared" si="6"/>
        <v>0</v>
      </c>
      <c r="AC30" s="92"/>
      <c r="AD30" s="632"/>
      <c r="AE30" s="83"/>
      <c r="AF30" s="629"/>
      <c r="AG30" s="480">
        <v>29</v>
      </c>
      <c r="AH30" s="337"/>
    </row>
    <row r="31" spans="1:34" s="8" customFormat="1" x14ac:dyDescent="0.85">
      <c r="A31" s="555" t="s">
        <v>13</v>
      </c>
      <c r="B31" s="284" t="s">
        <v>161</v>
      </c>
      <c r="C31" s="134" t="s">
        <v>160</v>
      </c>
      <c r="D31" s="139"/>
      <c r="E31" s="43"/>
      <c r="F31" s="35"/>
      <c r="G31" s="35"/>
      <c r="H31" s="35"/>
      <c r="I31" s="35"/>
      <c r="J31" s="35"/>
      <c r="K31" s="35"/>
      <c r="L31" s="35"/>
      <c r="M31" s="35"/>
      <c r="N31" s="35"/>
      <c r="O31" s="35"/>
      <c r="P31" s="35"/>
      <c r="Q31" s="35"/>
      <c r="R31" s="35"/>
      <c r="S31" s="35"/>
      <c r="T31" s="35"/>
      <c r="U31" s="35"/>
      <c r="V31" s="35"/>
      <c r="W31" s="35"/>
      <c r="X31" s="35"/>
      <c r="Y31" s="35"/>
      <c r="Z31" s="35"/>
      <c r="AA31" s="35"/>
      <c r="AB31" s="36">
        <f t="shared" si="6"/>
        <v>0</v>
      </c>
      <c r="AC31" s="63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32"/>
      <c r="AE31" s="83" t="str">
        <f>CONCATENATE(IF(AND(IFERROR((AB32*100)/AB31,0)&gt;10,AB32&gt;5)," * This facility has a high positivity rate for Index Testing. Kindly confirm if this is the true reflection"&amp;CHAR(10),""),"")</f>
        <v/>
      </c>
      <c r="AF31" s="629"/>
      <c r="AG31" s="480">
        <v>30</v>
      </c>
      <c r="AH31" s="337"/>
    </row>
    <row r="32" spans="1:34" s="8" customFormat="1" ht="32.15" thickBot="1" x14ac:dyDescent="0.9">
      <c r="A32" s="557"/>
      <c r="B32" s="285" t="s">
        <v>153</v>
      </c>
      <c r="C32" s="138" t="s">
        <v>162</v>
      </c>
      <c r="D32" s="140"/>
      <c r="E32" s="44"/>
      <c r="F32" s="205"/>
      <c r="G32" s="205"/>
      <c r="H32" s="205"/>
      <c r="I32" s="205"/>
      <c r="J32" s="205"/>
      <c r="K32" s="205"/>
      <c r="L32" s="205"/>
      <c r="M32" s="205"/>
      <c r="N32" s="205"/>
      <c r="O32" s="205"/>
      <c r="P32" s="205"/>
      <c r="Q32" s="205"/>
      <c r="R32" s="205"/>
      <c r="S32" s="205"/>
      <c r="T32" s="205"/>
      <c r="U32" s="205"/>
      <c r="V32" s="205"/>
      <c r="W32" s="205"/>
      <c r="X32" s="205"/>
      <c r="Y32" s="205"/>
      <c r="Z32" s="205"/>
      <c r="AA32" s="205"/>
      <c r="AB32" s="46">
        <f t="shared" si="6"/>
        <v>0</v>
      </c>
      <c r="AC32" s="634"/>
      <c r="AD32" s="632"/>
      <c r="AE32" s="83"/>
      <c r="AF32" s="629"/>
      <c r="AG32" s="480">
        <v>31</v>
      </c>
      <c r="AH32" s="337"/>
    </row>
    <row r="33" spans="1:34" s="8" customFormat="1" x14ac:dyDescent="0.85">
      <c r="A33" s="555" t="s">
        <v>14</v>
      </c>
      <c r="B33" s="284" t="s">
        <v>161</v>
      </c>
      <c r="C33" s="134" t="s">
        <v>163</v>
      </c>
      <c r="D33" s="141"/>
      <c r="E33" s="34"/>
      <c r="F33" s="35"/>
      <c r="G33" s="35"/>
      <c r="H33" s="35"/>
      <c r="I33" s="35"/>
      <c r="J33" s="35"/>
      <c r="K33" s="35"/>
      <c r="L33" s="35"/>
      <c r="M33" s="35"/>
      <c r="N33" s="35"/>
      <c r="O33" s="35"/>
      <c r="P33" s="35"/>
      <c r="Q33" s="35"/>
      <c r="R33" s="35"/>
      <c r="S33" s="35"/>
      <c r="T33" s="35"/>
      <c r="U33" s="35"/>
      <c r="V33" s="35"/>
      <c r="W33" s="35"/>
      <c r="X33" s="35"/>
      <c r="Y33" s="35"/>
      <c r="Z33" s="35"/>
      <c r="AA33" s="35"/>
      <c r="AB33" s="36">
        <f t="shared" si="6"/>
        <v>0</v>
      </c>
      <c r="AC33" s="63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32"/>
      <c r="AE33" s="83" t="str">
        <f>CONCATENATE(IF(AND(IFERROR((AB34*100)/AB33,0)&gt;10,AB34&gt;5)," * This facility has a high positivity rate for Index Testing. Kindly confirm if this is the true reflection"&amp;CHAR(10),""),"")</f>
        <v/>
      </c>
      <c r="AF33" s="629"/>
      <c r="AG33" s="480">
        <v>32</v>
      </c>
      <c r="AH33" s="337"/>
    </row>
    <row r="34" spans="1:34" s="8" customFormat="1" ht="32.15" thickBot="1" x14ac:dyDescent="0.9">
      <c r="A34" s="557"/>
      <c r="B34" s="285" t="s">
        <v>153</v>
      </c>
      <c r="C34" s="138" t="s">
        <v>164</v>
      </c>
      <c r="D34" s="142"/>
      <c r="E34" s="47"/>
      <c r="F34" s="205"/>
      <c r="G34" s="205"/>
      <c r="H34" s="205"/>
      <c r="I34" s="205"/>
      <c r="J34" s="205"/>
      <c r="K34" s="205"/>
      <c r="L34" s="205"/>
      <c r="M34" s="205"/>
      <c r="N34" s="205"/>
      <c r="O34" s="205"/>
      <c r="P34" s="205"/>
      <c r="Q34" s="205"/>
      <c r="R34" s="205"/>
      <c r="S34" s="205"/>
      <c r="T34" s="205"/>
      <c r="U34" s="205"/>
      <c r="V34" s="205"/>
      <c r="W34" s="205"/>
      <c r="X34" s="205"/>
      <c r="Y34" s="205"/>
      <c r="Z34" s="205"/>
      <c r="AA34" s="205"/>
      <c r="AB34" s="46">
        <f t="shared" si="6"/>
        <v>0</v>
      </c>
      <c r="AC34" s="634"/>
      <c r="AD34" s="632"/>
      <c r="AE34" s="83"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29"/>
      <c r="AG34" s="480">
        <v>33</v>
      </c>
      <c r="AH34" s="337"/>
    </row>
    <row r="35" spans="1:34" x14ac:dyDescent="0.85">
      <c r="A35" s="555" t="s">
        <v>15</v>
      </c>
      <c r="B35" s="284" t="s">
        <v>161</v>
      </c>
      <c r="C35" s="134" t="s">
        <v>165</v>
      </c>
      <c r="D35" s="141"/>
      <c r="E35" s="34"/>
      <c r="F35" s="35"/>
      <c r="G35" s="35"/>
      <c r="H35" s="34"/>
      <c r="I35" s="34"/>
      <c r="J35" s="34"/>
      <c r="K35" s="34"/>
      <c r="L35" s="34"/>
      <c r="M35" s="34"/>
      <c r="N35" s="34"/>
      <c r="O35" s="34"/>
      <c r="P35" s="34"/>
      <c r="Q35" s="34"/>
      <c r="R35" s="34"/>
      <c r="S35" s="34"/>
      <c r="T35" s="34"/>
      <c r="U35" s="34"/>
      <c r="V35" s="34"/>
      <c r="W35" s="34"/>
      <c r="X35" s="34"/>
      <c r="Y35" s="34"/>
      <c r="Z35" s="34"/>
      <c r="AA35" s="34"/>
      <c r="AB35" s="36">
        <f t="shared" si="6"/>
        <v>0</v>
      </c>
      <c r="AC35" s="63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32"/>
      <c r="AE35" s="83" t="str">
        <f>CONCATENATE(IF(AND(IFERROR((AB36*100)/AB35,0)&gt;10,AB36&gt;5)," * This facility has a high positivity rate for Index Testing. Kindly confirm if this is the true reflection"&amp;CHAR(10),""),"")</f>
        <v/>
      </c>
      <c r="AF35" s="629"/>
      <c r="AG35" s="480">
        <v>34</v>
      </c>
    </row>
    <row r="36" spans="1:34" ht="32.15" thickBot="1" x14ac:dyDescent="0.9">
      <c r="A36" s="557"/>
      <c r="B36" s="285" t="s">
        <v>153</v>
      </c>
      <c r="C36" s="138" t="s">
        <v>166</v>
      </c>
      <c r="D36" s="142"/>
      <c r="E36" s="47"/>
      <c r="F36" s="205"/>
      <c r="G36" s="205"/>
      <c r="H36" s="38"/>
      <c r="I36" s="38"/>
      <c r="J36" s="38"/>
      <c r="K36" s="38"/>
      <c r="L36" s="38"/>
      <c r="M36" s="38"/>
      <c r="N36" s="38"/>
      <c r="O36" s="38"/>
      <c r="P36" s="38"/>
      <c r="Q36" s="38"/>
      <c r="R36" s="38"/>
      <c r="S36" s="38"/>
      <c r="T36" s="38"/>
      <c r="U36" s="38"/>
      <c r="V36" s="38"/>
      <c r="W36" s="38"/>
      <c r="X36" s="38"/>
      <c r="Y36" s="38"/>
      <c r="Z36" s="38"/>
      <c r="AA36" s="38"/>
      <c r="AB36" s="46">
        <f t="shared" si="6"/>
        <v>0</v>
      </c>
      <c r="AC36" s="634"/>
      <c r="AD36" s="632"/>
      <c r="AE36" s="83"/>
      <c r="AF36" s="629"/>
      <c r="AG36" s="480">
        <v>35</v>
      </c>
    </row>
    <row r="37" spans="1:34" x14ac:dyDescent="0.85">
      <c r="A37" s="555" t="s">
        <v>443</v>
      </c>
      <c r="B37" s="284" t="s">
        <v>161</v>
      </c>
      <c r="C37" s="134" t="s">
        <v>167</v>
      </c>
      <c r="D37" s="141"/>
      <c r="E37" s="34"/>
      <c r="F37" s="35"/>
      <c r="G37" s="35"/>
      <c r="H37" s="34"/>
      <c r="I37" s="34"/>
      <c r="J37" s="34"/>
      <c r="K37" s="34"/>
      <c r="L37" s="34"/>
      <c r="M37" s="34"/>
      <c r="N37" s="34"/>
      <c r="O37" s="34"/>
      <c r="P37" s="34"/>
      <c r="Q37" s="34"/>
      <c r="R37" s="34"/>
      <c r="S37" s="34"/>
      <c r="T37" s="34"/>
      <c r="U37" s="34"/>
      <c r="V37" s="34"/>
      <c r="W37" s="34"/>
      <c r="X37" s="34"/>
      <c r="Y37" s="34"/>
      <c r="Z37" s="34"/>
      <c r="AA37" s="34"/>
      <c r="AB37" s="36">
        <f t="shared" si="6"/>
        <v>0</v>
      </c>
      <c r="AC37" s="63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32"/>
      <c r="AE37" s="83" t="str">
        <f>CONCATENATE(IF(AND(IFERROR((AB38*100)/AB37,0)&gt;10,AB38&gt;5)," * This facility has a high positivity rate for Index Testing. Kindly confirm if this is the true reflection"&amp;CHAR(10),""),"")</f>
        <v/>
      </c>
      <c r="AF37" s="629"/>
      <c r="AG37" s="480">
        <v>36</v>
      </c>
    </row>
    <row r="38" spans="1:34" ht="32.15" thickBot="1" x14ac:dyDescent="0.9">
      <c r="A38" s="557"/>
      <c r="B38" s="285" t="s">
        <v>153</v>
      </c>
      <c r="C38" s="138" t="s">
        <v>168</v>
      </c>
      <c r="D38" s="143"/>
      <c r="E38" s="38"/>
      <c r="F38" s="205"/>
      <c r="G38" s="205"/>
      <c r="H38" s="38"/>
      <c r="I38" s="38"/>
      <c r="J38" s="38"/>
      <c r="K38" s="38"/>
      <c r="L38" s="38"/>
      <c r="M38" s="38"/>
      <c r="N38" s="38"/>
      <c r="O38" s="38"/>
      <c r="P38" s="38"/>
      <c r="Q38" s="38"/>
      <c r="R38" s="38"/>
      <c r="S38" s="38"/>
      <c r="T38" s="38"/>
      <c r="U38" s="38"/>
      <c r="V38" s="38"/>
      <c r="W38" s="38"/>
      <c r="X38" s="38"/>
      <c r="Y38" s="38"/>
      <c r="Z38" s="38"/>
      <c r="AA38" s="38"/>
      <c r="AB38" s="46">
        <f t="shared" si="6"/>
        <v>0</v>
      </c>
      <c r="AC38" s="634"/>
      <c r="AD38" s="632"/>
      <c r="AE38" s="83"/>
      <c r="AF38" s="629"/>
      <c r="AG38" s="480">
        <v>37</v>
      </c>
    </row>
    <row r="39" spans="1:34" x14ac:dyDescent="0.85">
      <c r="A39" s="555" t="s">
        <v>16</v>
      </c>
      <c r="B39" s="284" t="s">
        <v>161</v>
      </c>
      <c r="C39" s="134" t="s">
        <v>169</v>
      </c>
      <c r="D39" s="139"/>
      <c r="E39" s="43"/>
      <c r="F39" s="35"/>
      <c r="G39" s="35"/>
      <c r="H39" s="35"/>
      <c r="I39" s="35"/>
      <c r="J39" s="35"/>
      <c r="K39" s="35"/>
      <c r="L39" s="35"/>
      <c r="M39" s="35"/>
      <c r="N39" s="35"/>
      <c r="O39" s="35"/>
      <c r="P39" s="35"/>
      <c r="Q39" s="35"/>
      <c r="R39" s="35"/>
      <c r="S39" s="35"/>
      <c r="T39" s="35"/>
      <c r="U39" s="35"/>
      <c r="V39" s="35"/>
      <c r="W39" s="35"/>
      <c r="X39" s="35"/>
      <c r="Y39" s="35"/>
      <c r="Z39" s="35"/>
      <c r="AA39" s="35"/>
      <c r="AB39" s="36">
        <f t="shared" si="6"/>
        <v>0</v>
      </c>
      <c r="AC39" s="63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32"/>
      <c r="AE39" s="83" t="str">
        <f>CONCATENATE(IF(AND(IFERROR((AB40*100)/AB39,0)&gt;10,AB40&gt;5)," * This facility has a high positivity rate for Index Testing. Kindly confirm if this is the true reflection"&amp;CHAR(10),""),"")</f>
        <v/>
      </c>
      <c r="AF39" s="629"/>
      <c r="AG39" s="480">
        <v>38</v>
      </c>
    </row>
    <row r="40" spans="1:34" ht="32.15" thickBot="1" x14ac:dyDescent="0.9">
      <c r="A40" s="557"/>
      <c r="B40" s="285" t="s">
        <v>153</v>
      </c>
      <c r="C40" s="138" t="s">
        <v>170</v>
      </c>
      <c r="D40" s="133"/>
      <c r="E40" s="42"/>
      <c r="F40" s="205"/>
      <c r="G40" s="205"/>
      <c r="H40" s="205"/>
      <c r="I40" s="205"/>
      <c r="J40" s="205"/>
      <c r="K40" s="205"/>
      <c r="L40" s="205"/>
      <c r="M40" s="205"/>
      <c r="N40" s="205"/>
      <c r="O40" s="205"/>
      <c r="P40" s="205"/>
      <c r="Q40" s="205"/>
      <c r="R40" s="205"/>
      <c r="S40" s="205"/>
      <c r="T40" s="205"/>
      <c r="U40" s="205"/>
      <c r="V40" s="205"/>
      <c r="W40" s="205"/>
      <c r="X40" s="205"/>
      <c r="Y40" s="205"/>
      <c r="Z40" s="205"/>
      <c r="AA40" s="205"/>
      <c r="AB40" s="46">
        <f t="shared" si="6"/>
        <v>0</v>
      </c>
      <c r="AC40" s="634"/>
      <c r="AD40" s="632"/>
      <c r="AE40" s="83"/>
      <c r="AF40" s="629"/>
      <c r="AG40" s="480">
        <v>39</v>
      </c>
    </row>
    <row r="41" spans="1:34" x14ac:dyDescent="0.85">
      <c r="A41" s="555" t="s">
        <v>17</v>
      </c>
      <c r="B41" s="284" t="s">
        <v>161</v>
      </c>
      <c r="C41" s="134" t="s">
        <v>349</v>
      </c>
      <c r="D41" s="139"/>
      <c r="E41" s="43"/>
      <c r="F41" s="35"/>
      <c r="G41" s="35"/>
      <c r="H41" s="35"/>
      <c r="I41" s="35"/>
      <c r="J41" s="35"/>
      <c r="K41" s="35"/>
      <c r="L41" s="35"/>
      <c r="M41" s="35"/>
      <c r="N41" s="35"/>
      <c r="O41" s="35"/>
      <c r="P41" s="35"/>
      <c r="Q41" s="35"/>
      <c r="R41" s="35"/>
      <c r="S41" s="35"/>
      <c r="T41" s="35"/>
      <c r="U41" s="35"/>
      <c r="V41" s="35"/>
      <c r="W41" s="35"/>
      <c r="X41" s="35"/>
      <c r="Y41" s="35"/>
      <c r="Z41" s="35"/>
      <c r="AA41" s="35"/>
      <c r="AB41" s="36">
        <f t="shared" si="6"/>
        <v>0</v>
      </c>
      <c r="AC41" s="63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32"/>
      <c r="AE41" s="83" t="str">
        <f>CONCATENATE(IF(AND(IFERROR((AB42*100)/AB41,0)&gt;10,AB42&gt;5)," * This facility has a high positivity rate for Index Testing. Kindly confirm if this is the true reflection"&amp;CHAR(10),""),"")</f>
        <v/>
      </c>
      <c r="AF41" s="629"/>
      <c r="AG41" s="480">
        <v>40</v>
      </c>
    </row>
    <row r="42" spans="1:34" ht="32.15" thickBot="1" x14ac:dyDescent="0.9">
      <c r="A42" s="557"/>
      <c r="B42" s="285" t="s">
        <v>153</v>
      </c>
      <c r="C42" s="138" t="s">
        <v>171</v>
      </c>
      <c r="D42" s="133"/>
      <c r="E42" s="42"/>
      <c r="F42" s="205"/>
      <c r="G42" s="205"/>
      <c r="H42" s="205"/>
      <c r="I42" s="205"/>
      <c r="J42" s="205"/>
      <c r="K42" s="205"/>
      <c r="L42" s="205"/>
      <c r="M42" s="205"/>
      <c r="N42" s="205"/>
      <c r="O42" s="205"/>
      <c r="P42" s="205"/>
      <c r="Q42" s="205"/>
      <c r="R42" s="205"/>
      <c r="S42" s="205"/>
      <c r="T42" s="205"/>
      <c r="U42" s="205"/>
      <c r="V42" s="205"/>
      <c r="W42" s="205"/>
      <c r="X42" s="205"/>
      <c r="Y42" s="205"/>
      <c r="Z42" s="205"/>
      <c r="AA42" s="205"/>
      <c r="AB42" s="46">
        <f t="shared" si="6"/>
        <v>0</v>
      </c>
      <c r="AC42" s="634"/>
      <c r="AD42" s="632"/>
      <c r="AE42" s="83"/>
      <c r="AF42" s="629"/>
      <c r="AG42" s="480">
        <v>41</v>
      </c>
    </row>
    <row r="43" spans="1:34" x14ac:dyDescent="0.85">
      <c r="A43" s="555" t="s">
        <v>22</v>
      </c>
      <c r="B43" s="284" t="s">
        <v>161</v>
      </c>
      <c r="C43" s="134" t="s">
        <v>172</v>
      </c>
      <c r="D43" s="141"/>
      <c r="E43" s="34"/>
      <c r="F43" s="35"/>
      <c r="G43" s="35"/>
      <c r="H43" s="35"/>
      <c r="I43" s="35"/>
      <c r="J43" s="35"/>
      <c r="K43" s="35"/>
      <c r="L43" s="35"/>
      <c r="M43" s="35"/>
      <c r="N43" s="35"/>
      <c r="O43" s="35"/>
      <c r="P43" s="35"/>
      <c r="Q43" s="35"/>
      <c r="R43" s="35"/>
      <c r="S43" s="35"/>
      <c r="T43" s="35"/>
      <c r="U43" s="35"/>
      <c r="V43" s="35"/>
      <c r="W43" s="35"/>
      <c r="X43" s="35"/>
      <c r="Y43" s="35"/>
      <c r="Z43" s="35"/>
      <c r="AA43" s="35"/>
      <c r="AB43" s="36">
        <f t="shared" si="6"/>
        <v>0</v>
      </c>
      <c r="AC43" s="63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32"/>
      <c r="AE43" s="83" t="str">
        <f>CONCATENATE(IF(AND(IFERROR((AB44*100)/AB43,0)&gt;10,AB44&gt;5)," * This facility has a high positivity rate for Index Testing. Kindly confirm if this is the true reflection"&amp;CHAR(10),""),"")</f>
        <v/>
      </c>
      <c r="AF43" s="629"/>
      <c r="AG43" s="480">
        <v>42</v>
      </c>
    </row>
    <row r="44" spans="1:34" ht="32.15" thickBot="1" x14ac:dyDescent="0.9">
      <c r="A44" s="557"/>
      <c r="B44" s="285" t="s">
        <v>153</v>
      </c>
      <c r="C44" s="138" t="s">
        <v>173</v>
      </c>
      <c r="D44" s="143"/>
      <c r="E44" s="38"/>
      <c r="F44" s="205"/>
      <c r="G44" s="205"/>
      <c r="H44" s="205"/>
      <c r="I44" s="205"/>
      <c r="J44" s="205"/>
      <c r="K44" s="205"/>
      <c r="L44" s="205"/>
      <c r="M44" s="205"/>
      <c r="N44" s="205"/>
      <c r="O44" s="205"/>
      <c r="P44" s="205"/>
      <c r="Q44" s="205"/>
      <c r="R44" s="205"/>
      <c r="S44" s="205"/>
      <c r="T44" s="205"/>
      <c r="U44" s="205"/>
      <c r="V44" s="205"/>
      <c r="W44" s="205"/>
      <c r="X44" s="205"/>
      <c r="Y44" s="205"/>
      <c r="Z44" s="205"/>
      <c r="AA44" s="205"/>
      <c r="AB44" s="46">
        <f t="shared" si="6"/>
        <v>0</v>
      </c>
      <c r="AC44" s="634"/>
      <c r="AD44" s="632"/>
      <c r="AE44" s="83"/>
      <c r="AF44" s="629"/>
      <c r="AG44" s="480">
        <v>43</v>
      </c>
    </row>
    <row r="45" spans="1:34" x14ac:dyDescent="0.85">
      <c r="A45" s="555" t="s">
        <v>18</v>
      </c>
      <c r="B45" s="284" t="s">
        <v>161</v>
      </c>
      <c r="C45" s="134" t="s">
        <v>174</v>
      </c>
      <c r="D45" s="139"/>
      <c r="E45" s="43"/>
      <c r="F45" s="34"/>
      <c r="G45" s="34"/>
      <c r="H45" s="34"/>
      <c r="I45" s="34"/>
      <c r="J45" s="34"/>
      <c r="K45" s="34"/>
      <c r="L45" s="35"/>
      <c r="M45" s="35"/>
      <c r="N45" s="35"/>
      <c r="O45" s="35"/>
      <c r="P45" s="35"/>
      <c r="Q45" s="35"/>
      <c r="R45" s="35"/>
      <c r="S45" s="35"/>
      <c r="T45" s="35"/>
      <c r="U45" s="35"/>
      <c r="V45" s="35"/>
      <c r="W45" s="35"/>
      <c r="X45" s="35"/>
      <c r="Y45" s="35"/>
      <c r="Z45" s="35"/>
      <c r="AA45" s="35"/>
      <c r="AB45" s="36">
        <f t="shared" si="6"/>
        <v>0</v>
      </c>
      <c r="AC45" s="63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32"/>
      <c r="AE45" s="83" t="str">
        <f>CONCATENATE(IF(AND(IFERROR((AB46*100)/AB45,0)&gt;10,AB46&gt;5)," * This facility has a high positivity rate for Index Testing. Kindly confirm if this is the true reflection"&amp;CHAR(10),""),"")</f>
        <v/>
      </c>
      <c r="AF45" s="629"/>
      <c r="AG45" s="480">
        <v>44</v>
      </c>
    </row>
    <row r="46" spans="1:34" ht="32.15" thickBot="1" x14ac:dyDescent="0.9">
      <c r="A46" s="557"/>
      <c r="B46" s="285" t="s">
        <v>153</v>
      </c>
      <c r="C46" s="138" t="s">
        <v>175</v>
      </c>
      <c r="D46" s="133"/>
      <c r="E46" s="42"/>
      <c r="F46" s="38"/>
      <c r="G46" s="38"/>
      <c r="H46" s="38"/>
      <c r="I46" s="38"/>
      <c r="J46" s="38"/>
      <c r="K46" s="38"/>
      <c r="L46" s="45"/>
      <c r="M46" s="45"/>
      <c r="N46" s="45"/>
      <c r="O46" s="45"/>
      <c r="P46" s="45"/>
      <c r="Q46" s="45"/>
      <c r="R46" s="45"/>
      <c r="S46" s="45"/>
      <c r="T46" s="45"/>
      <c r="U46" s="45"/>
      <c r="V46" s="45"/>
      <c r="W46" s="45"/>
      <c r="X46" s="45"/>
      <c r="Y46" s="45"/>
      <c r="Z46" s="45"/>
      <c r="AA46" s="45"/>
      <c r="AB46" s="46">
        <f t="shared" si="6"/>
        <v>0</v>
      </c>
      <c r="AC46" s="634"/>
      <c r="AD46" s="632"/>
      <c r="AE46" s="83"/>
      <c r="AF46" s="629"/>
      <c r="AG46" s="480">
        <v>45</v>
      </c>
    </row>
    <row r="47" spans="1:34" x14ac:dyDescent="0.85">
      <c r="A47" s="555" t="s">
        <v>113</v>
      </c>
      <c r="B47" s="284" t="s">
        <v>161</v>
      </c>
      <c r="C47" s="134" t="s">
        <v>350</v>
      </c>
      <c r="D47" s="139"/>
      <c r="E47" s="43"/>
      <c r="F47" s="34"/>
      <c r="G47" s="34"/>
      <c r="H47" s="34"/>
      <c r="I47" s="34"/>
      <c r="J47" s="34"/>
      <c r="K47" s="34"/>
      <c r="L47" s="35"/>
      <c r="M47" s="34"/>
      <c r="N47" s="35"/>
      <c r="O47" s="34"/>
      <c r="P47" s="35"/>
      <c r="Q47" s="34"/>
      <c r="R47" s="35"/>
      <c r="S47" s="34"/>
      <c r="T47" s="35"/>
      <c r="U47" s="34"/>
      <c r="V47" s="35"/>
      <c r="W47" s="34"/>
      <c r="X47" s="35"/>
      <c r="Y47" s="34"/>
      <c r="Z47" s="35"/>
      <c r="AA47" s="34"/>
      <c r="AB47" s="36">
        <f t="shared" si="6"/>
        <v>0</v>
      </c>
      <c r="AC47" s="63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32"/>
      <c r="AE47" s="83" t="str">
        <f>CONCATENATE(IF(AND(IFERROR((AB48*100)/AB47,0)&gt;10,AB48&gt;5)," * This facility has a high positivity rate for Index Testing. Kindly confirm if this is the true reflection"&amp;CHAR(10),""),"")</f>
        <v/>
      </c>
      <c r="AF47" s="629"/>
      <c r="AG47" s="480">
        <v>46</v>
      </c>
    </row>
    <row r="48" spans="1:34" ht="32.15" thickBot="1" x14ac:dyDescent="0.9">
      <c r="A48" s="557"/>
      <c r="B48" s="285" t="s">
        <v>153</v>
      </c>
      <c r="C48" s="138" t="s">
        <v>176</v>
      </c>
      <c r="D48" s="133"/>
      <c r="E48" s="42"/>
      <c r="F48" s="38"/>
      <c r="G48" s="38"/>
      <c r="H48" s="38"/>
      <c r="I48" s="38"/>
      <c r="J48" s="38"/>
      <c r="K48" s="38"/>
      <c r="L48" s="205"/>
      <c r="M48" s="38"/>
      <c r="N48" s="205"/>
      <c r="O48" s="38"/>
      <c r="P48" s="205"/>
      <c r="Q48" s="38"/>
      <c r="R48" s="205"/>
      <c r="S48" s="38"/>
      <c r="T48" s="205"/>
      <c r="U48" s="38"/>
      <c r="V48" s="205"/>
      <c r="W48" s="38"/>
      <c r="X48" s="205"/>
      <c r="Y48" s="38"/>
      <c r="Z48" s="205"/>
      <c r="AA48" s="38"/>
      <c r="AB48" s="40">
        <f t="shared" si="6"/>
        <v>0</v>
      </c>
      <c r="AC48" s="634"/>
      <c r="AD48" s="632"/>
      <c r="AE48" s="83"/>
      <c r="AF48" s="629"/>
      <c r="AG48" s="480">
        <v>47</v>
      </c>
    </row>
    <row r="49" spans="1:34" s="3" customFormat="1" ht="31.75" x14ac:dyDescent="0.95">
      <c r="A49" s="649" t="s">
        <v>132</v>
      </c>
      <c r="B49" s="288" t="s">
        <v>648</v>
      </c>
      <c r="C49" s="134" t="s">
        <v>351</v>
      </c>
      <c r="D49" s="263">
        <f t="shared" ref="D49:AA49" si="7">SUM(D26+D31+D33+D35+D37+D39+D41+D43+D45+D47)</f>
        <v>0</v>
      </c>
      <c r="E49" s="263">
        <f t="shared" si="7"/>
        <v>0</v>
      </c>
      <c r="F49" s="263">
        <f t="shared" si="7"/>
        <v>0</v>
      </c>
      <c r="G49" s="263">
        <f t="shared" si="7"/>
        <v>0</v>
      </c>
      <c r="H49" s="263">
        <f t="shared" si="7"/>
        <v>0</v>
      </c>
      <c r="I49" s="263">
        <f t="shared" si="7"/>
        <v>0</v>
      </c>
      <c r="J49" s="263">
        <f t="shared" si="7"/>
        <v>0</v>
      </c>
      <c r="K49" s="263">
        <f t="shared" si="7"/>
        <v>0</v>
      </c>
      <c r="L49" s="263">
        <f t="shared" si="7"/>
        <v>0</v>
      </c>
      <c r="M49" s="263">
        <f t="shared" si="7"/>
        <v>0</v>
      </c>
      <c r="N49" s="263">
        <f t="shared" si="7"/>
        <v>0</v>
      </c>
      <c r="O49" s="263">
        <f t="shared" si="7"/>
        <v>0</v>
      </c>
      <c r="P49" s="263">
        <f t="shared" si="7"/>
        <v>0</v>
      </c>
      <c r="Q49" s="263">
        <f t="shared" si="7"/>
        <v>0</v>
      </c>
      <c r="R49" s="263">
        <f t="shared" si="7"/>
        <v>0</v>
      </c>
      <c r="S49" s="263">
        <f t="shared" si="7"/>
        <v>0</v>
      </c>
      <c r="T49" s="263">
        <f t="shared" si="7"/>
        <v>0</v>
      </c>
      <c r="U49" s="263">
        <f t="shared" si="7"/>
        <v>0</v>
      </c>
      <c r="V49" s="263">
        <f t="shared" si="7"/>
        <v>0</v>
      </c>
      <c r="W49" s="263">
        <f t="shared" si="7"/>
        <v>0</v>
      </c>
      <c r="X49" s="263">
        <f t="shared" si="7"/>
        <v>0</v>
      </c>
      <c r="Y49" s="263">
        <f t="shared" si="7"/>
        <v>0</v>
      </c>
      <c r="Z49" s="263">
        <f t="shared" si="7"/>
        <v>0</v>
      </c>
      <c r="AA49" s="263">
        <f t="shared" si="7"/>
        <v>0</v>
      </c>
      <c r="AB49" s="115">
        <f t="shared" si="6"/>
        <v>0</v>
      </c>
      <c r="AC49" s="82"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32"/>
      <c r="AE49" s="93" t="str">
        <f>CONCATENATE(IF(AB243&gt;SUM(AB27,AB32,AB34,AB36,AB38,AB40,AB42,AB44,AB46,AB48,AB195,AB199,AB203,AB207)," * This site has more started on ART than positives"&amp;CHAR(10),""),"")</f>
        <v/>
      </c>
      <c r="AF49" s="629"/>
      <c r="AG49" s="480">
        <v>48</v>
      </c>
      <c r="AH49" s="333"/>
    </row>
    <row r="50" spans="1:34" s="114" customFormat="1" ht="35.15" thickBot="1" x14ac:dyDescent="1">
      <c r="A50" s="650"/>
      <c r="B50" s="485" t="s">
        <v>657</v>
      </c>
      <c r="C50" s="145" t="s">
        <v>352</v>
      </c>
      <c r="D50" s="144">
        <f>SUM(D27+D32+D34+D36+D38+D40+D42+D44+D46+D48)</f>
        <v>0</v>
      </c>
      <c r="E50" s="110">
        <f t="shared" ref="E50:Z50" si="8">SUM(E27+E32+E34+E36+E38+E40+E42+E44+E46+E48)</f>
        <v>0</v>
      </c>
      <c r="F50" s="111">
        <f t="shared" si="8"/>
        <v>0</v>
      </c>
      <c r="G50" s="111">
        <f t="shared" si="8"/>
        <v>0</v>
      </c>
      <c r="H50" s="111">
        <f t="shared" si="8"/>
        <v>0</v>
      </c>
      <c r="I50" s="111">
        <f t="shared" si="8"/>
        <v>0</v>
      </c>
      <c r="J50" s="111">
        <f t="shared" si="8"/>
        <v>0</v>
      </c>
      <c r="K50" s="111">
        <f t="shared" si="8"/>
        <v>0</v>
      </c>
      <c r="L50" s="111">
        <f t="shared" si="8"/>
        <v>0</v>
      </c>
      <c r="M50" s="111">
        <f t="shared" si="8"/>
        <v>0</v>
      </c>
      <c r="N50" s="111">
        <f t="shared" si="8"/>
        <v>0</v>
      </c>
      <c r="O50" s="111">
        <f t="shared" si="8"/>
        <v>0</v>
      </c>
      <c r="P50" s="111">
        <f t="shared" si="8"/>
        <v>0</v>
      </c>
      <c r="Q50" s="111">
        <f t="shared" si="8"/>
        <v>0</v>
      </c>
      <c r="R50" s="111">
        <f t="shared" si="8"/>
        <v>0</v>
      </c>
      <c r="S50" s="111">
        <f t="shared" si="8"/>
        <v>0</v>
      </c>
      <c r="T50" s="111">
        <f t="shared" si="8"/>
        <v>0</v>
      </c>
      <c r="U50" s="111">
        <f t="shared" si="8"/>
        <v>0</v>
      </c>
      <c r="V50" s="111">
        <f t="shared" si="8"/>
        <v>0</v>
      </c>
      <c r="W50" s="111">
        <f t="shared" si="8"/>
        <v>0</v>
      </c>
      <c r="X50" s="111">
        <f t="shared" si="8"/>
        <v>0</v>
      </c>
      <c r="Y50" s="111">
        <f t="shared" si="8"/>
        <v>0</v>
      </c>
      <c r="Z50" s="111">
        <f t="shared" si="8"/>
        <v>0</v>
      </c>
      <c r="AA50" s="111">
        <f>SUM(AA27+AA32+AA34+AA36+AA38+AA40+AA42+AA44+AA46+AA48)</f>
        <v>0</v>
      </c>
      <c r="AB50" s="112">
        <f t="shared" si="6"/>
        <v>0</v>
      </c>
      <c r="AC50" s="224"/>
      <c r="AD50" s="633"/>
      <c r="AE50" s="113" t="str">
        <f>CONCATENATE(IF(AND(AB243=0,SUM(AB27,AB32,AB34,AB36,AB38,AB40,AB42,AB44,AB46,AB48,AB195,AB199,AB203,AB207)&gt;0)," * This site has positives but none was started on ART"&amp;CHAR(10),""),"")</f>
        <v/>
      </c>
      <c r="AF50" s="630"/>
      <c r="AG50" s="480">
        <v>49</v>
      </c>
      <c r="AH50" s="338"/>
    </row>
    <row r="51" spans="1:34" ht="35.15" thickBot="1" x14ac:dyDescent="0.9">
      <c r="A51" s="568" t="s">
        <v>112</v>
      </c>
      <c r="B51" s="569"/>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69"/>
      <c r="AD51" s="569"/>
      <c r="AE51" s="569"/>
      <c r="AF51" s="570"/>
      <c r="AG51" s="480">
        <v>50</v>
      </c>
    </row>
    <row r="52" spans="1:34" ht="26.25" customHeight="1" x14ac:dyDescent="0.85">
      <c r="A52" s="578" t="s">
        <v>37</v>
      </c>
      <c r="B52" s="601" t="s">
        <v>347</v>
      </c>
      <c r="C52" s="655" t="s">
        <v>328</v>
      </c>
      <c r="D52" s="636"/>
      <c r="E52" s="636"/>
      <c r="F52" s="636"/>
      <c r="G52" s="636"/>
      <c r="H52" s="636"/>
      <c r="I52" s="636"/>
      <c r="J52" s="635" t="s">
        <v>3</v>
      </c>
      <c r="K52" s="635"/>
      <c r="L52" s="635" t="s">
        <v>4</v>
      </c>
      <c r="M52" s="635"/>
      <c r="N52" s="635" t="s">
        <v>5</v>
      </c>
      <c r="O52" s="635"/>
      <c r="P52" s="635" t="s">
        <v>6</v>
      </c>
      <c r="Q52" s="635"/>
      <c r="R52" s="635" t="s">
        <v>7</v>
      </c>
      <c r="S52" s="635"/>
      <c r="T52" s="635" t="s">
        <v>8</v>
      </c>
      <c r="U52" s="635"/>
      <c r="V52" s="635" t="s">
        <v>23</v>
      </c>
      <c r="W52" s="635"/>
      <c r="X52" s="635" t="s">
        <v>24</v>
      </c>
      <c r="Y52" s="635"/>
      <c r="Z52" s="635" t="s">
        <v>9</v>
      </c>
      <c r="AA52" s="635"/>
      <c r="AB52" s="584" t="s">
        <v>19</v>
      </c>
      <c r="AC52" s="624" t="s">
        <v>381</v>
      </c>
      <c r="AD52" s="575" t="s">
        <v>387</v>
      </c>
      <c r="AE52" s="571" t="s">
        <v>388</v>
      </c>
      <c r="AF52" s="566" t="s">
        <v>388</v>
      </c>
      <c r="AG52" s="480">
        <v>51</v>
      </c>
    </row>
    <row r="53" spans="1:34" ht="27" customHeight="1" thickBot="1" x14ac:dyDescent="0.9">
      <c r="A53" s="579"/>
      <c r="B53" s="602"/>
      <c r="C53" s="656"/>
      <c r="D53" s="637"/>
      <c r="E53" s="637"/>
      <c r="F53" s="637"/>
      <c r="G53" s="637"/>
      <c r="H53" s="637"/>
      <c r="I53" s="637"/>
      <c r="J53" s="30" t="s">
        <v>10</v>
      </c>
      <c r="K53" s="30" t="s">
        <v>11</v>
      </c>
      <c r="L53" s="30" t="s">
        <v>10</v>
      </c>
      <c r="M53" s="30" t="s">
        <v>11</v>
      </c>
      <c r="N53" s="30" t="s">
        <v>10</v>
      </c>
      <c r="O53" s="30" t="s">
        <v>11</v>
      </c>
      <c r="P53" s="30" t="s">
        <v>10</v>
      </c>
      <c r="Q53" s="30" t="s">
        <v>11</v>
      </c>
      <c r="R53" s="30" t="s">
        <v>10</v>
      </c>
      <c r="S53" s="30" t="s">
        <v>11</v>
      </c>
      <c r="T53" s="30" t="s">
        <v>10</v>
      </c>
      <c r="U53" s="30" t="s">
        <v>11</v>
      </c>
      <c r="V53" s="30" t="s">
        <v>10</v>
      </c>
      <c r="W53" s="30" t="s">
        <v>11</v>
      </c>
      <c r="X53" s="30" t="s">
        <v>10</v>
      </c>
      <c r="Y53" s="30" t="s">
        <v>11</v>
      </c>
      <c r="Z53" s="30" t="s">
        <v>10</v>
      </c>
      <c r="AA53" s="30" t="s">
        <v>11</v>
      </c>
      <c r="AB53" s="585"/>
      <c r="AC53" s="625"/>
      <c r="AD53" s="574"/>
      <c r="AE53" s="572"/>
      <c r="AF53" s="567"/>
      <c r="AG53" s="480">
        <v>52</v>
      </c>
    </row>
    <row r="54" spans="1:34" x14ac:dyDescent="0.85">
      <c r="A54" s="555" t="s">
        <v>20</v>
      </c>
      <c r="B54" s="284" t="s">
        <v>658</v>
      </c>
      <c r="C54" s="134" t="s">
        <v>177</v>
      </c>
      <c r="D54" s="141"/>
      <c r="E54" s="34"/>
      <c r="F54" s="34"/>
      <c r="G54" s="34"/>
      <c r="H54" s="34"/>
      <c r="I54" s="34"/>
      <c r="J54" s="35"/>
      <c r="K54" s="35"/>
      <c r="L54" s="35"/>
      <c r="M54" s="35"/>
      <c r="N54" s="35"/>
      <c r="O54" s="35"/>
      <c r="P54" s="35"/>
      <c r="Q54" s="35"/>
      <c r="R54" s="35"/>
      <c r="S54" s="35"/>
      <c r="T54" s="35"/>
      <c r="U54" s="35"/>
      <c r="V54" s="35"/>
      <c r="W54" s="35"/>
      <c r="X54" s="35"/>
      <c r="Y54" s="35"/>
      <c r="Z54" s="35"/>
      <c r="AA54" s="35"/>
      <c r="AB54" s="36">
        <f>SUM(D54:AA54)</f>
        <v>0</v>
      </c>
      <c r="AC54" s="85"/>
      <c r="AD54" s="631" t="str">
        <f>CONCATENATE(AC54,AC55,AC56,AC57,AC58)</f>
        <v/>
      </c>
      <c r="AE54" s="83"/>
      <c r="AF54" s="643" t="str">
        <f>CONCATENATE(AE54,AE55,AE56,AE57,AE58)</f>
        <v/>
      </c>
      <c r="AG54" s="480">
        <v>53</v>
      </c>
    </row>
    <row r="55" spans="1:34" x14ac:dyDescent="0.85">
      <c r="A55" s="556"/>
      <c r="B55" s="276" t="s">
        <v>659</v>
      </c>
      <c r="C55" s="136" t="s">
        <v>179</v>
      </c>
      <c r="D55" s="127"/>
      <c r="E55" s="18"/>
      <c r="F55" s="18"/>
      <c r="G55" s="18"/>
      <c r="H55" s="18"/>
      <c r="I55" s="18"/>
      <c r="J55" s="19"/>
      <c r="K55" s="19"/>
      <c r="L55" s="19"/>
      <c r="M55" s="19"/>
      <c r="N55" s="19"/>
      <c r="O55" s="19"/>
      <c r="P55" s="19"/>
      <c r="Q55" s="19"/>
      <c r="R55" s="19"/>
      <c r="S55" s="19"/>
      <c r="T55" s="19"/>
      <c r="U55" s="19"/>
      <c r="V55" s="19"/>
      <c r="W55" s="19"/>
      <c r="X55" s="19"/>
      <c r="Y55" s="19"/>
      <c r="Z55" s="19"/>
      <c r="AA55" s="19"/>
      <c r="AB55" s="37">
        <f t="shared" ref="AB55:AB57" si="9">SUM(D55:AA55)</f>
        <v>0</v>
      </c>
      <c r="AC55" s="85"/>
      <c r="AD55" s="632"/>
      <c r="AE55" s="83"/>
      <c r="AF55" s="629"/>
      <c r="AG55" s="480">
        <v>54</v>
      </c>
    </row>
    <row r="56" spans="1:34" x14ac:dyDescent="0.85">
      <c r="A56" s="556"/>
      <c r="B56" s="276" t="s">
        <v>660</v>
      </c>
      <c r="C56" s="136" t="s">
        <v>180</v>
      </c>
      <c r="D56" s="127"/>
      <c r="E56" s="18"/>
      <c r="F56" s="18"/>
      <c r="G56" s="18"/>
      <c r="H56" s="18"/>
      <c r="I56" s="18"/>
      <c r="J56" s="19"/>
      <c r="K56" s="19"/>
      <c r="L56" s="19"/>
      <c r="M56" s="19"/>
      <c r="N56" s="19"/>
      <c r="O56" s="19"/>
      <c r="P56" s="19"/>
      <c r="Q56" s="19"/>
      <c r="R56" s="19"/>
      <c r="S56" s="19"/>
      <c r="T56" s="19"/>
      <c r="U56" s="19"/>
      <c r="V56" s="19"/>
      <c r="W56" s="19"/>
      <c r="X56" s="19"/>
      <c r="Y56" s="19"/>
      <c r="Z56" s="19"/>
      <c r="AA56" s="19"/>
      <c r="AB56" s="37">
        <f t="shared" si="9"/>
        <v>0</v>
      </c>
      <c r="AC56" s="85"/>
      <c r="AD56" s="632"/>
      <c r="AE56" s="83"/>
      <c r="AF56" s="629"/>
      <c r="AG56" s="480">
        <v>55</v>
      </c>
    </row>
    <row r="57" spans="1:34" x14ac:dyDescent="0.85">
      <c r="A57" s="556"/>
      <c r="B57" s="276" t="s">
        <v>661</v>
      </c>
      <c r="C57" s="136" t="s">
        <v>181</v>
      </c>
      <c r="D57" s="127"/>
      <c r="E57" s="18"/>
      <c r="F57" s="18"/>
      <c r="G57" s="18"/>
      <c r="H57" s="18"/>
      <c r="I57" s="18"/>
      <c r="J57" s="19"/>
      <c r="K57" s="19"/>
      <c r="L57" s="19"/>
      <c r="M57" s="19"/>
      <c r="N57" s="19"/>
      <c r="O57" s="19"/>
      <c r="P57" s="19"/>
      <c r="Q57" s="19"/>
      <c r="R57" s="19"/>
      <c r="S57" s="19"/>
      <c r="T57" s="19"/>
      <c r="U57" s="19"/>
      <c r="V57" s="19"/>
      <c r="W57" s="19"/>
      <c r="X57" s="19"/>
      <c r="Y57" s="19"/>
      <c r="Z57" s="19"/>
      <c r="AA57" s="19"/>
      <c r="AB57" s="37">
        <f t="shared" si="9"/>
        <v>0</v>
      </c>
      <c r="AC57" s="85"/>
      <c r="AD57" s="632"/>
      <c r="AE57" s="83"/>
      <c r="AF57" s="629"/>
      <c r="AG57" s="480">
        <v>56</v>
      </c>
    </row>
    <row r="58" spans="1:34" ht="31.3" thickBot="1" x14ac:dyDescent="0.9">
      <c r="A58" s="660"/>
      <c r="B58" s="277" t="s">
        <v>662</v>
      </c>
      <c r="C58" s="138" t="s">
        <v>182</v>
      </c>
      <c r="D58" s="128"/>
      <c r="E58" s="50"/>
      <c r="F58" s="50"/>
      <c r="G58" s="50"/>
      <c r="H58" s="50"/>
      <c r="I58" s="50"/>
      <c r="J58" s="51"/>
      <c r="K58" s="51"/>
      <c r="L58" s="51"/>
      <c r="M58" s="51"/>
      <c r="N58" s="51"/>
      <c r="O58" s="51"/>
      <c r="P58" s="51"/>
      <c r="Q58" s="51"/>
      <c r="R58" s="51"/>
      <c r="S58" s="51"/>
      <c r="T58" s="51"/>
      <c r="U58" s="51"/>
      <c r="V58" s="51"/>
      <c r="W58" s="51"/>
      <c r="X58" s="51"/>
      <c r="Y58" s="51"/>
      <c r="Z58" s="51"/>
      <c r="AA58" s="51"/>
      <c r="AB58" s="91">
        <f>SUM(D58:AA58)</f>
        <v>0</v>
      </c>
      <c r="AC58" s="194"/>
      <c r="AD58" s="633"/>
      <c r="AE58" s="97"/>
      <c r="AF58" s="630"/>
      <c r="AG58" s="480">
        <v>57</v>
      </c>
    </row>
    <row r="59" spans="1:34" ht="35.15" thickBot="1" x14ac:dyDescent="0.9">
      <c r="A59" s="568" t="s">
        <v>125</v>
      </c>
      <c r="B59" s="569"/>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69"/>
      <c r="AD59" s="569"/>
      <c r="AE59" s="569"/>
      <c r="AF59" s="570"/>
      <c r="AG59" s="480">
        <v>58</v>
      </c>
    </row>
    <row r="60" spans="1:34" ht="26.25" customHeight="1" x14ac:dyDescent="0.85">
      <c r="A60" s="578" t="s">
        <v>37</v>
      </c>
      <c r="B60" s="601" t="s">
        <v>347</v>
      </c>
      <c r="C60" s="655" t="s">
        <v>328</v>
      </c>
      <c r="D60" s="636"/>
      <c r="E60" s="636"/>
      <c r="F60" s="636"/>
      <c r="G60" s="636"/>
      <c r="H60" s="636"/>
      <c r="I60" s="636"/>
      <c r="J60" s="592" t="s">
        <v>3</v>
      </c>
      <c r="K60" s="592"/>
      <c r="L60" s="592" t="s">
        <v>4</v>
      </c>
      <c r="M60" s="592"/>
      <c r="N60" s="592" t="s">
        <v>5</v>
      </c>
      <c r="O60" s="592"/>
      <c r="P60" s="592" t="s">
        <v>6</v>
      </c>
      <c r="Q60" s="592"/>
      <c r="R60" s="592" t="s">
        <v>7</v>
      </c>
      <c r="S60" s="592"/>
      <c r="T60" s="592" t="s">
        <v>8</v>
      </c>
      <c r="U60" s="592"/>
      <c r="V60" s="592" t="s">
        <v>23</v>
      </c>
      <c r="W60" s="592"/>
      <c r="X60" s="592" t="s">
        <v>24</v>
      </c>
      <c r="Y60" s="592"/>
      <c r="Z60" s="592" t="s">
        <v>9</v>
      </c>
      <c r="AA60" s="592"/>
      <c r="AB60" s="638" t="s">
        <v>19</v>
      </c>
      <c r="AC60" s="626" t="s">
        <v>381</v>
      </c>
      <c r="AD60" s="573" t="s">
        <v>387</v>
      </c>
      <c r="AE60" s="572" t="s">
        <v>388</v>
      </c>
      <c r="AF60" s="619" t="s">
        <v>388</v>
      </c>
      <c r="AG60" s="480">
        <v>59</v>
      </c>
    </row>
    <row r="61" spans="1:34" ht="27" customHeight="1" thickBot="1" x14ac:dyDescent="0.9">
      <c r="A61" s="579"/>
      <c r="B61" s="602"/>
      <c r="C61" s="656"/>
      <c r="D61" s="637"/>
      <c r="E61" s="637"/>
      <c r="F61" s="637"/>
      <c r="G61" s="637"/>
      <c r="H61" s="637"/>
      <c r="I61" s="637"/>
      <c r="J61" s="81" t="s">
        <v>10</v>
      </c>
      <c r="K61" s="81" t="s">
        <v>11</v>
      </c>
      <c r="L61" s="81" t="s">
        <v>10</v>
      </c>
      <c r="M61" s="81" t="s">
        <v>11</v>
      </c>
      <c r="N61" s="81" t="s">
        <v>10</v>
      </c>
      <c r="O61" s="81" t="s">
        <v>11</v>
      </c>
      <c r="P61" s="81" t="s">
        <v>10</v>
      </c>
      <c r="Q61" s="81" t="s">
        <v>11</v>
      </c>
      <c r="R61" s="81" t="s">
        <v>10</v>
      </c>
      <c r="S61" s="81" t="s">
        <v>11</v>
      </c>
      <c r="T61" s="81" t="s">
        <v>10</v>
      </c>
      <c r="U61" s="81" t="s">
        <v>11</v>
      </c>
      <c r="V61" s="81" t="s">
        <v>10</v>
      </c>
      <c r="W61" s="81" t="s">
        <v>11</v>
      </c>
      <c r="X61" s="81" t="s">
        <v>10</v>
      </c>
      <c r="Y61" s="81" t="s">
        <v>11</v>
      </c>
      <c r="Z61" s="81" t="s">
        <v>10</v>
      </c>
      <c r="AA61" s="81" t="s">
        <v>11</v>
      </c>
      <c r="AB61" s="639"/>
      <c r="AC61" s="627"/>
      <c r="AD61" s="574"/>
      <c r="AE61" s="572"/>
      <c r="AF61" s="567"/>
      <c r="AG61" s="480">
        <v>60</v>
      </c>
    </row>
    <row r="62" spans="1:34" x14ac:dyDescent="0.85">
      <c r="A62" s="616" t="s">
        <v>591</v>
      </c>
      <c r="B62" s="275" t="s">
        <v>663</v>
      </c>
      <c r="C62" s="134" t="s">
        <v>187</v>
      </c>
      <c r="D62" s="126"/>
      <c r="E62" s="32"/>
      <c r="F62" s="32"/>
      <c r="G62" s="32"/>
      <c r="H62" s="32"/>
      <c r="I62" s="32"/>
      <c r="J62" s="33"/>
      <c r="K62" s="33"/>
      <c r="L62" s="33"/>
      <c r="M62" s="33"/>
      <c r="N62" s="33"/>
      <c r="O62" s="33"/>
      <c r="P62" s="33"/>
      <c r="Q62" s="33"/>
      <c r="R62" s="33"/>
      <c r="S62" s="33"/>
      <c r="T62" s="33"/>
      <c r="U62" s="33"/>
      <c r="V62" s="33"/>
      <c r="W62" s="33"/>
      <c r="X62" s="33"/>
      <c r="Y62" s="33"/>
      <c r="Z62" s="33"/>
      <c r="AA62" s="33"/>
      <c r="AB62" s="89">
        <f>SUM(D62:AA62)</f>
        <v>0</v>
      </c>
      <c r="AC62" s="100" t="str">
        <f>CONCATENATE(IF(D65&gt;D62," * Eligible for PrEP  for Age "&amp;D20&amp;" "&amp;D21&amp;" is more than Assessed for HIV risk"&amp;CHAR(10),""),IF(E65&gt;E62," * Eligible for PrEP  for Age "&amp;D20&amp;" "&amp;E21&amp;" is more than Assessed for HIV risk"&amp;CHAR(10),""),IF(F65&gt;F62," * Eligible for PrEP  for Age "&amp;F20&amp;" "&amp;F21&amp;" is more than Assessed for HIV risk"&amp;CHAR(10),""),IF(G65&gt;G62," * Eligible for PrEP  for Age "&amp;F20&amp;" "&amp;G21&amp;" is more than Assessed for HIV risk"&amp;CHAR(10),""),IF(H65&gt;H62," * Eligible for PrEP  for Age "&amp;H20&amp;" "&amp;H21&amp;" is more than Assessed for HIV risk"&amp;CHAR(10),""),IF(I65&gt;I62," * Eligible for PrEP  for Age "&amp;H20&amp;" "&amp;I21&amp;" is more than Assessed for HIV risk"&amp;CHAR(10),""),IF(J65&gt;J62," * Eligible for PrEP  for Age "&amp;J20&amp;" "&amp;J21&amp;" is more than Assessed for HIV risk"&amp;CHAR(10),""),IF(K65&gt;K62," * Eligible for PrEP  for Age "&amp;J20&amp;" "&amp;K21&amp;" is more than Assessed for HIV risk"&amp;CHAR(10),""),IF(L65&gt;L62," * Eligible for PrEP  for Age "&amp;L20&amp;" "&amp;L21&amp;" is more than Assessed for HIV risk"&amp;CHAR(10),""),IF(M65&gt;M62," * Eligible for PrEP  for Age "&amp;L20&amp;" "&amp;M21&amp;" is more than Assessed for HIV risk"&amp;CHAR(10),""),IF(N65&gt;N62," * Eligible for PrEP  for Age "&amp;N20&amp;" "&amp;N21&amp;" is more than Assessed for HIV risk"&amp;CHAR(10),""),IF(O65&gt;O62," * Eligible for PrEP  for Age "&amp;N20&amp;" "&amp;O21&amp;" is more than Assessed for HIV risk"&amp;CHAR(10),""),IF(P65&gt;P62," * Eligible for PrEP  for Age "&amp;P20&amp;" "&amp;P21&amp;" is more than Assessed for HIV risk"&amp;CHAR(10),""),IF(Q65&gt;Q62," * Eligible for PrEP  for Age "&amp;P20&amp;" "&amp;Q21&amp;" is more than Assessed for HIV risk"&amp;CHAR(10),""),IF(R65&gt;R62," * Eligible for PrEP  for Age "&amp;R20&amp;" "&amp;R21&amp;" is more than Assessed for HIV risk"&amp;CHAR(10),""),IF(S65&gt;S62," * Eligible for PrEP  for Age "&amp;R20&amp;" "&amp;S21&amp;" is more than Assessed for HIV risk"&amp;CHAR(10),""),IF(T65&gt;T62," * Eligible for PrEP  for Age "&amp;T20&amp;" "&amp;T21&amp;" is more than Assessed for HIV risk"&amp;CHAR(10),""),IF(U65&gt;U62," * Eligible for PrEP  for Age "&amp;T20&amp;" "&amp;U21&amp;" is more than Assessed for HIV risk"&amp;CHAR(10),""),IF(V65&gt;V62," * Eligible for PrEP  for Age "&amp;V20&amp;" "&amp;V21&amp;" is more than Assessed for HIV risk"&amp;CHAR(10),""),IF(W65&gt;W62," * Eligible for PrEP  for Age "&amp;V20&amp;" "&amp;W21&amp;" is more than Assessed for HIV risk"&amp;CHAR(10),""),IF(X65&gt;X62," * Eligible for PrEP  for Age "&amp;X20&amp;" "&amp;X21&amp;" is more than Assessed for HIV risk"&amp;CHAR(10),""),IF(Y65&gt;Y62," * Eligible for PrEP  for Age "&amp;X20&amp;" "&amp;Y21&amp;" is more than Assessed for HIV risk"&amp;CHAR(10),""),IF(Z65&gt;Z62," * Eligible for PrEP  for Age "&amp;Z20&amp;" "&amp;Z21&amp;" is more than Assessed for HIV risk"&amp;CHAR(10),""),IF(AA65&gt;AA62," * Eligible for PrEP  for Age "&amp;Z20&amp;" "&amp;AA21&amp;" is more than Assessed for HIV risk"&amp;CHAR(10),""))</f>
        <v/>
      </c>
      <c r="AD62" s="648" t="str">
        <f>CONCATENATE(AC62,AC63,AC64,AC65,AC66,AC67,AC68,AC69,AC70,AC71,AC72,AC73,AC74,AC75,AC76,AC77,AC78,AC79,AC80,AC81,AC82,AC83,AC84,AC86,AC87,AC88,AC89,AC90,AC91,AC92,AC93,AC94,AC95)</f>
        <v/>
      </c>
      <c r="AE62" s="99"/>
      <c r="AF62" s="628" t="str">
        <f>CONCATENATE(AE62,AE65,AE66,AE73,AE76,AE84,AE85,AE86,AE87,AE88,AE89,AE90,AE91,AE92,AE93,AE94,AE95)</f>
        <v/>
      </c>
      <c r="AG62" s="480">
        <v>61</v>
      </c>
    </row>
    <row r="63" spans="1:34" x14ac:dyDescent="0.85">
      <c r="A63" s="617"/>
      <c r="B63" s="276" t="s">
        <v>564</v>
      </c>
      <c r="C63" s="146" t="s">
        <v>565</v>
      </c>
      <c r="D63" s="127"/>
      <c r="E63" s="18"/>
      <c r="F63" s="18"/>
      <c r="G63" s="18"/>
      <c r="H63" s="18"/>
      <c r="I63" s="18"/>
      <c r="J63" s="24"/>
      <c r="K63" s="24"/>
      <c r="L63" s="24"/>
      <c r="M63" s="24"/>
      <c r="N63" s="24"/>
      <c r="O63" s="24"/>
      <c r="P63" s="24"/>
      <c r="Q63" s="24"/>
      <c r="R63" s="24"/>
      <c r="S63" s="24"/>
      <c r="T63" s="24"/>
      <c r="U63" s="24"/>
      <c r="V63" s="24"/>
      <c r="W63" s="24"/>
      <c r="X63" s="24"/>
      <c r="Y63" s="24"/>
      <c r="Z63" s="24"/>
      <c r="AA63" s="24"/>
      <c r="AB63" s="37">
        <f>SUM(J63:AA63)</f>
        <v>0</v>
      </c>
      <c r="AC63" s="82" t="str">
        <f>CONCATENATE(IF(D64&gt;D63," * screened for Prep initiation testing positive For age "&amp;$D$20&amp;" "&amp;$D$21&amp;" is more than HIV tested for PrEP initiation"&amp;CHAR(10),""),IF(E64&gt;E63," * screened for Prep initiation testing positive For age "&amp;$D$20&amp;" "&amp;$E$21&amp;" is more than HIV tested for PrEP initiation"&amp;CHAR(10),""),IF(F64&gt;F63," * screened for Prep initiation testing positive For age "&amp;$F$20&amp;" "&amp;$F$21&amp;" is more than HIV tested for PrEP initiation"&amp;CHAR(10),""),IF(G64&gt;G63," * screened for Prep initiation testing positive For age "&amp;$F$20&amp;" "&amp;$G$21&amp;" is more than HIV tested for PrEP initiation"&amp;CHAR(10),""),IF(H64&gt;H63," * screened for Prep initiation testing positive For age "&amp;$H$20&amp;" "&amp;$H$21&amp;" is more than HIV tested for PrEP initiation"&amp;CHAR(10),""),IF(I64&gt;I63," * screened for Prep initiation testing positive For age "&amp;$H$20&amp;" "&amp;$I$21&amp;" is more than HIV tested for PrEP initiation"&amp;CHAR(10),""),IF(J64&gt;J63," * screened for Prep initiation testing positive For age "&amp;$J$20&amp;" "&amp;$J$21&amp;" is more than HIV tested for PrEP initiation"&amp;CHAR(10),""),IF(K64&gt;K63," * screened for Prep initiation testing positive For age "&amp;$J$20&amp;" "&amp;$K$21&amp;" is more than HIV tested for PrEP initiation"&amp;CHAR(10),""),IF(L64&gt;L63," * screened for Prep initiation testing positive For age "&amp;$L$20&amp;" "&amp;$L$21&amp;" is more than HIV tested for PrEP initiation"&amp;CHAR(10),""),IF(M64&gt;M63," * screened for Prep initiation testing positive For age "&amp;$L$20&amp;" "&amp;$M$21&amp;" is more than HIV tested for PrEP initiation"&amp;CHAR(10),""),IF(N64&gt;N63," * screened for Prep initiation testing positive For age "&amp;$N$20&amp;" "&amp;$N$21&amp;" is more than HIV tested for PrEP initiation"&amp;CHAR(10),""),IF(O64&gt;O63," * screened for Prep initiation testing positive For age "&amp;$N$20&amp;" "&amp;$O$21&amp;" is more than HIV tested for PrEP initiation"&amp;CHAR(10),""),IF(P64&gt;P63," * screened for Prep initiation testing positive For age "&amp;$P$20&amp;" "&amp;$P$21&amp;" is more than HIV tested for PrEP initiation"&amp;CHAR(10),""),IF(Q64&gt;Q63," * screened for Prep initiation testing positive For age "&amp;$P$20&amp;" "&amp;$Q$21&amp;" is more than HIV tested for PrEP initiation"&amp;CHAR(10),""),IF(R64&gt;R63," * screened for Prep initiation testing positive For age "&amp;$R$20&amp;" "&amp;$R$21&amp;" is more than HIV tested for PrEP initiation"&amp;CHAR(10),""),IF(S64&gt;S63," * screened for Prep initiation testing positive For age "&amp;$R$20&amp;" "&amp;$S$21&amp;" is more than HIV tested for PrEP initiation"&amp;CHAR(10),""),IF(T64&gt;T63," * screened for Prep initiation testing positive For age "&amp;$T$20&amp;" "&amp;$T$21&amp;" is more than HIV tested for PrEP initiation"&amp;CHAR(10),""),IF(U64&gt;U63," * screened for Prep initiation testing positive For age "&amp;$T$20&amp;" "&amp;$U$21&amp;" is more than HIV tested for PrEP initiation"&amp;CHAR(10),""),IF(V64&gt;V63," * screened for Prep initiation testing positive For age "&amp;$V$20&amp;" "&amp;$V$21&amp;" is more than HIV tested for PrEP initiation"&amp;CHAR(10),""),IF(W64&gt;W63," * screened for Prep initiation testing positive For age "&amp;$V$20&amp;" "&amp;$W$21&amp;" is more than HIV tested for PrEP initiation"&amp;CHAR(10),""),IF(X64&gt;X63," * screened for Prep initiation testing positive For age "&amp;$X$20&amp;" "&amp;$X$21&amp;" is more than HIV tested for PrEP initiation"&amp;CHAR(10),""),IF(Y64&gt;Y63," * screened for Prep initiation testing positive For age "&amp;$X$20&amp;" "&amp;$Y$21&amp;" is more than HIV tested for PrEP initiation"&amp;CHAR(10),""),IF(Z64&gt;Z63," * screened for Prep initiation testing positive For age "&amp;$Z$20&amp;" "&amp;$Z$21&amp;" is more than HIV tested for PrEP initiation"&amp;CHAR(10),""),IF(AA64&gt;AA63," * screened for Prep initiation testing positive For age "&amp;$Z$20&amp;" "&amp;$AA$21&amp;" is more than HIV tested for PrEP initiation"&amp;CHAR(10),""))</f>
        <v/>
      </c>
      <c r="AD63" s="632"/>
      <c r="AE63" s="83"/>
      <c r="AF63" s="629"/>
      <c r="AG63" s="480">
        <v>62</v>
      </c>
    </row>
    <row r="64" spans="1:34" x14ac:dyDescent="0.85">
      <c r="A64" s="617"/>
      <c r="B64" s="276" t="s">
        <v>664</v>
      </c>
      <c r="C64" s="146" t="s">
        <v>566</v>
      </c>
      <c r="D64" s="127"/>
      <c r="E64" s="18"/>
      <c r="F64" s="18"/>
      <c r="G64" s="18"/>
      <c r="H64" s="18"/>
      <c r="I64" s="18"/>
      <c r="J64" s="24"/>
      <c r="K64" s="24"/>
      <c r="L64" s="24"/>
      <c r="M64" s="24"/>
      <c r="N64" s="24"/>
      <c r="O64" s="24"/>
      <c r="P64" s="24"/>
      <c r="Q64" s="24"/>
      <c r="R64" s="24"/>
      <c r="S64" s="24"/>
      <c r="T64" s="24"/>
      <c r="U64" s="24"/>
      <c r="V64" s="24"/>
      <c r="W64" s="24"/>
      <c r="X64" s="24"/>
      <c r="Y64" s="24"/>
      <c r="Z64" s="24"/>
      <c r="AA64" s="24"/>
      <c r="AB64" s="37">
        <f>SUM(J64:AA64)</f>
        <v>0</v>
      </c>
      <c r="AC64" s="94"/>
      <c r="AD64" s="632"/>
      <c r="AE64" s="83"/>
      <c r="AF64" s="629"/>
      <c r="AG64" s="480">
        <v>63</v>
      </c>
    </row>
    <row r="65" spans="1:33" ht="31.3" thickBot="1" x14ac:dyDescent="0.9">
      <c r="A65" s="618"/>
      <c r="B65" s="282" t="s">
        <v>665</v>
      </c>
      <c r="C65" s="138" t="s">
        <v>188</v>
      </c>
      <c r="D65" s="143"/>
      <c r="E65" s="38"/>
      <c r="F65" s="38"/>
      <c r="G65" s="38"/>
      <c r="H65" s="38"/>
      <c r="I65" s="38"/>
      <c r="J65" s="39"/>
      <c r="K65" s="39"/>
      <c r="L65" s="39"/>
      <c r="M65" s="39"/>
      <c r="N65" s="39"/>
      <c r="O65" s="39"/>
      <c r="P65" s="39"/>
      <c r="Q65" s="39"/>
      <c r="R65" s="39"/>
      <c r="S65" s="39"/>
      <c r="T65" s="39"/>
      <c r="U65" s="39"/>
      <c r="V65" s="39"/>
      <c r="W65" s="39"/>
      <c r="X65" s="39"/>
      <c r="Y65" s="39"/>
      <c r="Z65" s="39"/>
      <c r="AA65" s="39"/>
      <c r="AB65" s="40">
        <f t="shared" ref="AB65:AB93" si="10">SUM(D65:AA65)</f>
        <v>0</v>
      </c>
      <c r="AC65" s="94"/>
      <c r="AD65" s="632"/>
      <c r="AE65" s="83"/>
      <c r="AF65" s="629"/>
      <c r="AG65" s="480">
        <v>64</v>
      </c>
    </row>
    <row r="66" spans="1:33" ht="32.15" thickBot="1" x14ac:dyDescent="0.9">
      <c r="A66" s="498" t="s">
        <v>592</v>
      </c>
      <c r="B66" s="373" t="s">
        <v>647</v>
      </c>
      <c r="C66" s="134" t="s">
        <v>189</v>
      </c>
      <c r="D66" s="141"/>
      <c r="E66" s="34"/>
      <c r="F66" s="34"/>
      <c r="G66" s="34"/>
      <c r="H66" s="34"/>
      <c r="I66" s="34"/>
      <c r="J66" s="49">
        <f>SUM(J67:J72)</f>
        <v>0</v>
      </c>
      <c r="K66" s="49">
        <f t="shared" ref="K66:AA66" si="11">SUM(K67:K72)</f>
        <v>0</v>
      </c>
      <c r="L66" s="49">
        <f t="shared" si="11"/>
        <v>0</v>
      </c>
      <c r="M66" s="49">
        <f t="shared" si="11"/>
        <v>0</v>
      </c>
      <c r="N66" s="49">
        <f t="shared" si="11"/>
        <v>0</v>
      </c>
      <c r="O66" s="49">
        <f t="shared" si="11"/>
        <v>0</v>
      </c>
      <c r="P66" s="49">
        <f t="shared" si="11"/>
        <v>0</v>
      </c>
      <c r="Q66" s="49">
        <f t="shared" si="11"/>
        <v>0</v>
      </c>
      <c r="R66" s="49">
        <f t="shared" si="11"/>
        <v>0</v>
      </c>
      <c r="S66" s="49">
        <f t="shared" si="11"/>
        <v>0</v>
      </c>
      <c r="T66" s="49">
        <f t="shared" si="11"/>
        <v>0</v>
      </c>
      <c r="U66" s="49">
        <f t="shared" si="11"/>
        <v>0</v>
      </c>
      <c r="V66" s="49">
        <f t="shared" si="11"/>
        <v>0</v>
      </c>
      <c r="W66" s="49">
        <f t="shared" si="11"/>
        <v>0</v>
      </c>
      <c r="X66" s="49">
        <f t="shared" si="11"/>
        <v>0</v>
      </c>
      <c r="Y66" s="49">
        <f t="shared" si="11"/>
        <v>0</v>
      </c>
      <c r="Z66" s="49">
        <f t="shared" si="11"/>
        <v>0</v>
      </c>
      <c r="AA66" s="49">
        <f t="shared" si="11"/>
        <v>0</v>
      </c>
      <c r="AB66" s="36">
        <f t="shared" si="10"/>
        <v>0</v>
      </c>
      <c r="AC66" s="85" t="str">
        <f>CONCATENATE(IF(D66&gt;D65," * Initiated new on PrEP  for Age "&amp;D20&amp;" "&amp;D21&amp;" is more than Eligible for PrEP"&amp;CHAR(10),""),IF(E66&gt;E65," * Initiated new on PrEP  for Age "&amp;D20&amp;" "&amp;E21&amp;" is more than Eligible for PrEP"&amp;CHAR(10),""),IF(F66&gt;F65," * Initiated new on PrEP  for Age "&amp;F20&amp;" "&amp;F21&amp;" is more than Eligible for PrEP"&amp;CHAR(10),""),IF(G66&gt;G65," * Initiated new on PrEP  for Age "&amp;F20&amp;" "&amp;G21&amp;" is more than Eligible for PrEP"&amp;CHAR(10),""),IF(H66&gt;H65," * Initiated new on PrEP  for Age "&amp;H20&amp;" "&amp;H21&amp;" is more than Eligible for PrEP"&amp;CHAR(10),""),IF(I66&gt;I65," * Initiated new on PrEP  for Age "&amp;H20&amp;" "&amp;I21&amp;" is more than Eligible for PrEP"&amp;CHAR(10),""),IF(J66&gt;J65," * Initiated new on PrEP  for Age "&amp;J20&amp;" "&amp;J21&amp;" is more than Eligible for PrEP"&amp;CHAR(10),""),IF(K66&gt;K65," * Initiated new on PrEP  for Age "&amp;J20&amp;" "&amp;K21&amp;" is more than Eligible for PrEP"&amp;CHAR(10),""),IF(L66&gt;L65," * Initiated new on PrEP  for Age "&amp;L20&amp;" "&amp;L21&amp;" is more than Eligible for PrEP"&amp;CHAR(10),""),IF(M66&gt;M65," * Initiated new on PrEP  for Age "&amp;L20&amp;" "&amp;M21&amp;" is more than Eligible for PrEP"&amp;CHAR(10),""),IF(N66&gt;N65," * Initiated new on PrEP  for Age "&amp;N20&amp;" "&amp;N21&amp;" is more than Eligible for PrEP"&amp;CHAR(10),""),IF(O66&gt;O65," * Initiated new on PrEP  for Age "&amp;N20&amp;" "&amp;O21&amp;" is more than Eligible for PrEP"&amp;CHAR(10),""),IF(P66&gt;P65," * Initiated new on PrEP  for Age "&amp;P20&amp;" "&amp;P21&amp;" is more than Eligible for PrEP"&amp;CHAR(10),""),IF(Q66&gt;Q65," * Initiated new on PrEP  for Age "&amp;P20&amp;" "&amp;Q21&amp;" is more than Eligible for PrEP"&amp;CHAR(10),""),IF(R66&gt;R65," * Initiated new on PrEP  for Age "&amp;R20&amp;" "&amp;R21&amp;" is more than Eligible for PrEP"&amp;CHAR(10),""),IF(S66&gt;S65," * Initiated new on PrEP  for Age "&amp;R20&amp;" "&amp;S21&amp;" is more than Eligible for PrEP"&amp;CHAR(10),""),IF(T66&gt;T65," * Initiated new on PrEP  for Age "&amp;T20&amp;" "&amp;T21&amp;" is more than Eligible for PrEP"&amp;CHAR(10),""),IF(U66&gt;U65," * Initiated new on PrEP  for Age "&amp;T20&amp;" "&amp;U21&amp;" is more than Eligible for PrEP"&amp;CHAR(10),""),IF(V66&gt;V65," * Initiated new on PrEP  for Age "&amp;V20&amp;" "&amp;V21&amp;" is more than Eligible for PrEP"&amp;CHAR(10),""),IF(W66&gt;W65," * Initiated new on PrEP  for Age "&amp;V20&amp;" "&amp;W21&amp;" is more than Eligible for PrEP"&amp;CHAR(10),""),IF(X66&gt;X65," * Initiated new on PrEP  for Age "&amp;X20&amp;" "&amp;X21&amp;" is more than Eligible for PrEP"&amp;CHAR(10),""),IF(Y66&gt;Y65," * Initiated new on PrEP  for Age "&amp;X20&amp;" "&amp;Y21&amp;" is more than Eligible for PrEP"&amp;CHAR(10),""),IF(Z66&gt;Z65," * Initiated new on PrEP  for Age "&amp;Z20&amp;" "&amp;Z21&amp;" is more than Eligible for PrEP"&amp;CHAR(10),""),IF(AA66&gt;AA65," * Initiated new on PrEP  for Age "&amp;Z20&amp;" "&amp;AA21&amp;" is more than Eligible for PrEP"&amp;CHAR(10),""))</f>
        <v/>
      </c>
      <c r="AD66" s="632"/>
      <c r="AE66" s="83" t="str">
        <f>CONCATENATE(IF(AB66&lt;&gt;SUM(AB94,AB95)," * Total Sum of (PMTCT Discordant Couple + HTS Discordant Couple) is not equal to F02-03"&amp;CHAR(10),""))</f>
        <v/>
      </c>
      <c r="AF66" s="629"/>
      <c r="AG66" s="480">
        <v>65</v>
      </c>
    </row>
    <row r="67" spans="1:33" x14ac:dyDescent="0.85">
      <c r="A67" s="563" t="s">
        <v>584</v>
      </c>
      <c r="B67" s="276" t="s">
        <v>396</v>
      </c>
      <c r="C67" s="146" t="s">
        <v>585</v>
      </c>
      <c r="D67" s="127"/>
      <c r="E67" s="18"/>
      <c r="F67" s="18"/>
      <c r="G67" s="18"/>
      <c r="H67" s="18"/>
      <c r="I67" s="18"/>
      <c r="J67" s="19"/>
      <c r="K67" s="19"/>
      <c r="L67" s="19"/>
      <c r="M67" s="19"/>
      <c r="N67" s="19"/>
      <c r="O67" s="19"/>
      <c r="P67" s="19"/>
      <c r="Q67" s="19"/>
      <c r="R67" s="19"/>
      <c r="S67" s="19"/>
      <c r="T67" s="19"/>
      <c r="U67" s="19"/>
      <c r="V67" s="19"/>
      <c r="W67" s="19"/>
      <c r="X67" s="19"/>
      <c r="Y67" s="19"/>
      <c r="Z67" s="19"/>
      <c r="AA67" s="19"/>
      <c r="AB67" s="243">
        <f t="shared" ref="AB67:AB70" si="12">SUM(J67:AA67)</f>
        <v>0</v>
      </c>
      <c r="AC67" s="85"/>
      <c r="AD67" s="632"/>
      <c r="AE67" s="83"/>
      <c r="AF67" s="629"/>
      <c r="AG67" s="480">
        <v>66</v>
      </c>
    </row>
    <row r="68" spans="1:33" x14ac:dyDescent="0.85">
      <c r="A68" s="564"/>
      <c r="B68" s="276" t="s">
        <v>391</v>
      </c>
      <c r="C68" s="146" t="s">
        <v>586</v>
      </c>
      <c r="D68" s="127"/>
      <c r="E68" s="18"/>
      <c r="F68" s="18"/>
      <c r="G68" s="18"/>
      <c r="H68" s="18"/>
      <c r="I68" s="18"/>
      <c r="J68" s="19"/>
      <c r="K68" s="19"/>
      <c r="L68" s="19"/>
      <c r="M68" s="19"/>
      <c r="N68" s="19"/>
      <c r="O68" s="19"/>
      <c r="P68" s="19"/>
      <c r="Q68" s="19"/>
      <c r="R68" s="19"/>
      <c r="S68" s="19"/>
      <c r="T68" s="19"/>
      <c r="U68" s="19"/>
      <c r="V68" s="19"/>
      <c r="W68" s="19"/>
      <c r="X68" s="19"/>
      <c r="Y68" s="19"/>
      <c r="Z68" s="19"/>
      <c r="AA68" s="19"/>
      <c r="AB68" s="243">
        <f t="shared" si="12"/>
        <v>0</v>
      </c>
      <c r="AC68" s="85"/>
      <c r="AD68" s="632"/>
      <c r="AE68" s="83"/>
      <c r="AF68" s="629"/>
      <c r="AG68" s="480">
        <v>67</v>
      </c>
    </row>
    <row r="69" spans="1:33" x14ac:dyDescent="0.85">
      <c r="A69" s="564"/>
      <c r="B69" s="276" t="s">
        <v>392</v>
      </c>
      <c r="C69" s="146" t="s">
        <v>587</v>
      </c>
      <c r="D69" s="127"/>
      <c r="E69" s="18"/>
      <c r="F69" s="18"/>
      <c r="G69" s="18"/>
      <c r="H69" s="18"/>
      <c r="I69" s="18"/>
      <c r="J69" s="19"/>
      <c r="K69" s="19"/>
      <c r="L69" s="19"/>
      <c r="M69" s="19"/>
      <c r="N69" s="19"/>
      <c r="O69" s="19"/>
      <c r="P69" s="19"/>
      <c r="Q69" s="19"/>
      <c r="R69" s="19"/>
      <c r="S69" s="19"/>
      <c r="T69" s="19"/>
      <c r="U69" s="19"/>
      <c r="V69" s="19"/>
      <c r="W69" s="19"/>
      <c r="X69" s="19"/>
      <c r="Y69" s="19"/>
      <c r="Z69" s="19"/>
      <c r="AA69" s="19"/>
      <c r="AB69" s="243">
        <f t="shared" si="12"/>
        <v>0</v>
      </c>
      <c r="AC69" s="85"/>
      <c r="AD69" s="632"/>
      <c r="AE69" s="83"/>
      <c r="AF69" s="629"/>
      <c r="AG69" s="480">
        <v>68</v>
      </c>
    </row>
    <row r="70" spans="1:33" x14ac:dyDescent="0.85">
      <c r="A70" s="564"/>
      <c r="B70" s="276" t="s">
        <v>393</v>
      </c>
      <c r="C70" s="146" t="s">
        <v>588</v>
      </c>
      <c r="D70" s="127"/>
      <c r="E70" s="18"/>
      <c r="F70" s="18"/>
      <c r="G70" s="18"/>
      <c r="H70" s="18"/>
      <c r="I70" s="18"/>
      <c r="J70" s="19"/>
      <c r="K70" s="19"/>
      <c r="L70" s="19"/>
      <c r="M70" s="19"/>
      <c r="N70" s="19"/>
      <c r="O70" s="19"/>
      <c r="P70" s="19"/>
      <c r="Q70" s="19"/>
      <c r="R70" s="19"/>
      <c r="S70" s="19"/>
      <c r="T70" s="19"/>
      <c r="U70" s="19"/>
      <c r="V70" s="19"/>
      <c r="W70" s="19"/>
      <c r="X70" s="19"/>
      <c r="Y70" s="19"/>
      <c r="Z70" s="19"/>
      <c r="AA70" s="19"/>
      <c r="AB70" s="243">
        <f t="shared" si="12"/>
        <v>0</v>
      </c>
      <c r="AC70" s="85"/>
      <c r="AD70" s="632"/>
      <c r="AE70" s="83"/>
      <c r="AF70" s="629"/>
      <c r="AG70" s="480">
        <v>69</v>
      </c>
    </row>
    <row r="71" spans="1:33" x14ac:dyDescent="0.85">
      <c r="A71" s="564"/>
      <c r="B71" s="276" t="s">
        <v>394</v>
      </c>
      <c r="C71" s="146" t="s">
        <v>589</v>
      </c>
      <c r="D71" s="127"/>
      <c r="E71" s="18"/>
      <c r="F71" s="18"/>
      <c r="G71" s="18"/>
      <c r="H71" s="18"/>
      <c r="I71" s="18"/>
      <c r="J71" s="19"/>
      <c r="K71" s="19"/>
      <c r="L71" s="19"/>
      <c r="M71" s="19"/>
      <c r="N71" s="19"/>
      <c r="O71" s="19"/>
      <c r="P71" s="19"/>
      <c r="Q71" s="19"/>
      <c r="R71" s="19"/>
      <c r="S71" s="19"/>
      <c r="T71" s="19"/>
      <c r="U71" s="19"/>
      <c r="V71" s="19"/>
      <c r="W71" s="19"/>
      <c r="X71" s="19"/>
      <c r="Y71" s="19"/>
      <c r="Z71" s="19"/>
      <c r="AA71" s="19"/>
      <c r="AB71" s="37">
        <f>SUM(J71:AA71)</f>
        <v>0</v>
      </c>
      <c r="AC71" s="85"/>
      <c r="AD71" s="632"/>
      <c r="AE71" s="83"/>
      <c r="AF71" s="629"/>
      <c r="AG71" s="480">
        <v>70</v>
      </c>
    </row>
    <row r="72" spans="1:33" ht="31.3" thickBot="1" x14ac:dyDescent="0.9">
      <c r="A72" s="565"/>
      <c r="B72" s="282" t="s">
        <v>395</v>
      </c>
      <c r="C72" s="147" t="s">
        <v>590</v>
      </c>
      <c r="D72" s="143"/>
      <c r="E72" s="38"/>
      <c r="F72" s="38"/>
      <c r="G72" s="38"/>
      <c r="H72" s="38"/>
      <c r="I72" s="38"/>
      <c r="J72" s="39"/>
      <c r="K72" s="39"/>
      <c r="L72" s="39"/>
      <c r="M72" s="39"/>
      <c r="N72" s="39"/>
      <c r="O72" s="39"/>
      <c r="P72" s="39"/>
      <c r="Q72" s="39"/>
      <c r="R72" s="39"/>
      <c r="S72" s="39"/>
      <c r="T72" s="39"/>
      <c r="U72" s="39"/>
      <c r="V72" s="39"/>
      <c r="W72" s="39"/>
      <c r="X72" s="39"/>
      <c r="Y72" s="39"/>
      <c r="Z72" s="39"/>
      <c r="AA72" s="39"/>
      <c r="AB72" s="40">
        <f>SUM(J72:AA72)</f>
        <v>0</v>
      </c>
      <c r="AC72" s="85"/>
      <c r="AD72" s="632"/>
      <c r="AE72" s="83"/>
      <c r="AF72" s="629"/>
      <c r="AG72" s="480">
        <v>71</v>
      </c>
    </row>
    <row r="73" spans="1:33" x14ac:dyDescent="0.85">
      <c r="A73" s="692" t="s">
        <v>593</v>
      </c>
      <c r="B73" s="284" t="s">
        <v>563</v>
      </c>
      <c r="C73" s="134" t="s">
        <v>353</v>
      </c>
      <c r="D73" s="141"/>
      <c r="E73" s="34"/>
      <c r="F73" s="34"/>
      <c r="G73" s="34"/>
      <c r="H73" s="34"/>
      <c r="I73" s="34"/>
      <c r="J73" s="35"/>
      <c r="K73" s="35"/>
      <c r="L73" s="35"/>
      <c r="M73" s="35"/>
      <c r="N73" s="35"/>
      <c r="O73" s="35"/>
      <c r="P73" s="35"/>
      <c r="Q73" s="35"/>
      <c r="R73" s="35"/>
      <c r="S73" s="35"/>
      <c r="T73" s="35"/>
      <c r="U73" s="35"/>
      <c r="V73" s="35"/>
      <c r="W73" s="35"/>
      <c r="X73" s="35"/>
      <c r="Y73" s="35"/>
      <c r="Z73" s="35"/>
      <c r="AA73" s="35"/>
      <c r="AB73" s="36">
        <f>SUM(J73:AA73)</f>
        <v>0</v>
      </c>
      <c r="AC73" s="94" t="str">
        <f>CONCATENATE(IF(D77&lt;D73," * Continuing (Refills) Prep  for Age "&amp;D60&amp;" "&amp;D61&amp;" is more than Current on Prep"&amp;CHAR(10),""),IF(E77&lt;E73," * Continuing (Refills) Prep  for Age "&amp;D60&amp;" "&amp;E61&amp;" is more than Current on Prep"&amp;CHAR(10),""),IF(F77&lt;F73," * Continuing (Refills) Prep  for Age "&amp;F60&amp;" "&amp;F61&amp;" is more than Current on Prep"&amp;CHAR(10),""),IF(G77&lt;G73," * Continuing (Refills) Prep  for Age "&amp;F60&amp;" "&amp;G61&amp;" is more than Current on Prep"&amp;CHAR(10),""),IF(H77&lt;H73," * Continuing (Refills) Prep  for Age "&amp;H60&amp;" "&amp;H61&amp;" is more than Current on Prep"&amp;CHAR(10),""),IF(I77&lt;I73," * Continuing (Refills) Prep  for Age "&amp;H60&amp;" "&amp;I61&amp;" is more than Current on Prep"&amp;CHAR(10),""),IF(J77&lt;J73," * Continuing (Refills) Prep  for Age "&amp;J60&amp;" "&amp;J61&amp;" is more than Current on Prep"&amp;CHAR(10),""),IF(K77&lt;K73," * Continuing (Refills) Prep  for Age "&amp;J60&amp;" "&amp;K61&amp;" is more than Current on Prep"&amp;CHAR(10),""),IF(L77&lt;L73," * Continuing (Refills) Prep  for Age "&amp;L60&amp;" "&amp;L61&amp;" is more than Current on Prep"&amp;CHAR(10),""),IF(M77&lt;M73," * Continuing (Refills) Prep  for Age "&amp;L60&amp;" "&amp;M61&amp;" is more than Current on Prep"&amp;CHAR(10),""),IF(N77&lt;N73," * Continuing (Refills) Prep  for Age "&amp;N60&amp;" "&amp;N61&amp;" is more than Current on Prep"&amp;CHAR(10),""),IF(O77&lt;O73," * Continuing (Refills) Prep  for Age "&amp;N60&amp;" "&amp;O61&amp;" is more than Current on Prep"&amp;CHAR(10),""),IF(P77&lt;P73," * Continuing (Refills) Prep  for Age "&amp;P60&amp;" "&amp;P61&amp;" is more than Current on Prep"&amp;CHAR(10),""),IF(Q77&lt;Q73," * Continuing (Refills) Prep  for Age "&amp;P60&amp;" "&amp;Q61&amp;" is more than Current on Prep"&amp;CHAR(10),""),IF(R77&lt;R73," * Continuing (Refills) Prep  for Age "&amp;R60&amp;" "&amp;R61&amp;" is more than Current on Prep"&amp;CHAR(10),""),IF(S77&lt;S73," * Continuing (Refills) Prep  for Age "&amp;R60&amp;" "&amp;S61&amp;" is more than Current on Prep"&amp;CHAR(10),""),IF(T77&lt;T73," * Continuing (Refills) Prep  for Age "&amp;T60&amp;" "&amp;T61&amp;" is more than Current on Prep"&amp;CHAR(10),""),IF(U77&lt;U73," * Continuing (Refills) Prep  for Age "&amp;T60&amp;" "&amp;U61&amp;" is more than Current on Prep"&amp;CHAR(10),""),IF(V77&lt;V73," * Continuing (Refills) Prep  for Age "&amp;V60&amp;" "&amp;V61&amp;" is more than Current on Prep"&amp;CHAR(10),""),IF(W77&lt;W73," * Continuing (Refills) Prep  for Age "&amp;V60&amp;" "&amp;W61&amp;" is more than Current on Prep"&amp;CHAR(10),""),IF(X77&lt;X73," * Continuing (Refills) Prep  for Age "&amp;X60&amp;" "&amp;X61&amp;" is more than Current on Prep"&amp;CHAR(10),""),IF(Y77&lt;Y73," * Continuing (Refills) Prep  for Age "&amp;X60&amp;" "&amp;Y61&amp;" is more than Current on Prep"&amp;CHAR(10),""),IF(Z77&lt;Z73," * Continuing (Refills) Prep  for Age "&amp;Z60&amp;" "&amp;Z61&amp;" is more than Current on Prep"&amp;CHAR(10),""),IF(AA77&lt;AA73," * Continuing (Refills) Prep  for Age "&amp;Z60&amp;" "&amp;AA61&amp;" is more than Current on Prep"&amp;CHAR(10),""))</f>
        <v/>
      </c>
      <c r="AD73" s="632"/>
      <c r="AE73" s="83"/>
      <c r="AF73" s="629"/>
      <c r="AG73" s="480">
        <v>72</v>
      </c>
    </row>
    <row r="74" spans="1:33" x14ac:dyDescent="0.85">
      <c r="A74" s="693"/>
      <c r="B74" s="276" t="s">
        <v>567</v>
      </c>
      <c r="C74" s="146" t="s">
        <v>569</v>
      </c>
      <c r="D74" s="127"/>
      <c r="E74" s="18"/>
      <c r="F74" s="18"/>
      <c r="G74" s="18"/>
      <c r="H74" s="18"/>
      <c r="I74" s="18"/>
      <c r="J74" s="19"/>
      <c r="K74" s="19"/>
      <c r="L74" s="19"/>
      <c r="M74" s="19"/>
      <c r="N74" s="19"/>
      <c r="O74" s="19"/>
      <c r="P74" s="19"/>
      <c r="Q74" s="19"/>
      <c r="R74" s="19"/>
      <c r="S74" s="19"/>
      <c r="T74" s="19"/>
      <c r="U74" s="19"/>
      <c r="V74" s="19"/>
      <c r="W74" s="19"/>
      <c r="X74" s="19"/>
      <c r="Y74" s="19"/>
      <c r="Z74" s="19"/>
      <c r="AA74" s="19"/>
      <c r="AB74" s="37">
        <f>SUM(J74:AA74)</f>
        <v>0</v>
      </c>
      <c r="AC74" s="85"/>
      <c r="AD74" s="632"/>
      <c r="AE74" s="83"/>
      <c r="AF74" s="629"/>
      <c r="AG74" s="480">
        <v>73</v>
      </c>
    </row>
    <row r="75" spans="1:33" x14ac:dyDescent="0.85">
      <c r="A75" s="693"/>
      <c r="B75" s="276" t="s">
        <v>568</v>
      </c>
      <c r="C75" s="146" t="s">
        <v>570</v>
      </c>
      <c r="D75" s="127"/>
      <c r="E75" s="18"/>
      <c r="F75" s="18"/>
      <c r="G75" s="18"/>
      <c r="H75" s="18"/>
      <c r="I75" s="18"/>
      <c r="J75" s="19"/>
      <c r="K75" s="19"/>
      <c r="L75" s="19"/>
      <c r="M75" s="19"/>
      <c r="N75" s="19"/>
      <c r="O75" s="19"/>
      <c r="P75" s="19"/>
      <c r="Q75" s="19"/>
      <c r="R75" s="19"/>
      <c r="S75" s="19"/>
      <c r="T75" s="19"/>
      <c r="U75" s="19"/>
      <c r="V75" s="19"/>
      <c r="W75" s="19"/>
      <c r="X75" s="19"/>
      <c r="Y75" s="19"/>
      <c r="Z75" s="19"/>
      <c r="AA75" s="19"/>
      <c r="AB75" s="243">
        <f t="shared" ref="AB75:AB76" si="13">SUM(J75:AA75)</f>
        <v>0</v>
      </c>
      <c r="AC75" s="85"/>
      <c r="AD75" s="632"/>
      <c r="AE75" s="83"/>
      <c r="AF75" s="629"/>
      <c r="AG75" s="480">
        <v>74</v>
      </c>
    </row>
    <row r="76" spans="1:33" ht="31.3" thickBot="1" x14ac:dyDescent="0.9">
      <c r="A76" s="694"/>
      <c r="B76" s="282" t="s">
        <v>666</v>
      </c>
      <c r="C76" s="138" t="s">
        <v>190</v>
      </c>
      <c r="D76" s="143"/>
      <c r="E76" s="38"/>
      <c r="F76" s="38"/>
      <c r="G76" s="38"/>
      <c r="H76" s="38"/>
      <c r="I76" s="38"/>
      <c r="J76" s="39"/>
      <c r="K76" s="39"/>
      <c r="L76" s="39"/>
      <c r="M76" s="39"/>
      <c r="N76" s="39"/>
      <c r="O76" s="39"/>
      <c r="P76" s="39"/>
      <c r="Q76" s="39"/>
      <c r="R76" s="39"/>
      <c r="S76" s="39"/>
      <c r="T76" s="39"/>
      <c r="U76" s="39"/>
      <c r="V76" s="39"/>
      <c r="W76" s="39"/>
      <c r="X76" s="39"/>
      <c r="Y76" s="39"/>
      <c r="Z76" s="39"/>
      <c r="AA76" s="39"/>
      <c r="AB76" s="243">
        <f t="shared" si="13"/>
        <v>0</v>
      </c>
      <c r="AC76" s="82" t="str">
        <f>CONCATENATE(IF(D77&lt;D76," * Restarting Prep For age "&amp;$D$20&amp;" "&amp;$D$21&amp;" is more than Current On Prep"&amp;CHAR(10),""),IF(E77&lt;E76," * Restarting Prep For age "&amp;$D$20&amp;" "&amp;$E$21&amp;" is more than Current On Prep"&amp;CHAR(10),""),IF(F77&lt;F76," * Restarting Prep For age "&amp;$F$20&amp;" "&amp;$F$21&amp;" is more than Current On Prep"&amp;CHAR(10),""),IF(G77&lt;G76," * Restarting Prep For age "&amp;$F$20&amp;" "&amp;$G$21&amp;" is more than Current On Prep"&amp;CHAR(10),""),IF(H77&lt;H76," * Restarting Prep For age "&amp;$H$20&amp;" "&amp;$H$21&amp;" is more than Current On Prep"&amp;CHAR(10),""),IF(I77&lt;I76," * Restarting Prep For age "&amp;$H$20&amp;" "&amp;$I$21&amp;" is more than Current On Prep"&amp;CHAR(10),""),IF(J77&lt;J76," * Restarting Prep For age "&amp;$J$20&amp;" "&amp;$J$21&amp;" is more than Current On Prep"&amp;CHAR(10),""),IF(K77&lt;K76," * Restarting Prep For age "&amp;$J$20&amp;" "&amp;$K$21&amp;" is more than Current On Prep"&amp;CHAR(10),""),IF(L77&lt;L76," * Restarting Prep For age "&amp;$L$20&amp;" "&amp;$L$21&amp;" is more than Current On Prep"&amp;CHAR(10),""),IF(M77&lt;M76," * Restarting Prep For age "&amp;$L$20&amp;" "&amp;$M$21&amp;" is more than Current On Prep"&amp;CHAR(10),""),IF(N77&lt;N76," * Restarting Prep For age "&amp;$N$20&amp;" "&amp;$N$21&amp;" is more than Current On Prep"&amp;CHAR(10),""),IF(O77&lt;O76," * Restarting Prep For age "&amp;$N$20&amp;" "&amp;$O$21&amp;" is more than Current On Prep"&amp;CHAR(10),""),IF(P77&lt;P76," * Restarting Prep For age "&amp;$P$20&amp;" "&amp;$P$21&amp;" is more than Current On Prep"&amp;CHAR(10),""),IF(Q77&lt;Q76," * Restarting Prep For age "&amp;$P$20&amp;" "&amp;$Q$21&amp;" is more than Current On Prep"&amp;CHAR(10),""),IF(R77&lt;R76," * Restarting Prep For age "&amp;$R$20&amp;" "&amp;$R$21&amp;" is more than Current On Prep"&amp;CHAR(10),""),IF(S77&lt;S76," * Restarting Prep For age "&amp;$R$20&amp;" "&amp;$S$21&amp;" is more than Current On Prep"&amp;CHAR(10),""),IF(T77&lt;T76," * Restarting Prep For age "&amp;$T$20&amp;" "&amp;$T$21&amp;" is more than Current On Prep"&amp;CHAR(10),""),IF(U77&lt;U76," * Restarting Prep For age "&amp;$T$20&amp;" "&amp;$U$21&amp;" is more than Current On Prep"&amp;CHAR(10),""),IF(V77&lt;V76," * Restarting Prep For age "&amp;$V$20&amp;" "&amp;$V$21&amp;" is more than Current On Prep"&amp;CHAR(10),""),IF(W77&lt;W76," * Restarting Prep For age "&amp;$V$20&amp;" "&amp;$W$21&amp;" is more than Current On Prep"&amp;CHAR(10),""),IF(X77&lt;X76," * Restarting Prep For age "&amp;$X$20&amp;" "&amp;$X$21&amp;" is more than Current On Prep"&amp;CHAR(10),""),IF(Y77&lt;Y76," * Restarting Prep For age "&amp;$X$20&amp;" "&amp;$Y$21&amp;" is more than Current On Prep"&amp;CHAR(10),""),IF(Z77&lt;Z76," * Restarting Prep For age "&amp;$Z$20&amp;" "&amp;$Z$21&amp;" is more than Current On Prep"&amp;CHAR(10),""),IF(AA77&lt;AA76," * Restarting Prep For age "&amp;$Z$20&amp;" "&amp;$AA$21&amp;" is more than Current On Prep"&amp;CHAR(10),""))</f>
        <v/>
      </c>
      <c r="AD76" s="632"/>
      <c r="AE76" s="83"/>
      <c r="AF76" s="629"/>
      <c r="AG76" s="480">
        <v>75</v>
      </c>
    </row>
    <row r="77" spans="1:33" ht="63.9" thickBot="1" x14ac:dyDescent="0.9">
      <c r="A77" s="498" t="s">
        <v>873</v>
      </c>
      <c r="B77" s="373" t="s">
        <v>948</v>
      </c>
      <c r="C77" s="129" t="s">
        <v>572</v>
      </c>
      <c r="D77" s="141"/>
      <c r="E77" s="34"/>
      <c r="F77" s="34"/>
      <c r="G77" s="34"/>
      <c r="H77" s="34"/>
      <c r="I77" s="34"/>
      <c r="J77" s="49">
        <f>SUM(J78:J83)</f>
        <v>0</v>
      </c>
      <c r="K77" s="49">
        <f t="shared" ref="K77:AA77" si="14">SUM(K78:K83)</f>
        <v>0</v>
      </c>
      <c r="L77" s="49">
        <f t="shared" si="14"/>
        <v>0</v>
      </c>
      <c r="M77" s="49">
        <f t="shared" si="14"/>
        <v>0</v>
      </c>
      <c r="N77" s="49">
        <f t="shared" si="14"/>
        <v>0</v>
      </c>
      <c r="O77" s="49">
        <f t="shared" si="14"/>
        <v>0</v>
      </c>
      <c r="P77" s="49">
        <f t="shared" si="14"/>
        <v>0</v>
      </c>
      <c r="Q77" s="49">
        <f t="shared" si="14"/>
        <v>0</v>
      </c>
      <c r="R77" s="49">
        <f t="shared" si="14"/>
        <v>0</v>
      </c>
      <c r="S77" s="49">
        <f t="shared" si="14"/>
        <v>0</v>
      </c>
      <c r="T77" s="49">
        <f t="shared" si="14"/>
        <v>0</v>
      </c>
      <c r="U77" s="49">
        <f t="shared" si="14"/>
        <v>0</v>
      </c>
      <c r="V77" s="49">
        <f t="shared" si="14"/>
        <v>0</v>
      </c>
      <c r="W77" s="49">
        <f t="shared" si="14"/>
        <v>0</v>
      </c>
      <c r="X77" s="49">
        <f t="shared" si="14"/>
        <v>0</v>
      </c>
      <c r="Y77" s="49">
        <f t="shared" si="14"/>
        <v>0</v>
      </c>
      <c r="Z77" s="49">
        <f t="shared" si="14"/>
        <v>0</v>
      </c>
      <c r="AA77" s="49">
        <f t="shared" si="14"/>
        <v>0</v>
      </c>
      <c r="AB77" s="476">
        <f>SUM(J77:AA77)</f>
        <v>0</v>
      </c>
      <c r="AC77" s="82" t="str">
        <f>CONCATENATE(IF(D77&lt;D66," * Initiated (new) on PrEP For Age  "&amp;$D$20&amp;" "&amp;$D$21&amp;" is more than Current on PREP"&amp;CHAR(10),""),IF(E77&lt;E66," * Initiated (new) on PrEP For Age  "&amp;$D$20&amp;" "&amp;$E$21&amp;" is more than Current on PREP"&amp;CHAR(10),""),IF(F77&lt;F66," * Initiated (new) on PrEP For Age  "&amp;$F$20&amp;" "&amp;$F$21&amp;" is more than Current on PREP"&amp;CHAR(10),""),IF(G77&lt;G66," * Initiated (new) on PrEP For Age  "&amp;$F$20&amp;" "&amp;$G$21&amp;" is more than Current on PREP"&amp;CHAR(10),""),IF(H77&lt;H66," * Initiated (new) on PrEP For Age  "&amp;$H$20&amp;" "&amp;$H$21&amp;" is more than Current on PREP"&amp;CHAR(10),""),IF(I77&lt;I66," * Initiated (new) on PrEP For Age  "&amp;$H$20&amp;" "&amp;$I$21&amp;" is more than Current on PREP"&amp;CHAR(10),""),IF(J77&lt;J66," * Initiated (new) on PrEP For Age  "&amp;$J$20&amp;" "&amp;$J$21&amp;" is more than Current on PREP"&amp;CHAR(10),""),IF(K77&lt;K66," * Initiated (new) on PrEP For Age  "&amp;$J$20&amp;" "&amp;$K$21&amp;" is more than Current on PREP"&amp;CHAR(10),""),IF(L77&lt;L66," * Initiated (new) on PrEP For Age  "&amp;$L$20&amp;" "&amp;$L$21&amp;" is more than Current on PREP"&amp;CHAR(10),""),IF(M77&lt;M66," * Initiated (new) on PrEP For Age  "&amp;$L$20&amp;" "&amp;$M$21&amp;" is more than Current on PREP"&amp;CHAR(10),""),IF(N77&lt;N66," * Initiated (new) on PrEP For Age  "&amp;$N$20&amp;" "&amp;$N$21&amp;" is more than Current on PREP"&amp;CHAR(10),""),IF(O77&lt;O66," * Initiated (new) on PrEP For Age  "&amp;$N$20&amp;" "&amp;$O$21&amp;" is more than Current on PREP"&amp;CHAR(10),""),IF(P77&lt;P66," * Initiated (new) on PrEP For Age  "&amp;$P$20&amp;" "&amp;$P$21&amp;" is more than Current on PREP"&amp;CHAR(10),""),IF(Q77&lt;Q66," * Initiated (new) on PrEP For Age  "&amp;$P$20&amp;" "&amp;$Q$21&amp;" is more than Current on PREP"&amp;CHAR(10),""),IF(R77&lt;R66," * Initiated (new) on PrEP For Age  "&amp;$R$20&amp;" "&amp;$R$21&amp;" is more than Current on PREP"&amp;CHAR(10),""),IF(S77&lt;S66," * Initiated (new) on PrEP For Age  "&amp;$R$20&amp;" "&amp;$S$21&amp;" is more than Current on PREP"&amp;CHAR(10),""),IF(T77&lt;T66," * Initiated (new) on PrEP For Age  "&amp;$T$20&amp;" "&amp;$T$21&amp;" is more than Current on PREP"&amp;CHAR(10),""),IF(U77&lt;U66," * Initiated (new) on PrEP For Age  "&amp;$T$20&amp;" "&amp;$U$21&amp;" is more than Current on PREP"&amp;CHAR(10),""),IF(V77&lt;V66," * Initiated (new) on PrEP For Age  "&amp;$V$20&amp;" "&amp;$V$21&amp;" is more than Current on PREP"&amp;CHAR(10),""),IF(W77&lt;W66," * Initiated (new) on PrEP For Age  "&amp;$V$20&amp;" "&amp;$W$21&amp;" is more than Current on PREP"&amp;CHAR(10),""),IF(X77&lt;X66," * Initiated (new) on PrEP For Age  "&amp;$X$20&amp;" "&amp;$X$21&amp;" is more than Current on PREP"&amp;CHAR(10),""),IF(Y77&lt;Y66," * Initiated (new) on PrEP For Age  "&amp;$X$20&amp;" "&amp;$Y$21&amp;" is more than Current on PREP"&amp;CHAR(10),""),IF(Z77&lt;Z66," * Initiated (new) on PrEP For Age  "&amp;$Z$20&amp;" "&amp;$Z$21&amp;" is more than Current on PREP"&amp;CHAR(10),""),IF(AA77&lt;AA66," * Initiated (new) on PrEP For Age  "&amp;$Z$20&amp;" "&amp;$AA$21&amp;" is more than Current on PREP"&amp;CHAR(10),""))</f>
        <v/>
      </c>
      <c r="AD77" s="632"/>
      <c r="AE77" s="83"/>
      <c r="AF77" s="629"/>
      <c r="AG77" s="480">
        <v>76</v>
      </c>
    </row>
    <row r="78" spans="1:33" x14ac:dyDescent="0.85">
      <c r="A78" s="563" t="s">
        <v>583</v>
      </c>
      <c r="B78" s="276" t="s">
        <v>396</v>
      </c>
      <c r="C78" s="146" t="s">
        <v>594</v>
      </c>
      <c r="D78" s="127"/>
      <c r="E78" s="18"/>
      <c r="F78" s="18"/>
      <c r="G78" s="18"/>
      <c r="H78" s="18"/>
      <c r="I78" s="18"/>
      <c r="J78" s="19"/>
      <c r="K78" s="19"/>
      <c r="L78" s="19"/>
      <c r="M78" s="19"/>
      <c r="N78" s="19"/>
      <c r="O78" s="19"/>
      <c r="P78" s="19"/>
      <c r="Q78" s="19"/>
      <c r="R78" s="19"/>
      <c r="S78" s="19"/>
      <c r="T78" s="19"/>
      <c r="U78" s="19"/>
      <c r="V78" s="19"/>
      <c r="W78" s="19"/>
      <c r="X78" s="19"/>
      <c r="Y78" s="19"/>
      <c r="Z78" s="19"/>
      <c r="AA78" s="19"/>
      <c r="AB78" s="37">
        <f>SUM(J78:AA78)</f>
        <v>0</v>
      </c>
      <c r="AC78" s="85"/>
      <c r="AD78" s="632"/>
      <c r="AE78" s="83"/>
      <c r="AF78" s="629"/>
      <c r="AG78" s="480">
        <v>77</v>
      </c>
    </row>
    <row r="79" spans="1:33" x14ac:dyDescent="0.85">
      <c r="A79" s="564"/>
      <c r="B79" s="276" t="s">
        <v>391</v>
      </c>
      <c r="C79" s="146" t="s">
        <v>595</v>
      </c>
      <c r="D79" s="127"/>
      <c r="E79" s="18"/>
      <c r="F79" s="18"/>
      <c r="G79" s="18"/>
      <c r="H79" s="18"/>
      <c r="I79" s="18"/>
      <c r="J79" s="19"/>
      <c r="K79" s="19"/>
      <c r="L79" s="19"/>
      <c r="M79" s="19"/>
      <c r="N79" s="19"/>
      <c r="O79" s="19"/>
      <c r="P79" s="19"/>
      <c r="Q79" s="19"/>
      <c r="R79" s="19"/>
      <c r="S79" s="19"/>
      <c r="T79" s="19"/>
      <c r="U79" s="19"/>
      <c r="V79" s="19"/>
      <c r="W79" s="19"/>
      <c r="X79" s="19"/>
      <c r="Y79" s="19"/>
      <c r="Z79" s="19"/>
      <c r="AA79" s="19"/>
      <c r="AB79" s="37">
        <f>SUM(J79:AA79)</f>
        <v>0</v>
      </c>
      <c r="AC79" s="85"/>
      <c r="AD79" s="632"/>
      <c r="AE79" s="83"/>
      <c r="AF79" s="629"/>
      <c r="AG79" s="480">
        <v>78</v>
      </c>
    </row>
    <row r="80" spans="1:33" x14ac:dyDescent="0.85">
      <c r="A80" s="564"/>
      <c r="B80" s="276" t="s">
        <v>392</v>
      </c>
      <c r="C80" s="146" t="s">
        <v>596</v>
      </c>
      <c r="D80" s="127"/>
      <c r="E80" s="18"/>
      <c r="F80" s="18"/>
      <c r="G80" s="18"/>
      <c r="H80" s="18"/>
      <c r="I80" s="18"/>
      <c r="J80" s="19"/>
      <c r="K80" s="19"/>
      <c r="L80" s="19"/>
      <c r="M80" s="19"/>
      <c r="N80" s="19"/>
      <c r="O80" s="19"/>
      <c r="P80" s="19"/>
      <c r="Q80" s="19"/>
      <c r="R80" s="19"/>
      <c r="S80" s="19"/>
      <c r="T80" s="19"/>
      <c r="U80" s="19"/>
      <c r="V80" s="19"/>
      <c r="W80" s="19"/>
      <c r="X80" s="19"/>
      <c r="Y80" s="19"/>
      <c r="Z80" s="19"/>
      <c r="AA80" s="19"/>
      <c r="AB80" s="243">
        <f t="shared" ref="AB80:AB83" si="15">SUM(J80:AA80)</f>
        <v>0</v>
      </c>
      <c r="AC80" s="85"/>
      <c r="AD80" s="632"/>
      <c r="AE80" s="83"/>
      <c r="AF80" s="629"/>
      <c r="AG80" s="480">
        <v>79</v>
      </c>
    </row>
    <row r="81" spans="1:33" x14ac:dyDescent="0.85">
      <c r="A81" s="564"/>
      <c r="B81" s="276" t="s">
        <v>393</v>
      </c>
      <c r="C81" s="146" t="s">
        <v>597</v>
      </c>
      <c r="D81" s="127"/>
      <c r="E81" s="18"/>
      <c r="F81" s="18"/>
      <c r="G81" s="18"/>
      <c r="H81" s="18"/>
      <c r="I81" s="18"/>
      <c r="J81" s="19"/>
      <c r="K81" s="19"/>
      <c r="L81" s="19"/>
      <c r="M81" s="19"/>
      <c r="N81" s="19"/>
      <c r="O81" s="19"/>
      <c r="P81" s="19"/>
      <c r="Q81" s="19"/>
      <c r="R81" s="19"/>
      <c r="S81" s="19"/>
      <c r="T81" s="19"/>
      <c r="U81" s="19"/>
      <c r="V81" s="19"/>
      <c r="W81" s="19"/>
      <c r="X81" s="19"/>
      <c r="Y81" s="19"/>
      <c r="Z81" s="19"/>
      <c r="AA81" s="19"/>
      <c r="AB81" s="243">
        <f t="shared" si="15"/>
        <v>0</v>
      </c>
      <c r="AC81" s="85"/>
      <c r="AD81" s="632"/>
      <c r="AE81" s="83"/>
      <c r="AF81" s="629"/>
      <c r="AG81" s="480">
        <v>80</v>
      </c>
    </row>
    <row r="82" spans="1:33" x14ac:dyDescent="0.85">
      <c r="A82" s="564"/>
      <c r="B82" s="276" t="s">
        <v>394</v>
      </c>
      <c r="C82" s="146" t="s">
        <v>598</v>
      </c>
      <c r="D82" s="127"/>
      <c r="E82" s="18"/>
      <c r="F82" s="18"/>
      <c r="G82" s="18"/>
      <c r="H82" s="18"/>
      <c r="I82" s="18"/>
      <c r="J82" s="19"/>
      <c r="K82" s="19"/>
      <c r="L82" s="19"/>
      <c r="M82" s="19"/>
      <c r="N82" s="19"/>
      <c r="O82" s="19"/>
      <c r="P82" s="19"/>
      <c r="Q82" s="19"/>
      <c r="R82" s="19"/>
      <c r="S82" s="19"/>
      <c r="T82" s="19"/>
      <c r="U82" s="19"/>
      <c r="V82" s="19"/>
      <c r="W82" s="19"/>
      <c r="X82" s="19"/>
      <c r="Y82" s="19"/>
      <c r="Z82" s="19"/>
      <c r="AA82" s="19"/>
      <c r="AB82" s="243">
        <f t="shared" si="15"/>
        <v>0</v>
      </c>
      <c r="AC82" s="85"/>
      <c r="AD82" s="632"/>
      <c r="AE82" s="83"/>
      <c r="AF82" s="629"/>
      <c r="AG82" s="480">
        <v>81</v>
      </c>
    </row>
    <row r="83" spans="1:33" ht="31.3" thickBot="1" x14ac:dyDescent="0.9">
      <c r="A83" s="565"/>
      <c r="B83" s="282" t="s">
        <v>395</v>
      </c>
      <c r="C83" s="147" t="s">
        <v>599</v>
      </c>
      <c r="D83" s="279"/>
      <c r="E83" s="247"/>
      <c r="F83" s="247"/>
      <c r="G83" s="247"/>
      <c r="H83" s="247"/>
      <c r="I83" s="247"/>
      <c r="J83" s="248"/>
      <c r="K83" s="248"/>
      <c r="L83" s="248"/>
      <c r="M83" s="248"/>
      <c r="N83" s="248"/>
      <c r="O83" s="248"/>
      <c r="P83" s="248"/>
      <c r="Q83" s="248"/>
      <c r="R83" s="248"/>
      <c r="S83" s="248"/>
      <c r="T83" s="248"/>
      <c r="U83" s="248"/>
      <c r="V83" s="248"/>
      <c r="W83" s="248"/>
      <c r="X83" s="248"/>
      <c r="Y83" s="248"/>
      <c r="Z83" s="248"/>
      <c r="AA83" s="248"/>
      <c r="AB83" s="259">
        <f t="shared" si="15"/>
        <v>0</v>
      </c>
      <c r="AC83" s="85"/>
      <c r="AD83" s="632"/>
      <c r="AE83" s="83"/>
      <c r="AF83" s="629"/>
      <c r="AG83" s="480">
        <v>82</v>
      </c>
    </row>
    <row r="84" spans="1:33" x14ac:dyDescent="0.85">
      <c r="A84" s="555" t="s">
        <v>28</v>
      </c>
      <c r="B84" s="275" t="s">
        <v>667</v>
      </c>
      <c r="C84" s="148" t="s">
        <v>192</v>
      </c>
      <c r="D84" s="351"/>
      <c r="E84" s="240"/>
      <c r="F84" s="240"/>
      <c r="G84" s="240"/>
      <c r="H84" s="240"/>
      <c r="I84" s="240"/>
      <c r="J84" s="241"/>
      <c r="K84" s="241"/>
      <c r="L84" s="241"/>
      <c r="M84" s="241"/>
      <c r="N84" s="241"/>
      <c r="O84" s="241"/>
      <c r="P84" s="241"/>
      <c r="Q84" s="241"/>
      <c r="R84" s="241"/>
      <c r="S84" s="241"/>
      <c r="T84" s="241"/>
      <c r="U84" s="241"/>
      <c r="V84" s="241"/>
      <c r="W84" s="241"/>
      <c r="X84" s="241"/>
      <c r="Y84" s="241"/>
      <c r="Z84" s="241"/>
      <c r="AA84" s="241"/>
      <c r="AB84" s="242">
        <f t="shared" si="10"/>
        <v>0</v>
      </c>
      <c r="AC84" s="623" t="str">
        <f>CONCATENATE(IF(D85&gt;D84," * F02-07 for Age "&amp;D20&amp;" "&amp;D21&amp;" is more than F02-06"&amp;CHAR(10),""),IF(E85&gt;E84," * F02-07 for Age "&amp;D20&amp;" "&amp;E21&amp;" is more than F02-06"&amp;CHAR(10),""),IF(F85&gt;F84," * F02-07 for Age "&amp;F20&amp;" "&amp;F21&amp;" is more than F02-06"&amp;CHAR(10),""),IF(G85&gt;G84," * F02-07 for Age "&amp;F20&amp;" "&amp;G21&amp;" is more than F02-06"&amp;CHAR(10),""),IF(H85&gt;H84," * F02-07 for Age "&amp;H20&amp;" "&amp;H21&amp;" is more than F02-06"&amp;CHAR(10),""),IF(I85&gt;I84," * F02-07 for Age "&amp;H20&amp;" "&amp;I21&amp;" is more than F02-06"&amp;CHAR(10),""),IF(J85&gt;J84," * F02-07 for Age "&amp;J20&amp;" "&amp;J21&amp;" is more than F02-06"&amp;CHAR(10),""),IF(K85&gt;K84," * F02-07 for Age "&amp;J20&amp;" "&amp;K21&amp;" is more than F02-06"&amp;CHAR(10),""),IF(L85&gt;L84," * F02-07 for Age "&amp;L20&amp;" "&amp;L21&amp;" is more than F02-06"&amp;CHAR(10),""),IF(M85&gt;M84," * F02-07 for Age "&amp;L20&amp;" "&amp;M21&amp;" is more than F02-06"&amp;CHAR(10),""),IF(N85&gt;N84," * F02-07 for Age "&amp;N20&amp;" "&amp;N21&amp;" is more than F02-06"&amp;CHAR(10),""),IF(O85&gt;O84," * F02-07 for Age "&amp;N20&amp;" "&amp;O21&amp;" is more than F02-06"&amp;CHAR(10),""),IF(P85&gt;P84," * F02-07 for Age "&amp;P20&amp;" "&amp;P21&amp;" is more than F02-06"&amp;CHAR(10),""),IF(Q85&gt;Q84," * F02-07 for Age "&amp;P20&amp;" "&amp;Q21&amp;" is more than F02-06"&amp;CHAR(10),""),IF(R85&gt;R84," * F02-07 for Age "&amp;R20&amp;" "&amp;R21&amp;" is more than F02-06"&amp;CHAR(10),""),IF(S85&gt;S84," * F02-07 for Age "&amp;R20&amp;" "&amp;S21&amp;" is more than F02-06"&amp;CHAR(10),""),IF(T85&gt;T84," * F02-07 for Age "&amp;T20&amp;" "&amp;T21&amp;" is more than F02-06"&amp;CHAR(10),""),IF(U85&gt;U84," * F02-07 for Age "&amp;T20&amp;" "&amp;U21&amp;" is more than F02-06"&amp;CHAR(10),""),IF(V85&gt;V84," * F02-07 for Age "&amp;V20&amp;" "&amp;V21&amp;" is more than F02-06"&amp;CHAR(10),""),IF(W85&gt;W84," * F02-07 for Age "&amp;V20&amp;" "&amp;W21&amp;" is more than F02-06"&amp;CHAR(10),""),IF(X85&gt;X84," * F02-07 for Age "&amp;X20&amp;" "&amp;X21&amp;" is more than F02-06"&amp;CHAR(10),""),IF(Y85&gt;Y84," * F02-07 for Age "&amp;X20&amp;" "&amp;Y21&amp;" is more than F02-06"&amp;CHAR(10),""),IF(Z85&gt;Z84," * F02-07 for Age "&amp;Z20&amp;" "&amp;Z21&amp;" is more than F02-06"&amp;CHAR(10),""),IF(AA85&gt;AA84," * F02-07 for Age "&amp;Z20&amp;" "&amp;AA21&amp;" is more than F02-06"&amp;CHAR(10),""),IF(AB85&gt;AB84," * Total F02-07 is more than Total F02-06"&amp;CHAR(10),""))</f>
        <v/>
      </c>
      <c r="AD84" s="632"/>
      <c r="AE84" s="83"/>
      <c r="AF84" s="629"/>
      <c r="AG84" s="480">
        <v>83</v>
      </c>
    </row>
    <row r="85" spans="1:33" x14ac:dyDescent="0.85">
      <c r="A85" s="556"/>
      <c r="B85" s="276" t="s">
        <v>668</v>
      </c>
      <c r="C85" s="136" t="s">
        <v>193</v>
      </c>
      <c r="D85" s="352"/>
      <c r="E85" s="231"/>
      <c r="F85" s="231"/>
      <c r="G85" s="231"/>
      <c r="H85" s="231"/>
      <c r="I85" s="231"/>
      <c r="J85" s="232"/>
      <c r="K85" s="232"/>
      <c r="L85" s="232"/>
      <c r="M85" s="232"/>
      <c r="N85" s="232"/>
      <c r="O85" s="232"/>
      <c r="P85" s="232"/>
      <c r="Q85" s="232"/>
      <c r="R85" s="232"/>
      <c r="S85" s="232"/>
      <c r="T85" s="232"/>
      <c r="U85" s="232"/>
      <c r="V85" s="232"/>
      <c r="W85" s="232"/>
      <c r="X85" s="232"/>
      <c r="Y85" s="232"/>
      <c r="Z85" s="232"/>
      <c r="AA85" s="232"/>
      <c r="AB85" s="243">
        <f t="shared" si="10"/>
        <v>0</v>
      </c>
      <c r="AC85" s="623"/>
      <c r="AD85" s="632"/>
      <c r="AE85" s="83"/>
      <c r="AF85" s="629"/>
      <c r="AG85" s="480">
        <v>84</v>
      </c>
    </row>
    <row r="86" spans="1:33" ht="31.3" thickBot="1" x14ac:dyDescent="0.9">
      <c r="A86" s="557"/>
      <c r="B86" s="277" t="s">
        <v>669</v>
      </c>
      <c r="C86" s="149" t="s">
        <v>354</v>
      </c>
      <c r="D86" s="353"/>
      <c r="E86" s="244"/>
      <c r="F86" s="244"/>
      <c r="G86" s="244"/>
      <c r="H86" s="244"/>
      <c r="I86" s="244"/>
      <c r="J86" s="245"/>
      <c r="K86" s="245"/>
      <c r="L86" s="245"/>
      <c r="M86" s="245"/>
      <c r="N86" s="245"/>
      <c r="O86" s="245"/>
      <c r="P86" s="245"/>
      <c r="Q86" s="245"/>
      <c r="R86" s="245"/>
      <c r="S86" s="245"/>
      <c r="T86" s="245"/>
      <c r="U86" s="245"/>
      <c r="V86" s="245"/>
      <c r="W86" s="245"/>
      <c r="X86" s="245"/>
      <c r="Y86" s="245"/>
      <c r="Z86" s="245"/>
      <c r="AA86" s="245"/>
      <c r="AB86" s="246">
        <f t="shared" si="10"/>
        <v>0</v>
      </c>
      <c r="AC86" s="85" t="str">
        <f>CONCATENATE(IF(D77&lt;SUM(D86,D84)," * Sum of Three months tests for prep and less than three months since prep initiation for Age "&amp;D60&amp;" "&amp;D61&amp;" is more than Current on Prep"&amp;CHAR(10),""),IF(E77&lt;SUM(E86,E84)," * Sum of Three months tests for prep and less than three months since prep initiation  for Age "&amp;D60&amp;" "&amp;E61&amp;" is more than Current on Prep"&amp;CHAR(10),""),IF(F77&lt;SUM(F86,F84)," * Sum of Three months tests for prep and less than three months since prep initiation  for Age "&amp;F60&amp;" "&amp;F61&amp;" is more than Current on Prep"&amp;CHAR(10),""),IF(G77&lt;SUM(G86,G84)," * Sum of Three months tests for prep and less than three months since prep initiation  for Age "&amp;F60&amp;" "&amp;G61&amp;" is more than Current on Prep"&amp;CHAR(10),""),IF(H77&lt;SUM(H86,H84)," * Sum of Three months tests for prep and less than three months since prep initiation  for Age "&amp;H60&amp;" "&amp;H61&amp;" is more than Current on Prep"&amp;CHAR(10),""),IF(I77&lt;SUM(I86,I84)," * Sum of Three months tests for prep and less than three months since prep initiation  for Age "&amp;H60&amp;" "&amp;I61&amp;" is more than Current on Prep"&amp;CHAR(10),""),IF(J77&lt;SUM(J86,J84)," * Sum of Three months tests for prep and less than three months since prep initiation  for Age "&amp;J60&amp;" "&amp;J61&amp;" is more than Current on Prep"&amp;CHAR(10),""),IF(K77&lt;SUM(K86,K84)," * Sum of Three months tests for prep and less than three months since prep initiation  for Age "&amp;J60&amp;" "&amp;K61&amp;" is more than Current on Prep"&amp;CHAR(10),""),IF(L77&lt;SUM(L86,L84)," * Sum of Three months tests for prep and less than three months since prep initiation  for Age "&amp;L60&amp;" "&amp;L61&amp;" is more than Current on Prep"&amp;CHAR(10),""),IF(M77&lt;SUM(M86,M84)," * Sum of Three months tests for prep and less than three months since prep initiation  for Age "&amp;L60&amp;" "&amp;M61&amp;" is more than Current on Prep"&amp;CHAR(10),""),IF(N77&lt;SUM(N86,N84)," * Sum of Three months tests for prep and less than three months since prep initiation  for Age "&amp;N60&amp;" "&amp;N61&amp;" is more than Current on Prep"&amp;CHAR(10),""),IF(O77&lt;SUM(O86,O84)," * Sum of Three months tests for prep and less than three months since prep initiation  for Age "&amp;N60&amp;" "&amp;O61&amp;" is more than Current on Prep"&amp;CHAR(10),""),IF(P77&lt;SUM(P86,P84)," * Sum of Three months tests for prep and less than three months since prep initiation  for Age "&amp;P60&amp;" "&amp;P61&amp;" is more than Current on Prep"&amp;CHAR(10),""),IF(Q77&lt;SUM(Q86,Q84)," * Sum of Three months tests for prep and less than three months since prep initiation  for Age "&amp;P60&amp;" "&amp;Q61&amp;" is more than Current on Prep"&amp;CHAR(10),""),IF(R77&lt;SUM(R86,R84)," * Sum of Three months tests for prep and less than three months since prep initiation  for Age "&amp;R60&amp;" "&amp;R61&amp;" is more than Current on Prep"&amp;CHAR(10),""),IF(S77&lt;SUM(S86,S84)," * Sum of Three months tests for prep and less than three months since prep initiation  for Age "&amp;R60&amp;" "&amp;S61&amp;" is more than Current on Prep"&amp;CHAR(10),""),IF(T77&lt;SUM(T86,T84)," * Sum of Three months tests for prep and less than three months since prep initiation  for Age "&amp;T60&amp;" "&amp;T61&amp;" is more than Current on Prep"&amp;CHAR(10),""),IF(U77&lt;SUM(U8,U84)," * Sum of Three months tests for prep and less than three months since prep initiation  for Age "&amp;T60&amp;" "&amp;U61&amp;" is more than Current on Prep"&amp;CHAR(10),""),IF(V77&lt;SUM(V86,V84)," * Sum of Three months tests for prep and less than three months since prep initiation  for Age "&amp;V60&amp;" "&amp;V61&amp;" is more than Current on Prep"&amp;CHAR(10),""),IF(W77&lt;SUM(W86,W84)," * Sum of Three months tests for prep and less than three months since prep initiation  for Age "&amp;V60&amp;" "&amp;W61&amp;" is more than Current on Prep"&amp;CHAR(10),""),IF(X77&lt;SUM(X86,X84)," * Sum of Three months tests for prep and less than three months since prep initiation  for Age "&amp;X60&amp;" "&amp;X61&amp;" is more than Current on Prep"&amp;CHAR(10),""),IF(Y77&lt;SUM(Y86,Y84)," * Sum of Three months tests for prep and less than three months since prep initiation  for Age "&amp;X60&amp;" "&amp;Y61&amp;" is more than Current on Prep"&amp;CHAR(10),""),IF(Z77&lt;SUM(Z86,Z84)," * Sum of Three months tests for prep and less than three months since prep initiation  for Age "&amp;Z60&amp;" "&amp;Z61&amp;" is more than Current on Prep"&amp;CHAR(10),""),IF(AA77&lt;SUM(AA86,AA84)," * Sum of Three months tests for prep and less than three months since prep initiation  for Age "&amp;Z60&amp;" "&amp;AA61&amp;" is more than Current on Prep"&amp;CHAR(10),""))</f>
        <v/>
      </c>
      <c r="AD86" s="632"/>
      <c r="AE86" s="83"/>
      <c r="AF86" s="629"/>
      <c r="AG86" s="480">
        <v>85</v>
      </c>
    </row>
    <row r="87" spans="1:33" x14ac:dyDescent="0.85">
      <c r="A87" s="555" t="s">
        <v>21</v>
      </c>
      <c r="B87" s="284" t="s">
        <v>670</v>
      </c>
      <c r="C87" s="134" t="s">
        <v>355</v>
      </c>
      <c r="D87" s="141"/>
      <c r="E87" s="34"/>
      <c r="F87" s="34"/>
      <c r="G87" s="34"/>
      <c r="H87" s="34"/>
      <c r="I87" s="34"/>
      <c r="J87" s="35"/>
      <c r="K87" s="35"/>
      <c r="L87" s="35"/>
      <c r="M87" s="35"/>
      <c r="N87" s="35"/>
      <c r="O87" s="35"/>
      <c r="P87" s="35"/>
      <c r="Q87" s="35"/>
      <c r="R87" s="35"/>
      <c r="S87" s="35"/>
      <c r="T87" s="35"/>
      <c r="U87" s="35"/>
      <c r="V87" s="35"/>
      <c r="W87" s="35"/>
      <c r="X87" s="35"/>
      <c r="Y87" s="35"/>
      <c r="Z87" s="35"/>
      <c r="AA87" s="35"/>
      <c r="AB87" s="36">
        <f t="shared" si="10"/>
        <v>0</v>
      </c>
      <c r="AC87" s="85"/>
      <c r="AD87" s="632"/>
      <c r="AE87" s="83"/>
      <c r="AF87" s="629"/>
      <c r="AG87" s="480">
        <v>86</v>
      </c>
    </row>
    <row r="88" spans="1:33" x14ac:dyDescent="0.85">
      <c r="A88" s="556"/>
      <c r="B88" s="276" t="s">
        <v>671</v>
      </c>
      <c r="C88" s="136" t="s">
        <v>356</v>
      </c>
      <c r="D88" s="127"/>
      <c r="E88" s="18"/>
      <c r="F88" s="18"/>
      <c r="G88" s="18"/>
      <c r="H88" s="18"/>
      <c r="I88" s="18"/>
      <c r="J88" s="19"/>
      <c r="K88" s="19"/>
      <c r="L88" s="19"/>
      <c r="M88" s="19"/>
      <c r="N88" s="19"/>
      <c r="O88" s="19"/>
      <c r="P88" s="19"/>
      <c r="Q88" s="19"/>
      <c r="R88" s="19"/>
      <c r="S88" s="19"/>
      <c r="T88" s="19"/>
      <c r="U88" s="19"/>
      <c r="V88" s="19"/>
      <c r="W88" s="19"/>
      <c r="X88" s="19"/>
      <c r="Y88" s="19"/>
      <c r="Z88" s="19"/>
      <c r="AA88" s="19"/>
      <c r="AB88" s="37">
        <f t="shared" si="10"/>
        <v>0</v>
      </c>
      <c r="AC88" s="85"/>
      <c r="AD88" s="632"/>
      <c r="AE88" s="83"/>
      <c r="AF88" s="629"/>
      <c r="AG88" s="480">
        <v>87</v>
      </c>
    </row>
    <row r="89" spans="1:33" x14ac:dyDescent="0.85">
      <c r="A89" s="556"/>
      <c r="B89" s="276" t="s">
        <v>672</v>
      </c>
      <c r="C89" s="136" t="s">
        <v>195</v>
      </c>
      <c r="D89" s="127"/>
      <c r="E89" s="18"/>
      <c r="F89" s="18"/>
      <c r="G89" s="18"/>
      <c r="H89" s="18"/>
      <c r="I89" s="18"/>
      <c r="J89" s="19"/>
      <c r="K89" s="19"/>
      <c r="L89" s="19"/>
      <c r="M89" s="19"/>
      <c r="N89" s="19"/>
      <c r="O89" s="19"/>
      <c r="P89" s="19"/>
      <c r="Q89" s="19"/>
      <c r="R89" s="19"/>
      <c r="S89" s="19"/>
      <c r="T89" s="19"/>
      <c r="U89" s="19"/>
      <c r="V89" s="19"/>
      <c r="W89" s="19"/>
      <c r="X89" s="19"/>
      <c r="Y89" s="19"/>
      <c r="Z89" s="19"/>
      <c r="AA89" s="19"/>
      <c r="AB89" s="37">
        <f t="shared" si="10"/>
        <v>0</v>
      </c>
      <c r="AC89" s="85"/>
      <c r="AD89" s="632"/>
      <c r="AE89" s="83"/>
      <c r="AF89" s="629"/>
      <c r="AG89" s="480">
        <v>88</v>
      </c>
    </row>
    <row r="90" spans="1:33" x14ac:dyDescent="0.85">
      <c r="A90" s="556"/>
      <c r="B90" s="276" t="s">
        <v>673</v>
      </c>
      <c r="C90" s="136" t="s">
        <v>196</v>
      </c>
      <c r="D90" s="127"/>
      <c r="E90" s="18"/>
      <c r="F90" s="18"/>
      <c r="G90" s="18"/>
      <c r="H90" s="18"/>
      <c r="I90" s="18"/>
      <c r="J90" s="19"/>
      <c r="K90" s="19"/>
      <c r="L90" s="19"/>
      <c r="M90" s="19"/>
      <c r="N90" s="19"/>
      <c r="O90" s="19"/>
      <c r="P90" s="19"/>
      <c r="Q90" s="19"/>
      <c r="R90" s="19"/>
      <c r="S90" s="19"/>
      <c r="T90" s="19"/>
      <c r="U90" s="19"/>
      <c r="V90" s="19"/>
      <c r="W90" s="19"/>
      <c r="X90" s="19"/>
      <c r="Y90" s="19"/>
      <c r="Z90" s="19"/>
      <c r="AA90" s="19"/>
      <c r="AB90" s="37">
        <f t="shared" si="10"/>
        <v>0</v>
      </c>
      <c r="AC90" s="85"/>
      <c r="AD90" s="632"/>
      <c r="AE90" s="83"/>
      <c r="AF90" s="629"/>
      <c r="AG90" s="480">
        <v>89</v>
      </c>
    </row>
    <row r="91" spans="1:33" x14ac:dyDescent="0.85">
      <c r="A91" s="556"/>
      <c r="B91" s="276" t="s">
        <v>674</v>
      </c>
      <c r="C91" s="136" t="s">
        <v>197</v>
      </c>
      <c r="D91" s="127"/>
      <c r="E91" s="18"/>
      <c r="F91" s="18"/>
      <c r="G91" s="18"/>
      <c r="H91" s="18"/>
      <c r="I91" s="18"/>
      <c r="J91" s="19"/>
      <c r="K91" s="19"/>
      <c r="L91" s="19"/>
      <c r="M91" s="19"/>
      <c r="N91" s="19"/>
      <c r="O91" s="19"/>
      <c r="P91" s="19"/>
      <c r="Q91" s="19"/>
      <c r="R91" s="19"/>
      <c r="S91" s="19"/>
      <c r="T91" s="19"/>
      <c r="U91" s="19"/>
      <c r="V91" s="19"/>
      <c r="W91" s="19"/>
      <c r="X91" s="19"/>
      <c r="Y91" s="19"/>
      <c r="Z91" s="19"/>
      <c r="AA91" s="19"/>
      <c r="AB91" s="37">
        <f t="shared" si="10"/>
        <v>0</v>
      </c>
      <c r="AC91" s="85"/>
      <c r="AD91" s="632"/>
      <c r="AE91" s="83"/>
      <c r="AF91" s="629"/>
      <c r="AG91" s="480">
        <v>90</v>
      </c>
    </row>
    <row r="92" spans="1:33" x14ac:dyDescent="0.85">
      <c r="A92" s="556"/>
      <c r="B92" s="276" t="s">
        <v>675</v>
      </c>
      <c r="C92" s="136" t="s">
        <v>198</v>
      </c>
      <c r="D92" s="127"/>
      <c r="E92" s="18"/>
      <c r="F92" s="18"/>
      <c r="G92" s="18"/>
      <c r="H92" s="18"/>
      <c r="I92" s="18"/>
      <c r="J92" s="19"/>
      <c r="K92" s="19"/>
      <c r="L92" s="19"/>
      <c r="M92" s="19"/>
      <c r="N92" s="19"/>
      <c r="O92" s="19"/>
      <c r="P92" s="19"/>
      <c r="Q92" s="19"/>
      <c r="R92" s="19"/>
      <c r="S92" s="19"/>
      <c r="T92" s="19"/>
      <c r="U92" s="19"/>
      <c r="V92" s="19"/>
      <c r="W92" s="19"/>
      <c r="X92" s="19"/>
      <c r="Y92" s="19"/>
      <c r="Z92" s="19"/>
      <c r="AA92" s="19"/>
      <c r="AB92" s="37">
        <f t="shared" si="10"/>
        <v>0</v>
      </c>
      <c r="AC92" s="85"/>
      <c r="AD92" s="632"/>
      <c r="AE92" s="83"/>
      <c r="AF92" s="629"/>
      <c r="AG92" s="480">
        <v>91</v>
      </c>
    </row>
    <row r="93" spans="1:33" ht="31.3" thickBot="1" x14ac:dyDescent="0.9">
      <c r="A93" s="557"/>
      <c r="B93" s="282" t="s">
        <v>676</v>
      </c>
      <c r="C93" s="138" t="s">
        <v>199</v>
      </c>
      <c r="D93" s="143"/>
      <c r="E93" s="38"/>
      <c r="F93" s="38"/>
      <c r="G93" s="38"/>
      <c r="H93" s="38"/>
      <c r="I93" s="38"/>
      <c r="J93" s="39"/>
      <c r="K93" s="39"/>
      <c r="L93" s="39"/>
      <c r="M93" s="39"/>
      <c r="N93" s="39"/>
      <c r="O93" s="39"/>
      <c r="P93" s="39"/>
      <c r="Q93" s="39"/>
      <c r="R93" s="39"/>
      <c r="S93" s="39"/>
      <c r="T93" s="39"/>
      <c r="U93" s="39"/>
      <c r="V93" s="39"/>
      <c r="W93" s="39"/>
      <c r="X93" s="39"/>
      <c r="Y93" s="39"/>
      <c r="Z93" s="39"/>
      <c r="AA93" s="39"/>
      <c r="AB93" s="40">
        <f t="shared" si="10"/>
        <v>0</v>
      </c>
      <c r="AC93" s="85"/>
      <c r="AD93" s="632"/>
      <c r="AE93" s="83"/>
      <c r="AF93" s="629"/>
      <c r="AG93" s="480">
        <v>92</v>
      </c>
    </row>
    <row r="94" spans="1:33" x14ac:dyDescent="0.85">
      <c r="A94" s="555" t="s">
        <v>114</v>
      </c>
      <c r="B94" s="292" t="s">
        <v>677</v>
      </c>
      <c r="C94" s="134" t="s">
        <v>357</v>
      </c>
      <c r="D94" s="141"/>
      <c r="E94" s="34"/>
      <c r="F94" s="34"/>
      <c r="G94" s="34"/>
      <c r="H94" s="34"/>
      <c r="I94" s="34"/>
      <c r="J94" s="34"/>
      <c r="K94" s="34"/>
      <c r="L94" s="34"/>
      <c r="M94" s="34"/>
      <c r="N94" s="34"/>
      <c r="O94" s="34"/>
      <c r="P94" s="34"/>
      <c r="Q94" s="34"/>
      <c r="R94" s="34"/>
      <c r="S94" s="34"/>
      <c r="T94" s="34"/>
      <c r="U94" s="34"/>
      <c r="V94" s="34"/>
      <c r="W94" s="34"/>
      <c r="X94" s="34"/>
      <c r="Y94" s="34"/>
      <c r="Z94" s="34"/>
      <c r="AA94" s="34"/>
      <c r="AB94" s="52"/>
      <c r="AC94" s="85"/>
      <c r="AD94" s="632"/>
      <c r="AE94" s="83"/>
      <c r="AF94" s="629"/>
      <c r="AG94" s="480">
        <v>93</v>
      </c>
    </row>
    <row r="95" spans="1:33" ht="31.3" thickBot="1" x14ac:dyDescent="0.9">
      <c r="A95" s="660"/>
      <c r="B95" s="293" t="s">
        <v>678</v>
      </c>
      <c r="C95" s="138" t="s">
        <v>358</v>
      </c>
      <c r="D95" s="128"/>
      <c r="E95" s="50"/>
      <c r="F95" s="50"/>
      <c r="G95" s="50"/>
      <c r="H95" s="50"/>
      <c r="I95" s="50"/>
      <c r="J95" s="50"/>
      <c r="K95" s="50"/>
      <c r="L95" s="50"/>
      <c r="M95" s="50"/>
      <c r="N95" s="50"/>
      <c r="O95" s="50"/>
      <c r="P95" s="50"/>
      <c r="Q95" s="50"/>
      <c r="R95" s="50"/>
      <c r="S95" s="50"/>
      <c r="T95" s="50"/>
      <c r="U95" s="50"/>
      <c r="V95" s="50"/>
      <c r="W95" s="50"/>
      <c r="X95" s="50"/>
      <c r="Y95" s="50"/>
      <c r="Z95" s="50"/>
      <c r="AA95" s="50"/>
      <c r="AB95" s="101"/>
      <c r="AC95" s="194"/>
      <c r="AD95" s="633"/>
      <c r="AE95" s="97"/>
      <c r="AF95" s="630"/>
      <c r="AG95" s="480">
        <v>94</v>
      </c>
    </row>
    <row r="96" spans="1:33" ht="35.15" thickBot="1" x14ac:dyDescent="0.9">
      <c r="A96" s="568" t="s">
        <v>126</v>
      </c>
      <c r="B96" s="569"/>
      <c r="C96" s="569"/>
      <c r="D96" s="569"/>
      <c r="E96" s="569"/>
      <c r="F96" s="569"/>
      <c r="G96" s="569"/>
      <c r="H96" s="569"/>
      <c r="I96" s="569"/>
      <c r="J96" s="569"/>
      <c r="K96" s="569"/>
      <c r="L96" s="569"/>
      <c r="M96" s="569"/>
      <c r="N96" s="569"/>
      <c r="O96" s="569"/>
      <c r="P96" s="569"/>
      <c r="Q96" s="569"/>
      <c r="R96" s="569"/>
      <c r="S96" s="569"/>
      <c r="T96" s="569"/>
      <c r="U96" s="569"/>
      <c r="V96" s="569"/>
      <c r="W96" s="569"/>
      <c r="X96" s="569"/>
      <c r="Y96" s="569"/>
      <c r="Z96" s="569"/>
      <c r="AA96" s="569"/>
      <c r="AB96" s="569"/>
      <c r="AC96" s="569"/>
      <c r="AD96" s="569"/>
      <c r="AE96" s="569"/>
      <c r="AF96" s="570"/>
      <c r="AG96" s="480">
        <v>95</v>
      </c>
    </row>
    <row r="97" spans="1:34" ht="26.25" customHeight="1" x14ac:dyDescent="0.85">
      <c r="A97" s="578" t="s">
        <v>37</v>
      </c>
      <c r="B97" s="601" t="s">
        <v>347</v>
      </c>
      <c r="C97" s="655" t="s">
        <v>328</v>
      </c>
      <c r="D97" s="592" t="s">
        <v>0</v>
      </c>
      <c r="E97" s="592"/>
      <c r="F97" s="592" t="s">
        <v>1</v>
      </c>
      <c r="G97" s="592"/>
      <c r="H97" s="592" t="s">
        <v>2</v>
      </c>
      <c r="I97" s="592"/>
      <c r="J97" s="592" t="s">
        <v>3</v>
      </c>
      <c r="K97" s="592"/>
      <c r="L97" s="592" t="s">
        <v>4</v>
      </c>
      <c r="M97" s="592"/>
      <c r="N97" s="592" t="s">
        <v>5</v>
      </c>
      <c r="O97" s="592"/>
      <c r="P97" s="592" t="s">
        <v>6</v>
      </c>
      <c r="Q97" s="592"/>
      <c r="R97" s="592" t="s">
        <v>7</v>
      </c>
      <c r="S97" s="592"/>
      <c r="T97" s="592" t="s">
        <v>8</v>
      </c>
      <c r="U97" s="592"/>
      <c r="V97" s="592" t="s">
        <v>23</v>
      </c>
      <c r="W97" s="592"/>
      <c r="X97" s="592" t="s">
        <v>24</v>
      </c>
      <c r="Y97" s="592"/>
      <c r="Z97" s="592" t="s">
        <v>9</v>
      </c>
      <c r="AA97" s="592"/>
      <c r="AB97" s="638" t="s">
        <v>19</v>
      </c>
      <c r="AC97" s="626" t="s">
        <v>381</v>
      </c>
      <c r="AD97" s="573" t="s">
        <v>387</v>
      </c>
      <c r="AE97" s="572" t="s">
        <v>388</v>
      </c>
      <c r="AF97" s="619" t="s">
        <v>388</v>
      </c>
      <c r="AG97" s="480">
        <v>96</v>
      </c>
    </row>
    <row r="98" spans="1:34" ht="27" customHeight="1" thickBot="1" x14ac:dyDescent="0.9">
      <c r="A98" s="579"/>
      <c r="B98" s="602"/>
      <c r="C98" s="656"/>
      <c r="D98" s="81" t="s">
        <v>10</v>
      </c>
      <c r="E98" s="81" t="s">
        <v>11</v>
      </c>
      <c r="F98" s="81" t="s">
        <v>10</v>
      </c>
      <c r="G98" s="81" t="s">
        <v>11</v>
      </c>
      <c r="H98" s="81" t="s">
        <v>10</v>
      </c>
      <c r="I98" s="81" t="s">
        <v>11</v>
      </c>
      <c r="J98" s="81" t="s">
        <v>10</v>
      </c>
      <c r="K98" s="81" t="s">
        <v>11</v>
      </c>
      <c r="L98" s="81" t="s">
        <v>10</v>
      </c>
      <c r="M98" s="81" t="s">
        <v>11</v>
      </c>
      <c r="N98" s="81" t="s">
        <v>10</v>
      </c>
      <c r="O98" s="81" t="s">
        <v>11</v>
      </c>
      <c r="P98" s="81" t="s">
        <v>10</v>
      </c>
      <c r="Q98" s="81" t="s">
        <v>11</v>
      </c>
      <c r="R98" s="81" t="s">
        <v>10</v>
      </c>
      <c r="S98" s="81" t="s">
        <v>11</v>
      </c>
      <c r="T98" s="81" t="s">
        <v>10</v>
      </c>
      <c r="U98" s="81" t="s">
        <v>11</v>
      </c>
      <c r="V98" s="81" t="s">
        <v>10</v>
      </c>
      <c r="W98" s="81" t="s">
        <v>11</v>
      </c>
      <c r="X98" s="81" t="s">
        <v>10</v>
      </c>
      <c r="Y98" s="81" t="s">
        <v>11</v>
      </c>
      <c r="Z98" s="81" t="s">
        <v>10</v>
      </c>
      <c r="AA98" s="81" t="s">
        <v>11</v>
      </c>
      <c r="AB98" s="639"/>
      <c r="AC98" s="627"/>
      <c r="AD98" s="574"/>
      <c r="AE98" s="572"/>
      <c r="AF98" s="567"/>
      <c r="AG98" s="480">
        <v>97</v>
      </c>
    </row>
    <row r="99" spans="1:34" s="9" customFormat="1" x14ac:dyDescent="0.85">
      <c r="A99" s="654" t="s">
        <v>1048</v>
      </c>
      <c r="B99" s="275" t="s">
        <v>679</v>
      </c>
      <c r="C99" s="158" t="s">
        <v>213</v>
      </c>
      <c r="D99" s="150"/>
      <c r="E99" s="31"/>
      <c r="F99" s="31"/>
      <c r="G99" s="31"/>
      <c r="H99" s="31"/>
      <c r="I99" s="31"/>
      <c r="J99" s="31"/>
      <c r="K99" s="31"/>
      <c r="L99" s="31"/>
      <c r="M99" s="31"/>
      <c r="N99" s="31"/>
      <c r="O99" s="31"/>
      <c r="P99" s="31"/>
      <c r="Q99" s="31"/>
      <c r="R99" s="31"/>
      <c r="S99" s="31"/>
      <c r="T99" s="31"/>
      <c r="U99" s="31"/>
      <c r="V99" s="31"/>
      <c r="W99" s="31"/>
      <c r="X99" s="31"/>
      <c r="Y99" s="31"/>
      <c r="Z99" s="31"/>
      <c r="AA99" s="31"/>
      <c r="AB99" s="89">
        <f>SUM(D99:AA99)</f>
        <v>0</v>
      </c>
      <c r="AC99" s="102" t="str">
        <f>CONCATENATE(IF(D99&lt;&gt;SUM(D101,D103,D105,D107,D109)," *  Iniated On IPT New ON ART for Age "&amp;D20&amp;" "&amp;D21&amp;" is not equal to the sum of  Completed IPT New on ART+ Discontinued New on ART + LTFU New on ART + Died New on ART + Transferred Out New on ART)"&amp;CHAR(10),""),IF(E99&lt;&gt;SUM(E101,E103,E105,E107,E109)," *  Iniated On IPT New ON ART for Age "&amp;D20&amp;" "&amp;E21&amp;" is not equal to the sum of F03-03+F03-05+F03-07+F03-09+F03-11"&amp;CHAR(10),""),IF(F99&lt;&gt;SUM(F101,F103,F105,F107,F109)," *  Iniated On IPT New ON ART for Age "&amp;F20&amp;" "&amp;F21&amp;" is not equal to the sum of  Completed IPT New on ART+ Discontinued New on ART + LTFU New on ART + Died New on ART + Transferred Out New on ART)"&amp;CHAR(10),""),IF(G99&lt;&gt;SUM(G101,G103,G105,G107,G109)," *  Iniated On IPT New ON ART for Age "&amp;F20&amp;" "&amp;G21&amp;" is not equal to the sum of F03-03+F03-05+F03-07+F03-09+F03-11"&amp;CHAR(10),""),IF(H99&lt;&gt;SUM(H101,H103,H105,H107,H109)," *  Iniated On IPT New ON ART for Age "&amp;H20&amp;" "&amp;H21&amp;" is not equal to the sum of  Completed IPT New on ART+ Discontinued New on ART + LTFU New on ART + Died New on ART + Transferred Out New on ART)"&amp;CHAR(10),""),IF(I99&lt;&gt;SUM(I101,I103,I105,I107,I109)," *  Iniated On IPT New ON ART for Age "&amp;H20&amp;" "&amp;I21&amp;" is not equal to the sum of F03-03+F03-05+F03-07+F03-09+F03-11"&amp;CHAR(10),""),IF(J99&lt;&gt;SUM(J101,J103,J105,J107,J109)," *  Iniated On IPT New ON ART for Age "&amp;J20&amp;" "&amp;J21&amp;" is not equal to the sum of  Completed IPT New on ART+ Discontinued New on ART + LTFU New on ART + Died New on ART + Transferred Out New on ART)"&amp;CHAR(10),""),IF(K99&lt;&gt;SUM(K101,K103,K105,K107,K109)," *  Iniated On IPT New ON ART for Age "&amp;J20&amp;" "&amp;K21&amp;" is not equal to the sum of F03-03+F03-05+F03-07+F03-09+F03-11"&amp;CHAR(10),""),IF(L99&lt;&gt;SUM(L101,L103,L105,L107,L109)," *  Iniated On IPT New ON ART for Age "&amp;L20&amp;" "&amp;L21&amp;" is not equal to the sum of  Completed IPT New on ART+ Discontinued New on ART + LTFU New on ART + Died New on ART + Transferred Out New on ART)"&amp;CHAR(10),""),IF(M99&lt;&gt;SUM(M101,M103,M105,M107,M109)," *  Iniated On IPT New ON ART for Age "&amp;L20&amp;" "&amp;M21&amp;" is not equal to the sum of F03-03+F03-05+F03-07+F03-09+F03-11"&amp;CHAR(10),""),IF(N99&lt;&gt;SUM(N101,N103,N105,N107,N109)," *  Iniated On IPT New ON ART for Age "&amp;N20&amp;" "&amp;N21&amp;" is not equal to the sum of  Completed IPT New on ART+ Discontinued New on ART + LTFU New on ART + Died New on ART + Transferred Out New on ART)"&amp;CHAR(10),""),IF(O99&lt;&gt;SUM(O101,O103,O105,O107,O109)," *  Iniated On IPT New ON ART for Age "&amp;N20&amp;" "&amp;O21&amp;" is not equal to the sum of F03-03+F03-05+F03-07+F03-09+F03-11"&amp;CHAR(10),""),IF(P99&lt;&gt;SUM(P101,P103,P105,P107,P109)," *  Iniated On IPT New ON ART for Age "&amp;P20&amp;" "&amp;P21&amp;" is not equal to the sum of  Completed IPT New on ART+ Discontinued New on ART + LTFU New on ART + Died New on ART + Transferred Out New on ART)"&amp;CHAR(10),""),IF(Q99&lt;&gt;SUM(Q101,Q103,Q105,Q107,Q109)," *  Iniated On IPT New ON ART for Age "&amp;P20&amp;" "&amp;Q21&amp;" is not equal to the sum of F03-03+F03-05+F03-07+F03-09+F03-11"&amp;CHAR(10),""),IF(R99&lt;&gt;SUM(R101,R103,R105,R107,R109)," *  Iniated On IPT New ON ART for Age "&amp;R20&amp;" "&amp;R21&amp;" is not equal to the sum of  Completed IPT New on ART+ Discontinued New on ART + LTFU New on ART + Died New on ART + Transferred Out New on ART)"&amp;CHAR(10),""),IF(S99&lt;&gt;SUM(S101,S103,S105,S107,S109)," *  Iniated On IPT New ON ART for Age "&amp;R20&amp;" "&amp;S21&amp;" is not equal to the sum of F03-03+F03-05+F03-07+F03-09+F03-11"&amp;CHAR(10),""),IF(T99&lt;&gt;SUM(T101,T103,T105,T107,T109)," *  Iniated On IPT New ON ART for Age "&amp;T20&amp;" "&amp;T21&amp;" is not equal to the sum of  Completed IPT New on ART+ Discontinued New on ART + LTFU New on ART + Died New on ART + Transferred Out New on ART)"&amp;CHAR(10),""),IF(U99&lt;&gt;SUM(U101,U103,U105,U107,U109)," *  Iniated On IPT New ON ART for Age "&amp;T20&amp;" "&amp;U21&amp;" is not equal to the sum of F03-03+F03-05+F03-07+F03-09+F03-11"&amp;CHAR(10),""),IF(V99&lt;&gt;SUM(V101,V103,V105,V107,V109)," *  Iniated On IPT New ON ART for Age "&amp;V20&amp;" "&amp;V21&amp;" is not equal to the sum of  Completed IPT New on ART+ Discontinued New on ART + LTFU New on ART + Died New on ART + Transferred Out New on ART)"&amp;CHAR(10),""),IF(W99&lt;&gt;SUM(W101,W103,W105,W107,W109)," *  Iniated On IPT New ON ART for Age "&amp;V20&amp;" "&amp;W21&amp;" is not equal to the sum of F03-03+F03-05+F03-07+F03-09+F03-11"&amp;CHAR(10),""),IF(X99&lt;&gt;SUM(X101,X103,X105,X107,X109)," *  Iniated On IPT New ON ART for Age "&amp;X20&amp;" "&amp;X21&amp;" is not equal to the sum of  Completed IPT New on ART+ Discontinued New on ART + LTFU New on ART + Died New on ART + Transferred Out New on ART)"&amp;CHAR(10),""),IF(Y99&lt;&gt;SUM(Y101,Y103,Y105,Y107,Y109)," *  Iniated On IPT New ON ART for Age "&amp;X20&amp;" "&amp;Y21&amp;" is not equal to the sum of F03-03+F03-05+F03-07+F03-09+F03-11"&amp;CHAR(10),""),IF(Z99&lt;&gt;SUM(Z101,Z103,Z105,Z107,Z109)," *  Iniated On IPT New ON ART for Age "&amp;Z20&amp;" "&amp;Z21&amp;" is not equal to the sum of  Completed IPT New on ART+ Discontinued New on ART + LTFU New on ART + Died New on ART + Transferred Out New on ART)"&amp;CHAR(10),""),IF(AA99&lt;&gt;SUM(AA101,AA103,AA105,AA107,AA109)," *  Iniated On IPT New ON ART for Age "&amp;Z20&amp;" "&amp;AA21&amp;" is not equal to the sum of  Completed IPT New on ART+ Discontinued New on ART + LTFU New on ART + Died New on ART + Transferred Out New on ART)"&amp;CHAR(10),""))</f>
        <v/>
      </c>
      <c r="AD99" s="589" t="str">
        <f>CONCATENATE(AC99,AC100,AC101,AC102,AC103,AC104,AC105,AC106,AC107,AC108,AC109,AC110)</f>
        <v/>
      </c>
      <c r="AE99" s="103"/>
      <c r="AF99" s="628" t="str">
        <f>CONCATENATE(AE99,AE100,AE101,AE102,AE103,AE104,AE105,AE106,AE107,AE108,AE109,AE110)</f>
        <v/>
      </c>
      <c r="AG99" s="480">
        <v>98</v>
      </c>
      <c r="AH99" s="336"/>
    </row>
    <row r="100" spans="1:34" s="9" customFormat="1" ht="31.3" thickBot="1" x14ac:dyDescent="0.9">
      <c r="A100" s="557"/>
      <c r="B100" s="282" t="s">
        <v>680</v>
      </c>
      <c r="C100" s="145" t="s">
        <v>214</v>
      </c>
      <c r="D100" s="151"/>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40">
        <f t="shared" ref="AB100:AB110" si="16">SUM(D100:AA100)</f>
        <v>0</v>
      </c>
      <c r="AC100" s="85" t="str">
        <f>CONCATENATE(IF(D100&lt;&gt;SUM(D102,D104,D106,D108,D110)," * F03-02 for Age "&amp;D20&amp;" "&amp;D21&amp;" is not equal to the sum of (F03-04+F03-06+F03-08+F03-10+F03-12)"&amp;CHAR(10),""),IF(E100&lt;&gt;SUM(E102,E104,E106,E108,E110)," * F03-02 for Age "&amp;D20&amp;" "&amp;E21&amp;" is not equal to the sum of F03-04+F03-06+F03-08+F03-10+F03-12"&amp;CHAR(10),""),IF(F100&lt;&gt;SUM(F102,F104,F106,F108,F110)," * F03-02 for Age "&amp;F20&amp;" "&amp;F21&amp;" is not equal to the sum of (F03-04+F03-06+F03-08+F03-10+F03-12)"&amp;CHAR(10),""),IF(G100&lt;&gt;SUM(G102,G104,G106,G108,G110)," * F03-02 for Age "&amp;F20&amp;" "&amp;G21&amp;" is not equal to the sum of F03-04+F03-06+F03-08+F03-10+F03-12"&amp;CHAR(10),""),IF(H100&lt;&gt;SUM(H102,H104,H106,H108,H110)," * F03-02 for Age "&amp;H20&amp;" "&amp;H21&amp;" is not equal to the sum of (F03-04+F03-06+F03-08+F03-10+F03-12)"&amp;CHAR(10),""),IF(I100&lt;&gt;SUM(I102,I104,I106,I108,I110)," * F03-02 for Age "&amp;H20&amp;" "&amp;I21&amp;" is not equal to the sum of F03-04+F03-06+F03-08+F03-10+F03-12"&amp;CHAR(10),""),IF(J100&lt;&gt;SUM(J102,J104,J106,J108,J110)," * F03-02 for Age "&amp;J20&amp;" "&amp;J21&amp;" is not equal to the sum of (F03-04+F03-06+F03-08+F03-10+F03-12)"&amp;CHAR(10),""),IF(K100&lt;&gt;SUM(K102,K104,K106,K108,K110)," * F03-02 for Age "&amp;J20&amp;" "&amp;K21&amp;" is not equal to the sum of F03-04+F03-06+F03-08+F03-10+F03-12"&amp;CHAR(10),""),IF(L100&lt;&gt;SUM(L102,L104,L106,L108,L110)," * F03-02 for Age "&amp;L20&amp;" "&amp;L21&amp;" is not equal to the sum of (F03-04+F03-06+F03-08+F03-10+F03-12)"&amp;CHAR(10),""),IF(M100&lt;&gt;SUM(M102,M104,M106,M108,M110)," * F03-02 for Age "&amp;L20&amp;" "&amp;M21&amp;" is not equal to the sum of F03-04+F03-06+F03-08+F03-10+F03-12"&amp;CHAR(10),""),IF(N100&lt;&gt;SUM(N102,N104,N106,N108,N110)," * F03-02 for Age "&amp;N20&amp;" "&amp;N21&amp;" is not equal to the sum of (F03-04+F03-06+F03-08+F03-10+F03-12)"&amp;CHAR(10),""),IF(O100&lt;&gt;SUM(O102,O104,O106,O108,O110)," * F03-02 for Age "&amp;N20&amp;" "&amp;O21&amp;" is not equal to the sum of F03-04+F03-06+F03-08+F03-10+F03-12"&amp;CHAR(10),""),IF(P100&lt;&gt;SUM(P102,P104,P106,P108,P110)," * F03-02 for Age "&amp;P20&amp;" "&amp;P21&amp;" is not equal to the sum of (F03-04+F03-06+F03-08+F03-10+F03-12)"&amp;CHAR(10),""),IF(Q100&lt;&gt;SUM(Q102,Q104,Q106,Q108,Q110)," * F03-02 for Age "&amp;P20&amp;" "&amp;Q21&amp;" is not equal to the sum of F03-04+F03-06+F03-08+F03-10+F03-12"&amp;CHAR(10),""),IF(R100&lt;&gt;SUM(R102,R104,R106,R108,R110)," * F03-02 for Age "&amp;R20&amp;" "&amp;R21&amp;" is not equal to the sum of (F03-04+F03-06+F03-08+F03-10+F03-12)"&amp;CHAR(10),""),IF(S100&lt;&gt;SUM(S102,S104,S106,S108,S110)," * F03-02 for Age "&amp;R20&amp;" "&amp;S21&amp;" is not equal to the sum of F03-04+F03-06+F03-08+F03-10+F03-12"&amp;CHAR(10),""),IF(T100&lt;&gt;SUM(T102,T104,T106,T108,T110)," * F03-02 for Age "&amp;T20&amp;" "&amp;T21&amp;" is not equal to the sum of (F03-04+F03-06+F03-08+F03-10+F03-12)"&amp;CHAR(10),""),IF(U100&lt;&gt;SUM(U102,U104,U106,U108,U110)," * F03-02 for Age "&amp;T20&amp;" "&amp;U21&amp;" is not equal to the sum of F03-04+F03-06+F03-08+F03-10+F03-12"&amp;CHAR(10),""),IF(V100&lt;&gt;SUM(V102,V104,V106,V108,V110)," * F03-02 for Age "&amp;V20&amp;" "&amp;V21&amp;" is not equal to the sum of (F03-04+F03-06+F03-08+F03-10+F03-12)"&amp;CHAR(10),""),IF(W100&lt;&gt;SUM(W102,W104,W106,W108,W110)," * F03-02 for Age "&amp;V20&amp;" "&amp;W21&amp;" is not equal to the sum of F03-04+F03-06+F03-08+F03-10+F03-12"&amp;CHAR(10),""),IF(X100&lt;&gt;SUM(X102,X104,X106,X108,X110)," * F03-02 for Age "&amp;X20&amp;" "&amp;X21&amp;" is not equal to the sum of (F03-04+F03-06+F03-08+F03-10+F03-12)"&amp;CHAR(10),""),IF(Y100&lt;&gt;SUM(Y102,Y104,Y106,Y108,Y110)," * F03-02 for Age "&amp;X20&amp;" "&amp;Y21&amp;" is not equal to the sum of F03-04+F03-06+F03-08+F03-10+F03-12"&amp;CHAR(10),""),IF(Z100&lt;&gt;SUM(Z102,Z104,Z106,Z108,Z110)," * F03-02 for Age "&amp;Z20&amp;" "&amp;Z21&amp;" is not equal to the sum of (F03-04+F03-06+F03-08+F03-10+F03-12)"&amp;CHAR(10),""),IF(AA100&lt;&gt;SUM(AA102,AA104,AA106,AA108,AA110)," * F03-02 for Age "&amp;Z20&amp;" "&amp;AA21&amp;" is not equal to the sum of (F03-04+F03-06+F03-08+F03-10+F03-12)"&amp;CHAR(10),""))</f>
        <v/>
      </c>
      <c r="AD100" s="590"/>
      <c r="AE100" s="84"/>
      <c r="AF100" s="629"/>
      <c r="AG100" s="480">
        <v>99</v>
      </c>
      <c r="AH100" s="336"/>
    </row>
    <row r="101" spans="1:34" x14ac:dyDescent="0.85">
      <c r="A101" s="555" t="s">
        <v>1049</v>
      </c>
      <c r="B101" s="284" t="s">
        <v>681</v>
      </c>
      <c r="C101" s="134" t="s">
        <v>215</v>
      </c>
      <c r="D101" s="152"/>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36">
        <f t="shared" si="16"/>
        <v>0</v>
      </c>
      <c r="AC101" s="85" t="str">
        <f>CONCATENATE(IF(D101&gt;D99," * F03-03 for Age "&amp;D20&amp;" "&amp;D21&amp;" is more than F03-01"&amp;CHAR(10),""),IF(E101&gt;E99," * F03-03 for Age "&amp;D20&amp;" "&amp;E21&amp;" is more than F03-01"&amp;CHAR(10),""),IF(F101&gt;F99," * F03-03 for Age "&amp;F20&amp;" "&amp;F21&amp;" is more than F03-01"&amp;CHAR(10),""),IF(G101&gt;G99," * F03-03 for Age "&amp;F20&amp;" "&amp;G21&amp;" is more than F03-01"&amp;CHAR(10),""),IF(H101&gt;H99," * F03-03 for Age "&amp;H20&amp;" "&amp;H21&amp;" is more than F03-01"&amp;CHAR(10),""),IF(I101&gt;I99," * F03-03 for Age "&amp;H20&amp;" "&amp;I21&amp;" is more than F03-01"&amp;CHAR(10),""),IF(J101&gt;J99," * F03-03 for Age "&amp;J20&amp;" "&amp;J21&amp;" is more than F03-01"&amp;CHAR(10),""),IF(K101&gt;K99," * F03-03 for Age "&amp;J20&amp;" "&amp;K21&amp;" is more than F03-01"&amp;CHAR(10),""),IF(L101&gt;L99," * F03-03 for Age "&amp;L20&amp;" "&amp;L21&amp;" is more than F03-01"&amp;CHAR(10),""),IF(M101&gt;M99," * F03-03 for Age "&amp;L20&amp;" "&amp;M21&amp;" is more than F03-01"&amp;CHAR(10),""),IF(N101&gt;N99," * F03-03 for Age "&amp;N20&amp;" "&amp;N21&amp;" is more than F03-01"&amp;CHAR(10),""),IF(O101&gt;O99," * F03-03 for Age "&amp;N20&amp;" "&amp;O21&amp;" is more than F03-01"&amp;CHAR(10),""),IF(P101&gt;P99," * F03-03 for Age "&amp;P20&amp;" "&amp;P21&amp;" is more than F03-01"&amp;CHAR(10),""),IF(Q101&gt;Q99," * F03-03 for Age "&amp;P20&amp;" "&amp;Q21&amp;" is more than F03-01"&amp;CHAR(10),""),IF(R101&gt;R99," * F03-03 for Age "&amp;R20&amp;" "&amp;R21&amp;" is more than F03-01"&amp;CHAR(10),""),IF(S101&gt;S99," * F03-03 for Age "&amp;R20&amp;" "&amp;S21&amp;" is more than F03-01"&amp;CHAR(10),""),IF(T101&gt;T99," * F03-03 for Age "&amp;T20&amp;" "&amp;T21&amp;" is more than F03-01"&amp;CHAR(10),""),IF(U101&gt;U99," * F03-03 for Age "&amp;T20&amp;" "&amp;U21&amp;" is more than F03-01"&amp;CHAR(10),""),IF(V101&gt;V99," * F03-03 for Age "&amp;V20&amp;" "&amp;V21&amp;" is more than F03-01"&amp;CHAR(10),""),IF(W101&gt;W99," * F03-03 for Age "&amp;V20&amp;" "&amp;W21&amp;" is more than F03-01"&amp;CHAR(10),""),IF(X101&gt;X99," * F03-03 for Age "&amp;X20&amp;" "&amp;X21&amp;" is more than F03-01"&amp;CHAR(10),""),IF(Y101&gt;Y99," * F03-03 for Age "&amp;X20&amp;" "&amp;Y21&amp;" is more than F03-01"&amp;CHAR(10),""),IF(Z101&gt;Z99," * F03-03 for Age "&amp;Z20&amp;" "&amp;Z21&amp;" is more than F03-01"&amp;CHAR(10),""),IF(AA101&gt;AA99," * F03-03 for Age "&amp;Z20&amp;" "&amp;AA21&amp;" is more than F03-01"&amp;CHAR(10),""))</f>
        <v/>
      </c>
      <c r="AD101" s="590"/>
      <c r="AE101" s="83"/>
      <c r="AF101" s="629"/>
      <c r="AG101" s="480">
        <v>100</v>
      </c>
    </row>
    <row r="102" spans="1:34" ht="31.3" thickBot="1" x14ac:dyDescent="0.9">
      <c r="A102" s="557"/>
      <c r="B102" s="282" t="s">
        <v>680</v>
      </c>
      <c r="C102" s="138" t="s">
        <v>216</v>
      </c>
      <c r="D102" s="153"/>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40">
        <f t="shared" si="16"/>
        <v>0</v>
      </c>
      <c r="AC102" s="85" t="str">
        <f>CONCATENATE(IF(D102&gt;D100," * F03-04 for Age "&amp;D20&amp;" "&amp;D21&amp;" is more than F03-02"&amp;CHAR(10),""),IF(E102&gt;E100," * F03-04 for Age "&amp;D20&amp;" "&amp;E21&amp;" is more than F03-02"&amp;CHAR(10),""),IF(F102&gt;F100," * F03-04 for Age "&amp;F20&amp;" "&amp;F21&amp;" is more than F03-02"&amp;CHAR(10),""),IF(G102&gt;G100," * F03-04 for Age "&amp;F20&amp;" "&amp;G21&amp;" is more than F03-02"&amp;CHAR(10),""),IF(H102&gt;H100," * F03-04 for Age "&amp;H20&amp;" "&amp;H21&amp;" is more than F03-02"&amp;CHAR(10),""),IF(I102&gt;I100," * F03-04 for Age "&amp;H20&amp;" "&amp;I21&amp;" is more than F03-02"&amp;CHAR(10),""),IF(J102&gt;J100," * F03-04 for Age "&amp;J20&amp;" "&amp;J21&amp;" is more than F03-02"&amp;CHAR(10),""),IF(K102&gt;K100," * F03-04 for Age "&amp;J20&amp;" "&amp;K21&amp;" is more than F03-02"&amp;CHAR(10),""),IF(L102&gt;L100," * F03-04 for Age "&amp;L20&amp;" "&amp;L21&amp;" is more than F03-02"&amp;CHAR(10),""),IF(M102&gt;M100," * F03-04 for Age "&amp;L20&amp;" "&amp;M21&amp;" is more than F03-02"&amp;CHAR(10),""),IF(N102&gt;N100," * F03-04 for Age "&amp;N20&amp;" "&amp;N21&amp;" is more than F03-02"&amp;CHAR(10),""),IF(O102&gt;O100," * F03-04 for Age "&amp;N20&amp;" "&amp;O21&amp;" is more than F03-02"&amp;CHAR(10),""),IF(P102&gt;P100," * F03-04 for Age "&amp;P20&amp;" "&amp;P21&amp;" is more than F03-02"&amp;CHAR(10),""),IF(Q102&gt;Q100," * F03-04 for Age "&amp;P20&amp;" "&amp;Q21&amp;" is more than F03-02"&amp;CHAR(10),""),IF(R102&gt;R100," * F03-04 for Age "&amp;R20&amp;" "&amp;R21&amp;" is more than F03-02"&amp;CHAR(10),""),IF(S102&gt;S100," * F03-04 for Age "&amp;R20&amp;" "&amp;S21&amp;" is more than F03-02"&amp;CHAR(10),""),IF(T102&gt;T100," * F03-04 for Age "&amp;T20&amp;" "&amp;T21&amp;" is more than F03-02"&amp;CHAR(10),""),IF(U102&gt;U100," * F03-04 for Age "&amp;T20&amp;" "&amp;U21&amp;" is more than F03-02"&amp;CHAR(10),""),IF(V102&gt;V100," * F03-04 for Age "&amp;V20&amp;" "&amp;V21&amp;" is more than F03-02"&amp;CHAR(10),""),IF(W102&gt;W100," * F03-04 for Age "&amp;V20&amp;" "&amp;W21&amp;" is more than F03-02"&amp;CHAR(10),""),IF(X102&gt;X100," * F03-04 for Age "&amp;X20&amp;" "&amp;X21&amp;" is more than F03-02"&amp;CHAR(10),""),IF(Y102&gt;Y100," * F03-04 for Age "&amp;X20&amp;" "&amp;Y21&amp;" is more than F03-02"&amp;CHAR(10),""),IF(Z102&gt;Z100," * F03-04 for Age "&amp;Z20&amp;" "&amp;Z21&amp;" is more than F03-02"&amp;CHAR(10),""),IF(AA102&gt;AA100," * F03-04 for Age "&amp;Z20&amp;" "&amp;AA21&amp;" is more than F03-02"&amp;CHAR(10),""),IF(AB102&gt;AB100," * Total F03-04 is more than Total F03-02"&amp;CHAR(10),""))</f>
        <v/>
      </c>
      <c r="AD102" s="590"/>
      <c r="AE102" s="83"/>
      <c r="AF102" s="629"/>
      <c r="AG102" s="480">
        <v>101</v>
      </c>
    </row>
    <row r="103" spans="1:34" s="7" customFormat="1" x14ac:dyDescent="0.85">
      <c r="A103" s="576" t="s">
        <v>29</v>
      </c>
      <c r="B103" s="295" t="s">
        <v>682</v>
      </c>
      <c r="C103" s="159" t="s">
        <v>217</v>
      </c>
      <c r="D103" s="154"/>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36">
        <f t="shared" si="16"/>
        <v>0</v>
      </c>
      <c r="AC103" s="85" t="str">
        <f>CONCATENATE(IF(D252&lt;SUM(D99,D100)," * Total Initiated on IPT for Age "&amp;D20&amp;" "&amp;D21&amp;" is More than Current ON ART "&amp;CHAR(10),""),IF(E252&lt;SUM(E99,E100)," * Total Initiated on IPT for Age "&amp;D20&amp;" "&amp;E21&amp;" is More than the sum of F03-03+F03-05+F03-07+F03-09+F03-11"&amp;CHAR(10),""),IF(F252&lt;SUM(F99,F100)," * Total Initiated on IPT for Age "&amp;F20&amp;" "&amp;F21&amp;" is More than Current ON ART "&amp;CHAR(10),""),IF(G252&lt;SUM(G99,G100)," * Total Initiated on IPT for Age "&amp;F20&amp;" "&amp;G21&amp;" is More than the sum of F03-03+F03-05+F03-07+F03-09+F03-11"&amp;CHAR(10),""),IF(H252&lt;SUM(H99,H100)," * Total Initiated on IPT for Age "&amp;H20&amp;" "&amp;H21&amp;" is More than Current ON ART "&amp;CHAR(10),""),IF(I252&lt;SUM(I99,I100)," * Total Initiated on IPT for Age "&amp;H20&amp;" "&amp;I21&amp;" is More than the sum of F03-03+F03-05+F03-07+F03-09+F03-11"&amp;CHAR(10),""),IF(J252&lt;SUM(J99,J100)," * Total Initiated on IPT for Age "&amp;J20&amp;" "&amp;J21&amp;" is More than Current ON ART "&amp;CHAR(10),""),IF(K252&lt;SUM(K99,K100)," * Total Initiated on IPT for Age "&amp;J20&amp;" "&amp;K21&amp;" is More than the sum of F03-03+F03-05+F03-07+F03-09+F03-11"&amp;CHAR(10),""),IF(L252&lt;SUM(L99,L100)," * Total Initiated on IPT for Age "&amp;L20&amp;" "&amp;L21&amp;" is More than Current ON ART "&amp;CHAR(10),""),IF(M252&lt;SUM(M99,M100)," * Total Initiated on IPT for Age "&amp;L20&amp;" "&amp;M21&amp;" is More than the sum of F03-03+F03-05+F03-07+F03-09+F03-11"&amp;CHAR(10),""),IF(N252&lt;SUM(N99,N100)," * Total Initiated on IPT for Age "&amp;N20&amp;" "&amp;N21&amp;" is More than Current ON ART "&amp;CHAR(10),""),IF(O252&lt;SUM(O99,O100)," * Total Initiated on IPT for Age "&amp;N20&amp;" "&amp;O21&amp;" is More than the sum of F03-03+F03-05+F03-07+F03-09+F03-11"&amp;CHAR(10),""),IF(P252&lt;SUM(P99,P100)," * Total Initiated on IPT for Age "&amp;P20&amp;" "&amp;P21&amp;" is More than Current ON ART "&amp;CHAR(10),""),IF(Q252&lt;SUM(Q99,Q100)," * Total Initiated on IPT for Age "&amp;P20&amp;" "&amp;Q21&amp;" is More than the sum of F03-03+F03-05+F03-07+F03-09+F03-11"&amp;CHAR(10),""),IF(R252&lt;SUM(R99,R100)," * Total Initiated on IPT for Age "&amp;R20&amp;" "&amp;R21&amp;" is More than Current ON ART "&amp;CHAR(10),""),IF(S252&lt;SUM(S99,S100)," * Total Initiated on IPT for Age "&amp;R20&amp;" "&amp;S21&amp;" is More than the sum of F03-03+F03-05+F03-07+F03-09+F03-11"&amp;CHAR(10),""),IF(T252&lt;SUM(T99,T100)," * Total Initiated on IPT for Age "&amp;T20&amp;" "&amp;T21&amp;" is More than Current ON ART "&amp;CHAR(10),""),IF(U252&lt;SUM(U99,U100)," * Total Initiated on IPT for Age "&amp;T20&amp;" "&amp;U21&amp;" is More than the sum of F03-03+F03-05+F03-07+F03-09+F03-11"&amp;CHAR(10),""),IF(V252&lt;SUM(V99,V100)," * Total Initiated on IPT for Age "&amp;V20&amp;" "&amp;V21&amp;" is More than Current ON ART "&amp;CHAR(10),""),IF(W252&lt;SUM(W99,W100)," * Total Initiated on IPT for Age "&amp;V20&amp;" "&amp;W21&amp;" is More than the sum of F03-03+F03-05+F03-07+F03-09+F03-11"&amp;CHAR(10),""),IF(X252&lt;SUM(X99,X100)," * Total Initiated on IPT for Age "&amp;X20&amp;" "&amp;X21&amp;" is More than Current ON ART "&amp;CHAR(10),""),IF(Y252&lt;SUM(Y99,Y100)," * Total Initiated on IPT for Age "&amp;X20&amp;" "&amp;Y21&amp;" is More than the sum of F03-03+F03-05+F03-07+F03-09+F03-11"&amp;CHAR(10),""),IF(Z252&lt;SUM(Z99,Z100)," * Total Initiated on IPT for Age "&amp;Z20&amp;" "&amp;Z21&amp;" is More than Current ON ART "&amp;CHAR(10),""),IF(AA252&lt;SUM(AA99,AA100)," * Total Initiated on IPT for Age "&amp;Z20&amp;" "&amp;AA21&amp;" is More than Current ON ART "&amp;CHAR(10),""))</f>
        <v/>
      </c>
      <c r="AD103" s="590"/>
      <c r="AE103" s="83"/>
      <c r="AF103" s="629"/>
      <c r="AG103" s="480">
        <v>102</v>
      </c>
      <c r="AH103" s="335"/>
    </row>
    <row r="104" spans="1:34" s="7" customFormat="1" ht="31.3" thickBot="1" x14ac:dyDescent="0.9">
      <c r="A104" s="577"/>
      <c r="B104" s="296" t="s">
        <v>683</v>
      </c>
      <c r="C104" s="160" t="s">
        <v>218</v>
      </c>
      <c r="D104" s="1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40">
        <f t="shared" si="16"/>
        <v>0</v>
      </c>
      <c r="AC104" s="85"/>
      <c r="AD104" s="590"/>
      <c r="AE104" s="83"/>
      <c r="AF104" s="629"/>
      <c r="AG104" s="480">
        <v>103</v>
      </c>
      <c r="AH104" s="335"/>
    </row>
    <row r="105" spans="1:34" s="7" customFormat="1" x14ac:dyDescent="0.85">
      <c r="A105" s="576" t="s">
        <v>30</v>
      </c>
      <c r="B105" s="295" t="s">
        <v>682</v>
      </c>
      <c r="C105" s="159" t="s">
        <v>219</v>
      </c>
      <c r="D105" s="154"/>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36">
        <f t="shared" si="16"/>
        <v>0</v>
      </c>
      <c r="AC105" s="85"/>
      <c r="AD105" s="590"/>
      <c r="AE105" s="83"/>
      <c r="AF105" s="629"/>
      <c r="AG105" s="480">
        <v>104</v>
      </c>
      <c r="AH105" s="335"/>
    </row>
    <row r="106" spans="1:34" s="7" customFormat="1" ht="31.3" thickBot="1" x14ac:dyDescent="0.9">
      <c r="A106" s="577"/>
      <c r="B106" s="296" t="s">
        <v>683</v>
      </c>
      <c r="C106" s="160" t="s">
        <v>220</v>
      </c>
      <c r="D106" s="1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40">
        <f t="shared" si="16"/>
        <v>0</v>
      </c>
      <c r="AC106" s="85"/>
      <c r="AD106" s="590"/>
      <c r="AE106" s="83"/>
      <c r="AF106" s="629"/>
      <c r="AG106" s="480">
        <v>105</v>
      </c>
      <c r="AH106" s="335"/>
    </row>
    <row r="107" spans="1:34" s="7" customFormat="1" x14ac:dyDescent="0.85">
      <c r="A107" s="576" t="s">
        <v>31</v>
      </c>
      <c r="B107" s="295" t="s">
        <v>682</v>
      </c>
      <c r="C107" s="159" t="s">
        <v>221</v>
      </c>
      <c r="D107" s="154"/>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36">
        <f t="shared" si="16"/>
        <v>0</v>
      </c>
      <c r="AC107" s="85"/>
      <c r="AD107" s="590"/>
      <c r="AE107" s="83"/>
      <c r="AF107" s="629"/>
      <c r="AG107" s="480">
        <v>106</v>
      </c>
      <c r="AH107" s="335"/>
    </row>
    <row r="108" spans="1:34" s="7" customFormat="1" ht="31.3" thickBot="1" x14ac:dyDescent="0.9">
      <c r="A108" s="577"/>
      <c r="B108" s="296" t="s">
        <v>683</v>
      </c>
      <c r="C108" s="160" t="s">
        <v>222</v>
      </c>
      <c r="D108" s="1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40">
        <f t="shared" si="16"/>
        <v>0</v>
      </c>
      <c r="AC108" s="85"/>
      <c r="AD108" s="590"/>
      <c r="AE108" s="83"/>
      <c r="AF108" s="629"/>
      <c r="AG108" s="480">
        <v>107</v>
      </c>
      <c r="AH108" s="335"/>
    </row>
    <row r="109" spans="1:34" s="7" customFormat="1" x14ac:dyDescent="0.85">
      <c r="A109" s="576" t="s">
        <v>32</v>
      </c>
      <c r="B109" s="297" t="s">
        <v>682</v>
      </c>
      <c r="C109" s="161" t="s">
        <v>223</v>
      </c>
      <c r="D109" s="156"/>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89">
        <f t="shared" si="16"/>
        <v>0</v>
      </c>
      <c r="AC109" s="85"/>
      <c r="AD109" s="590"/>
      <c r="AE109" s="83"/>
      <c r="AF109" s="629"/>
      <c r="AG109" s="480">
        <v>108</v>
      </c>
      <c r="AH109" s="335"/>
    </row>
    <row r="110" spans="1:34" s="7" customFormat="1" ht="31.3" thickBot="1" x14ac:dyDescent="0.9">
      <c r="A110" s="583"/>
      <c r="B110" s="298" t="s">
        <v>683</v>
      </c>
      <c r="C110" s="160" t="s">
        <v>224</v>
      </c>
      <c r="D110" s="157"/>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91">
        <f t="shared" si="16"/>
        <v>0</v>
      </c>
      <c r="AC110" s="194"/>
      <c r="AD110" s="591"/>
      <c r="AE110" s="97"/>
      <c r="AF110" s="630"/>
      <c r="AG110" s="480">
        <v>109</v>
      </c>
      <c r="AH110" s="335"/>
    </row>
    <row r="111" spans="1:34" ht="35.15" thickBot="1" x14ac:dyDescent="0.9">
      <c r="A111" s="568" t="s">
        <v>127</v>
      </c>
      <c r="B111" s="569"/>
      <c r="C111" s="569"/>
      <c r="D111" s="569"/>
      <c r="E111" s="569"/>
      <c r="F111" s="569"/>
      <c r="G111" s="569"/>
      <c r="H111" s="569"/>
      <c r="I111" s="569"/>
      <c r="J111" s="569"/>
      <c r="K111" s="569"/>
      <c r="L111" s="569"/>
      <c r="M111" s="569"/>
      <c r="N111" s="569"/>
      <c r="O111" s="569"/>
      <c r="P111" s="569"/>
      <c r="Q111" s="569"/>
      <c r="R111" s="569"/>
      <c r="S111" s="569"/>
      <c r="T111" s="569"/>
      <c r="U111" s="569"/>
      <c r="V111" s="569"/>
      <c r="W111" s="569"/>
      <c r="X111" s="569"/>
      <c r="Y111" s="569"/>
      <c r="Z111" s="569"/>
      <c r="AA111" s="569"/>
      <c r="AB111" s="569"/>
      <c r="AC111" s="569"/>
      <c r="AD111" s="569"/>
      <c r="AE111" s="569"/>
      <c r="AF111" s="570"/>
      <c r="AG111" s="480">
        <v>110</v>
      </c>
    </row>
    <row r="112" spans="1:34" ht="26.25" customHeight="1" x14ac:dyDescent="0.85">
      <c r="A112" s="578" t="s">
        <v>37</v>
      </c>
      <c r="B112" s="580" t="s">
        <v>347</v>
      </c>
      <c r="C112" s="655" t="s">
        <v>328</v>
      </c>
      <c r="D112" s="697"/>
      <c r="E112" s="698"/>
      <c r="F112" s="698"/>
      <c r="G112" s="698"/>
      <c r="H112" s="698"/>
      <c r="I112" s="698"/>
      <c r="J112" s="698"/>
      <c r="K112" s="699"/>
      <c r="L112" s="592" t="s">
        <v>4</v>
      </c>
      <c r="M112" s="592"/>
      <c r="N112" s="592" t="s">
        <v>5</v>
      </c>
      <c r="O112" s="592"/>
      <c r="P112" s="592" t="s">
        <v>6</v>
      </c>
      <c r="Q112" s="592"/>
      <c r="R112" s="592" t="s">
        <v>7</v>
      </c>
      <c r="S112" s="592"/>
      <c r="T112" s="592" t="s">
        <v>8</v>
      </c>
      <c r="U112" s="592"/>
      <c r="V112" s="592" t="s">
        <v>23</v>
      </c>
      <c r="W112" s="592"/>
      <c r="X112" s="592" t="s">
        <v>24</v>
      </c>
      <c r="Y112" s="592"/>
      <c r="Z112" s="592" t="s">
        <v>9</v>
      </c>
      <c r="AA112" s="592"/>
      <c r="AB112" s="638" t="s">
        <v>19</v>
      </c>
      <c r="AC112" s="626" t="s">
        <v>381</v>
      </c>
      <c r="AD112" s="573" t="s">
        <v>387</v>
      </c>
      <c r="AE112" s="572" t="s">
        <v>388</v>
      </c>
      <c r="AF112" s="619" t="s">
        <v>388</v>
      </c>
      <c r="AG112" s="480">
        <v>111</v>
      </c>
    </row>
    <row r="113" spans="1:33" ht="27" customHeight="1" thickBot="1" x14ac:dyDescent="0.9">
      <c r="A113" s="579"/>
      <c r="B113" s="581"/>
      <c r="C113" s="656"/>
      <c r="D113" s="700"/>
      <c r="E113" s="701"/>
      <c r="F113" s="701"/>
      <c r="G113" s="701"/>
      <c r="H113" s="701"/>
      <c r="I113" s="701"/>
      <c r="J113" s="701"/>
      <c r="K113" s="702"/>
      <c r="L113" s="81" t="s">
        <v>10</v>
      </c>
      <c r="M113" s="81" t="s">
        <v>11</v>
      </c>
      <c r="N113" s="81" t="s">
        <v>10</v>
      </c>
      <c r="O113" s="81" t="s">
        <v>11</v>
      </c>
      <c r="P113" s="81" t="s">
        <v>10</v>
      </c>
      <c r="Q113" s="81" t="s">
        <v>11</v>
      </c>
      <c r="R113" s="81" t="s">
        <v>10</v>
      </c>
      <c r="S113" s="81" t="s">
        <v>11</v>
      </c>
      <c r="T113" s="81" t="s">
        <v>10</v>
      </c>
      <c r="U113" s="81" t="s">
        <v>11</v>
      </c>
      <c r="V113" s="81" t="s">
        <v>10</v>
      </c>
      <c r="W113" s="81" t="s">
        <v>11</v>
      </c>
      <c r="X113" s="81" t="s">
        <v>10</v>
      </c>
      <c r="Y113" s="81" t="s">
        <v>11</v>
      </c>
      <c r="Z113" s="81" t="s">
        <v>10</v>
      </c>
      <c r="AA113" s="81" t="s">
        <v>11</v>
      </c>
      <c r="AB113" s="639"/>
      <c r="AC113" s="627"/>
      <c r="AD113" s="574"/>
      <c r="AE113" s="572"/>
      <c r="AF113" s="567"/>
      <c r="AG113" s="480">
        <v>112</v>
      </c>
    </row>
    <row r="114" spans="1:33" x14ac:dyDescent="0.85">
      <c r="A114" s="654" t="s">
        <v>33</v>
      </c>
      <c r="B114" s="275" t="s">
        <v>684</v>
      </c>
      <c r="C114" s="148" t="s">
        <v>359</v>
      </c>
      <c r="D114" s="126"/>
      <c r="E114" s="32"/>
      <c r="F114" s="32"/>
      <c r="G114" s="32"/>
      <c r="H114" s="32"/>
      <c r="I114" s="32"/>
      <c r="J114" s="32"/>
      <c r="K114" s="32"/>
      <c r="L114" s="32"/>
      <c r="M114" s="31"/>
      <c r="N114" s="32"/>
      <c r="O114" s="31"/>
      <c r="P114" s="32"/>
      <c r="Q114" s="31"/>
      <c r="R114" s="32"/>
      <c r="S114" s="31"/>
      <c r="T114" s="32"/>
      <c r="U114" s="31"/>
      <c r="V114" s="32"/>
      <c r="W114" s="31"/>
      <c r="X114" s="56"/>
      <c r="Y114" s="31"/>
      <c r="Z114" s="56"/>
      <c r="AA114" s="31"/>
      <c r="AB114" s="89">
        <f>SUM(D114:AA114)</f>
        <v>0</v>
      </c>
      <c r="AC114" s="102"/>
      <c r="AD114" s="648" t="str">
        <f>CONCATENATE(AC114,AC115,AC116,AC118,AC119,AC120,AC121,AC122,AC123,AC125,AC126,AC127,AC128,AC129,AC130,AC132,AC133,AC134)</f>
        <v/>
      </c>
      <c r="AE114" s="99"/>
      <c r="AF114" s="628" t="str">
        <f>CONCATENATE(AE114,AE115,AE116,AE118,AE119,AE120,AE121,AE122,AE123,AE125,AE126,AE127,AE128,AE129,AE130,AE132,AE133,AE134)</f>
        <v/>
      </c>
      <c r="AG114" s="480">
        <v>113</v>
      </c>
    </row>
    <row r="115" spans="1:33" x14ac:dyDescent="0.85">
      <c r="A115" s="556"/>
      <c r="B115" s="276" t="s">
        <v>153</v>
      </c>
      <c r="C115" s="136" t="s">
        <v>225</v>
      </c>
      <c r="D115" s="127"/>
      <c r="E115" s="18"/>
      <c r="F115" s="18"/>
      <c r="G115" s="18"/>
      <c r="H115" s="18"/>
      <c r="I115" s="18"/>
      <c r="J115" s="18"/>
      <c r="K115" s="18"/>
      <c r="L115" s="18"/>
      <c r="M115" s="19"/>
      <c r="N115" s="18"/>
      <c r="O115" s="19"/>
      <c r="P115" s="18"/>
      <c r="Q115" s="19"/>
      <c r="R115" s="18"/>
      <c r="S115" s="19"/>
      <c r="T115" s="18"/>
      <c r="U115" s="19"/>
      <c r="V115" s="18"/>
      <c r="W115" s="19"/>
      <c r="X115" s="26"/>
      <c r="Y115" s="19"/>
      <c r="Z115" s="26"/>
      <c r="AA115" s="19"/>
      <c r="AB115" s="37">
        <f t="shared" ref="AB115:AB134" si="17">SUM(D115:AA115)</f>
        <v>0</v>
      </c>
      <c r="AC115" s="85" t="str">
        <f>CONCATENATE(IF(D117&lt;&gt;SUM(D118,D119,D120)," * Total CXCA Screening positive for Age "&amp;D20&amp;" "&amp;D21&amp;" is Not equal to  the sum of (Cryotherapy and Leep and Thermocoagulation)"&amp;CHAR(10),""),IF(E117&lt;&gt;SUM(E118,E119,E120)," * Total CXCA Screening positive for Age "&amp;D20&amp;" "&amp;E21&amp;" is Not equal to  the sum of (Cryotherapy and Leep and Thermocoagulation)"&amp;CHAR(10),""),IF(F117&lt;&gt;SUM(F118,F119,F120)," * Total CXCA Screening positive for Age "&amp;F20&amp;" "&amp;F21&amp;" is Not equal to  the sum of (Cryotherapy and Leep and Thermocoagulation)"&amp;CHAR(10),""),IF(G117&lt;&gt;SUM(G118,G119,G120)," * Total CXCA Screening positive for Age "&amp;F20&amp;" "&amp;G21&amp;" is Not equal to  the sum of (Cryotherapy and Leep and Thermocoagulation)"&amp;CHAR(10),""),IF(H117&lt;&gt;SUM(H118,H119,H120)," * Total CXCA Screening positive for Age "&amp;H20&amp;" "&amp;H21&amp;" is Not equal to  the sum of (Cryotherapy and Leep and Thermocoagulation)"&amp;CHAR(10),""),IF(I117&lt;&gt;SUM(I118,I119,I120)," * Total CXCA Screening positive for Age "&amp;H20&amp;" "&amp;I21&amp;" is Not equal to  the sum of (Cryotherapy and Leep and Thermocoagulation)"&amp;CHAR(10),""),IF(J117&lt;&gt;SUM(J118,J119,J120)," * Total CXCA Screening positive for Age "&amp;J20&amp;" "&amp;J21&amp;" is Not equal to  the sum of (Cryotherapy and Leep and Thermocoagulation)"&amp;CHAR(10),""),IF(K117&lt;&gt;SUM(K118,K119,K120)," * Total CXCA Screening positive for Age "&amp;J20&amp;" "&amp;K21&amp;" is Not equal to  the sum of (Cryotherapy and Leep and Thermocoagulation)"&amp;CHAR(10),""),IF(L117&lt;&gt;SUM(L118,L119,L120)," * Total CXCA Screening positive for Age "&amp;L20&amp;" "&amp;L21&amp;" is Not equal to  the sum of (Cryotherapy and Leep and Thermocoagulation)"&amp;CHAR(10),""),IF(M117&lt;&gt;SUM(M118,M119,M120)," * Total CXCA Screening positive for Age "&amp;L20&amp;" "&amp;M21&amp;" is Not equal to  the sum of (Cryotherapy and Leep and Thermocoagulation)"&amp;CHAR(10),""),IF(N117&lt;&gt;SUM(N118,N119,N120)," * Total CXCA Screening positive for Age "&amp;N20&amp;" "&amp;N21&amp;" is Not equal to  the sum of (Cryotherapy and Leep and Thermocoagulation)"&amp;CHAR(10),""),IF(O117&lt;&gt;SUM(O118,O119,O120)," * Total CXCA Screening positive for Age "&amp;N20&amp;" "&amp;O21&amp;" is Not equal to  the sum of (Cryotherapy and Leep and Thermocoagulation)"&amp;CHAR(10),""),IF(P117&lt;&gt;SUM(P118,P119,P120)," * Total CXCA Screening positive for Age "&amp;P20&amp;" "&amp;P21&amp;" is Not equal to  the sum of (Cryotherapy and Leep and Thermocoagulation)"&amp;CHAR(10),""),IF(Q117&lt;&gt;SUM(Q118,Q119,Q120)," * Total CXCA Screening positive for Age "&amp;P20&amp;" "&amp;Q21&amp;" is Not equal to  the sum of (Cryotherapy and Leep and Thermocoagulation)"&amp;CHAR(10),""),IF(R117&lt;&gt;SUM(R118,R119,R120)," * Total CXCA Screening positive for Age "&amp;R20&amp;" "&amp;R21&amp;" is Not equal to  the sum of (Cryotherapy and Leep and Thermocoagulation)"&amp;CHAR(10),""),IF(S117&lt;&gt;SUM(S118,S119,S120)," * Total CXCA Screening positive for Age "&amp;R20&amp;" "&amp;S21&amp;" is Not equal to  the sum of (Cryotherapy and Leep and Thermocoagulation)"&amp;CHAR(10),""),IF(T117&lt;&gt;SUM(T118,T119,T120)," * Total CXCA Screening positive for Age "&amp;T20&amp;" "&amp;T21&amp;" is Not equal to  the sum of (Cryotherapy and Leep and Thermocoagulation)"&amp;CHAR(10),""),IF(U117&lt;&gt;SUM(U118,U119,U120)," * Total CXCA Screening positive for Age "&amp;T20&amp;" "&amp;U21&amp;" is Not equal to  the sum of (Cryotherapy and Leep and Thermocoagulation)"&amp;CHAR(10),""),IF(V117&lt;&gt;SUM(V118,V119,V120)," * Total CXCA Screening positive for Age "&amp;V20&amp;" "&amp;V21&amp;" is Not equal to  the sum of (Cryotherapy and Leep and Thermocoagulation)"&amp;CHAR(10),""),IF(W117&lt;&gt;SUM(W118,W119,W120)," * Total CXCA Screening positive for Age "&amp;V20&amp;" "&amp;W21&amp;" is Not equal to  the sum of (Cryotherapy and Leep and Thermocoagulation)"&amp;CHAR(10),""),IF(X117&lt;&gt;SUM(X118,X119,X120)," * Total CXCA Screening positive for Age "&amp;X20&amp;" "&amp;X21&amp;" is Not equal to  the sum of (Cryotherapy and Leep and Thermocoagulation)"&amp;CHAR(10),""),IF(Y117&lt;&gt;SUM(Y118,Y119,Y120)," * Total CXCA Screening positive for Age "&amp;X20&amp;" "&amp;Y21&amp;" is Not equal to  the sum of (Cryotherapy and Leep and Thermocoagulation)"&amp;CHAR(10),""),IF(Z117&lt;&gt;SUM(Z118,Z119,Z120)," * Total CXCA Screening positive for Age "&amp;Z20&amp;" "&amp;Z21&amp;" is Not equal to  the sum of (Cryotherapy and Leep and Thermocoagulation)"&amp;CHAR(10),""),IF(AA117&lt;&gt;SUM(AA118,AA119,AA120)," * Total CXCA Screening positive for Age "&amp;Z20&amp;" "&amp;AA21&amp;" is Not equal to  the sum of (Cryotherapy and Leep and Thermocoagulation)"&amp;CHAR(10),""))</f>
        <v/>
      </c>
      <c r="AD115" s="632"/>
      <c r="AE115" s="83"/>
      <c r="AF115" s="629"/>
      <c r="AG115" s="480">
        <v>114</v>
      </c>
    </row>
    <row r="116" spans="1:33" x14ac:dyDescent="0.85">
      <c r="A116" s="556"/>
      <c r="B116" s="276" t="s">
        <v>685</v>
      </c>
      <c r="C116" s="136" t="s">
        <v>360</v>
      </c>
      <c r="D116" s="127"/>
      <c r="E116" s="18"/>
      <c r="F116" s="18"/>
      <c r="G116" s="18"/>
      <c r="H116" s="18"/>
      <c r="I116" s="18"/>
      <c r="J116" s="18"/>
      <c r="K116" s="18"/>
      <c r="L116" s="18"/>
      <c r="M116" s="19"/>
      <c r="N116" s="18"/>
      <c r="O116" s="19"/>
      <c r="P116" s="18"/>
      <c r="Q116" s="19"/>
      <c r="R116" s="18"/>
      <c r="S116" s="19"/>
      <c r="T116" s="18"/>
      <c r="U116" s="19"/>
      <c r="V116" s="18"/>
      <c r="W116" s="19"/>
      <c r="X116" s="26"/>
      <c r="Y116" s="19"/>
      <c r="Z116" s="26"/>
      <c r="AA116" s="19"/>
      <c r="AB116" s="37">
        <f t="shared" si="17"/>
        <v>0</v>
      </c>
      <c r="AC116" s="85"/>
      <c r="AD116" s="632"/>
      <c r="AE116" s="83"/>
      <c r="AF116" s="629"/>
      <c r="AG116" s="480">
        <v>115</v>
      </c>
    </row>
    <row r="117" spans="1:33" ht="31.75" x14ac:dyDescent="0.85">
      <c r="A117" s="556"/>
      <c r="B117" s="372" t="s">
        <v>895</v>
      </c>
      <c r="C117" s="146" t="s">
        <v>896</v>
      </c>
      <c r="D117" s="127"/>
      <c r="E117" s="18"/>
      <c r="F117" s="18"/>
      <c r="G117" s="18"/>
      <c r="H117" s="18"/>
      <c r="I117" s="18"/>
      <c r="J117" s="18"/>
      <c r="K117" s="18"/>
      <c r="L117" s="18"/>
      <c r="M117" s="236">
        <f>M116+M115</f>
        <v>0</v>
      </c>
      <c r="N117" s="350"/>
      <c r="O117" s="236">
        <f>O116+O115</f>
        <v>0</v>
      </c>
      <c r="P117" s="231"/>
      <c r="Q117" s="236">
        <f>Q116+Q115</f>
        <v>0</v>
      </c>
      <c r="R117" s="231"/>
      <c r="S117" s="236">
        <f>S116+S115</f>
        <v>0</v>
      </c>
      <c r="T117" s="231"/>
      <c r="U117" s="236">
        <f>U116+U115</f>
        <v>0</v>
      </c>
      <c r="V117" s="231"/>
      <c r="W117" s="236">
        <f>W116+W115</f>
        <v>0</v>
      </c>
      <c r="X117" s="235"/>
      <c r="Y117" s="236">
        <f>Y116+Y115</f>
        <v>0</v>
      </c>
      <c r="Z117" s="235"/>
      <c r="AA117" s="236">
        <f>AA116+AA115</f>
        <v>0</v>
      </c>
      <c r="AB117" s="37">
        <f t="shared" si="17"/>
        <v>0</v>
      </c>
      <c r="AC117" s="216"/>
      <c r="AD117" s="632"/>
      <c r="AE117" s="83"/>
      <c r="AF117" s="629"/>
      <c r="AG117" s="480">
        <v>116</v>
      </c>
    </row>
    <row r="118" spans="1:33" x14ac:dyDescent="0.85">
      <c r="A118" s="556"/>
      <c r="B118" s="276" t="s">
        <v>686</v>
      </c>
      <c r="C118" s="136" t="s">
        <v>230</v>
      </c>
      <c r="D118" s="127"/>
      <c r="E118" s="18"/>
      <c r="F118" s="18"/>
      <c r="G118" s="18"/>
      <c r="H118" s="18"/>
      <c r="I118" s="18"/>
      <c r="J118" s="18"/>
      <c r="K118" s="18"/>
      <c r="L118" s="18"/>
      <c r="M118" s="232"/>
      <c r="N118" s="231"/>
      <c r="O118" s="232"/>
      <c r="P118" s="231"/>
      <c r="Q118" s="232"/>
      <c r="R118" s="231"/>
      <c r="S118" s="232"/>
      <c r="T118" s="231"/>
      <c r="U118" s="232"/>
      <c r="V118" s="231"/>
      <c r="W118" s="232"/>
      <c r="X118" s="235"/>
      <c r="Y118" s="232"/>
      <c r="Z118" s="235"/>
      <c r="AA118" s="232"/>
      <c r="AB118" s="37">
        <f t="shared" si="17"/>
        <v>0</v>
      </c>
      <c r="AC118" s="85"/>
      <c r="AD118" s="632"/>
      <c r="AE118" s="83"/>
      <c r="AF118" s="629"/>
      <c r="AG118" s="480">
        <v>117</v>
      </c>
    </row>
    <row r="119" spans="1:33" x14ac:dyDescent="0.85">
      <c r="A119" s="556"/>
      <c r="B119" s="276" t="s">
        <v>687</v>
      </c>
      <c r="C119" s="136" t="s">
        <v>231</v>
      </c>
      <c r="D119" s="127"/>
      <c r="E119" s="18"/>
      <c r="F119" s="18"/>
      <c r="G119" s="18"/>
      <c r="H119" s="18"/>
      <c r="I119" s="18"/>
      <c r="J119" s="18"/>
      <c r="K119" s="18"/>
      <c r="L119" s="18"/>
      <c r="M119" s="232"/>
      <c r="N119" s="231"/>
      <c r="O119" s="232"/>
      <c r="P119" s="231"/>
      <c r="Q119" s="232"/>
      <c r="R119" s="231"/>
      <c r="S119" s="232"/>
      <c r="T119" s="231"/>
      <c r="U119" s="232"/>
      <c r="V119" s="231"/>
      <c r="W119" s="232"/>
      <c r="X119" s="235"/>
      <c r="Y119" s="232"/>
      <c r="Z119" s="235"/>
      <c r="AA119" s="232"/>
      <c r="AB119" s="37">
        <f t="shared" si="17"/>
        <v>0</v>
      </c>
      <c r="AC119" s="85"/>
      <c r="AD119" s="632"/>
      <c r="AE119" s="83"/>
      <c r="AF119" s="629"/>
      <c r="AG119" s="480">
        <v>118</v>
      </c>
    </row>
    <row r="120" spans="1:33" ht="31.3" thickBot="1" x14ac:dyDescent="0.9">
      <c r="A120" s="557"/>
      <c r="B120" s="282" t="s">
        <v>688</v>
      </c>
      <c r="C120" s="138" t="s">
        <v>232</v>
      </c>
      <c r="D120" s="143"/>
      <c r="E120" s="38"/>
      <c r="F120" s="38"/>
      <c r="G120" s="38"/>
      <c r="H120" s="38"/>
      <c r="I120" s="38"/>
      <c r="J120" s="38"/>
      <c r="K120" s="38"/>
      <c r="L120" s="38"/>
      <c r="M120" s="245"/>
      <c r="N120" s="244"/>
      <c r="O120" s="245"/>
      <c r="P120" s="244"/>
      <c r="Q120" s="245"/>
      <c r="R120" s="244"/>
      <c r="S120" s="245"/>
      <c r="T120" s="244"/>
      <c r="U120" s="245"/>
      <c r="V120" s="244"/>
      <c r="W120" s="245"/>
      <c r="X120" s="249"/>
      <c r="Y120" s="245"/>
      <c r="Z120" s="249"/>
      <c r="AA120" s="245"/>
      <c r="AB120" s="40">
        <f t="shared" si="17"/>
        <v>0</v>
      </c>
      <c r="AC120" s="85"/>
      <c r="AD120" s="632"/>
      <c r="AE120" s="83"/>
      <c r="AF120" s="629"/>
      <c r="AG120" s="480">
        <v>119</v>
      </c>
    </row>
    <row r="121" spans="1:33" x14ac:dyDescent="0.85">
      <c r="A121" s="555" t="s">
        <v>469</v>
      </c>
      <c r="B121" s="284" t="s">
        <v>684</v>
      </c>
      <c r="C121" s="134" t="s">
        <v>361</v>
      </c>
      <c r="D121" s="141"/>
      <c r="E121" s="34"/>
      <c r="F121" s="34"/>
      <c r="G121" s="34"/>
      <c r="H121" s="34"/>
      <c r="I121" s="34"/>
      <c r="J121" s="34"/>
      <c r="K121" s="34"/>
      <c r="L121" s="34"/>
      <c r="M121" s="35"/>
      <c r="N121" s="34"/>
      <c r="O121" s="35"/>
      <c r="P121" s="34"/>
      <c r="Q121" s="35"/>
      <c r="R121" s="34"/>
      <c r="S121" s="35"/>
      <c r="T121" s="34"/>
      <c r="U121" s="35"/>
      <c r="V121" s="34"/>
      <c r="W121" s="35"/>
      <c r="X121" s="57"/>
      <c r="Y121" s="35"/>
      <c r="Z121" s="57"/>
      <c r="AA121" s="35"/>
      <c r="AB121" s="36">
        <f t="shared" si="17"/>
        <v>0</v>
      </c>
      <c r="AC121" s="85"/>
      <c r="AD121" s="632"/>
      <c r="AE121" s="83"/>
      <c r="AF121" s="629"/>
      <c r="AG121" s="480">
        <v>120</v>
      </c>
    </row>
    <row r="122" spans="1:33" x14ac:dyDescent="0.85">
      <c r="A122" s="556"/>
      <c r="B122" s="276" t="s">
        <v>153</v>
      </c>
      <c r="C122" s="136" t="s">
        <v>362</v>
      </c>
      <c r="D122" s="127"/>
      <c r="E122" s="18"/>
      <c r="F122" s="18"/>
      <c r="G122" s="18"/>
      <c r="H122" s="18"/>
      <c r="I122" s="18"/>
      <c r="J122" s="18"/>
      <c r="K122" s="18"/>
      <c r="L122" s="18"/>
      <c r="M122" s="19"/>
      <c r="N122" s="18"/>
      <c r="O122" s="19"/>
      <c r="P122" s="18"/>
      <c r="Q122" s="19"/>
      <c r="R122" s="18"/>
      <c r="S122" s="19"/>
      <c r="T122" s="18"/>
      <c r="U122" s="19"/>
      <c r="V122" s="18"/>
      <c r="W122" s="19"/>
      <c r="X122" s="26"/>
      <c r="Y122" s="19"/>
      <c r="Z122" s="26"/>
      <c r="AA122" s="19"/>
      <c r="AB122" s="37">
        <f t="shared" si="17"/>
        <v>0</v>
      </c>
      <c r="AC122" s="255" t="str">
        <f>CONCATENATE(IF(D124&lt;&gt;SUM(D125,D126,D127)," * Total CXCA Screening positive for Age "&amp;D20&amp;" "&amp;D21&amp;" is Not equal to  the sum of (Cryotherapy and Leep and Thermocoagulation)"&amp;CHAR(10),""),IF(E124&lt;&gt;SUM(E125,E126,E127)," * Total CXCA Screening positive for Age "&amp;D20&amp;" "&amp;E21&amp;" is Not equal to  the sum of (Cryotherapy and Leep and Thermocoagulation)"&amp;CHAR(10),""),IF(F124&lt;&gt;SUM(F125,F126,F127)," * Total CXCA Screening positive for Age "&amp;F20&amp;" "&amp;F21&amp;" is Not equal to  the sum of (Cryotherapy and Leep and Thermocoagulation)"&amp;CHAR(10),""),IF(G124&lt;&gt;SUM(G125,G126,G127)," * Total CXCA Screening positive for Age "&amp;F20&amp;" "&amp;G21&amp;" is Not equal to  the sum of (Cryotherapy and Leep and Thermocoagulation)"&amp;CHAR(10),""),IF(H124&lt;&gt;SUM(H125,H126,H127)," * Total CXCA Screening positive for Age "&amp;H20&amp;" "&amp;H21&amp;" is Not equal to  the sum of (Cryotherapy and Leep and Thermocoagulation)"&amp;CHAR(10),""),IF(I124&lt;&gt;SUM(I125,I126,I127)," * Total CXCA Screening positive for Age "&amp;H20&amp;" "&amp;I21&amp;" is Not equal to  the sum of (Cryotherapy and Leep and Thermocoagulation)"&amp;CHAR(10),""),IF(J124&lt;&gt;SUM(J125,J126,J127)," * Total CXCA Screening positive for Age "&amp;J20&amp;" "&amp;J21&amp;" is Not equal to  the sum of (Cryotherapy and Leep and Thermocoagulation)"&amp;CHAR(10),""),IF(K124&lt;&gt;SUM(K125,K126,K127)," * Total CXCA Screening positive for Age "&amp;J20&amp;" "&amp;K21&amp;" is Not equal to  the sum of (Cryotherapy and Leep and Thermocoagulation)"&amp;CHAR(10),""),IF(L124&lt;&gt;SUM(L125,L126,L127)," * Total CXCA Screening positive for Age "&amp;L20&amp;" "&amp;L21&amp;" is Not equal to  the sum of (Cryotherapy and Leep and Thermocoagulation)"&amp;CHAR(10),""),IF(M124&lt;&gt;SUM(M125,M126,M127)," * Total CXCA Screening positive for Age "&amp;L20&amp;" "&amp;M21&amp;" is Not equal to  the sum of (Cryotherapy and Leep and Thermocoagulation)"&amp;CHAR(10),""),IF(N124&lt;&gt;SUM(N125,N126,N127)," * Total CXCA Screening positive for Age "&amp;N20&amp;" "&amp;N21&amp;" is Not equal to  the sum of (Cryotherapy and Leep and Thermocoagulation)"&amp;CHAR(10),""),IF(O124&lt;&gt;SUM(O125,O126,O127)," * Total CXCA Screening positive for Age "&amp;N20&amp;" "&amp;O21&amp;" is Not equal to  the sum of (Cryotherapy and Leep and Thermocoagulation)"&amp;CHAR(10),""),IF(P124&lt;&gt;SUM(P125,P126,P127)," * Total CXCA Screening positive for Age "&amp;P20&amp;" "&amp;P21&amp;" is Not equal to  the sum of (Cryotherapy and Leep and Thermocoagulation)"&amp;CHAR(10),""),IF(Q124&lt;&gt;SUM(Q125,Q126,Q127)," * Total CXCA Screening positive for Age "&amp;P20&amp;" "&amp;Q21&amp;" is Not equal to  the sum of (Cryotherapy and Leep and Thermocoagulation)"&amp;CHAR(10),""),IF(R124&lt;&gt;SUM(R125,R126,R127)," * Total CXCA Screening positive for Age "&amp;R20&amp;" "&amp;R21&amp;" is Not equal to  the sum of (Cryotherapy and Leep and Thermocoagulation)"&amp;CHAR(10),""),IF(S124&lt;&gt;SUM(S125,S126,S127)," * Total CXCA Screening positive for Age "&amp;R20&amp;" "&amp;S21&amp;" is Not equal to  the sum of (Cryotherapy and Leep and Thermocoagulation)"&amp;CHAR(10),""),IF(T124&lt;&gt;SUM(T125,T126,T127)," * Total CXCA Screening positive for Age "&amp;T20&amp;" "&amp;T21&amp;" is Not equal to  the sum of (Cryotherapy and Leep and Thermocoagulation)"&amp;CHAR(10),""),IF(U124&lt;&gt;SUM(U125,U126,U127)," * Total CXCA Screening positive for Age "&amp;T20&amp;" "&amp;U21&amp;" is Not equal to  the sum of (Cryotherapy and Leep and Thermocoagulation)"&amp;CHAR(10),""),IF(V124&lt;&gt;SUM(V125,V126,V127)," * Total CXCA Screening positive for Age "&amp;V20&amp;" "&amp;V21&amp;" is Not equal to  the sum of (Cryotherapy and Leep and Thermocoagulation)"&amp;CHAR(10),""),IF(W124&lt;&gt;SUM(W125,W126,W127)," * Total CXCA Screening positive for Age "&amp;V20&amp;" "&amp;W21&amp;" is Not equal to  the sum of (Cryotherapy and Leep and Thermocoagulation)"&amp;CHAR(10),""),IF(X124&lt;&gt;SUM(X125,X126,X127)," * Total CXCA Screening positive for Age "&amp;X20&amp;" "&amp;X21&amp;" is Not equal to  the sum of (Cryotherapy and Leep and Thermocoagulation)"&amp;CHAR(10),""),IF(Y124&lt;&gt;SUM(Y125,Y126,Y127)," * Total CXCA Screening positive for Age "&amp;X20&amp;" "&amp;Y21&amp;" is Not equal to  the sum of (Cryotherapy and Leep and Thermocoagulation)"&amp;CHAR(10),""),IF(Z124&lt;&gt;SUM(Z125,Z126,Z127)," * Total CXCA Screening positive for Age "&amp;Z20&amp;" "&amp;Z21&amp;" is Not equal to  the sum of (Cryotherapy and Leep and Thermocoagulation)"&amp;CHAR(10),""),IF(AA124&lt;&gt;SUM(AA125,AA126,AA127)," * Total CXCA Screening positive for Age "&amp;Z20&amp;" "&amp;AA21&amp;" is Not equal to  the sum of (Cryotherapy and Leep and Thermocoagulation)"&amp;CHAR(10),""))</f>
        <v/>
      </c>
      <c r="AD122" s="632"/>
      <c r="AE122" s="83"/>
      <c r="AF122" s="629"/>
      <c r="AG122" s="480">
        <v>121</v>
      </c>
    </row>
    <row r="123" spans="1:33" x14ac:dyDescent="0.85">
      <c r="A123" s="556"/>
      <c r="B123" s="276" t="s">
        <v>685</v>
      </c>
      <c r="C123" s="136" t="s">
        <v>240</v>
      </c>
      <c r="D123" s="127"/>
      <c r="E123" s="18"/>
      <c r="F123" s="18"/>
      <c r="G123" s="18"/>
      <c r="H123" s="18"/>
      <c r="I123" s="18"/>
      <c r="J123" s="18"/>
      <c r="K123" s="18"/>
      <c r="L123" s="18"/>
      <c r="M123" s="19"/>
      <c r="N123" s="18"/>
      <c r="O123" s="19"/>
      <c r="P123" s="18"/>
      <c r="Q123" s="19"/>
      <c r="R123" s="18"/>
      <c r="S123" s="19"/>
      <c r="T123" s="18"/>
      <c r="U123" s="19"/>
      <c r="V123" s="18"/>
      <c r="W123" s="19"/>
      <c r="X123" s="26"/>
      <c r="Y123" s="19"/>
      <c r="Z123" s="26"/>
      <c r="AA123" s="19"/>
      <c r="AB123" s="37">
        <f t="shared" si="17"/>
        <v>0</v>
      </c>
      <c r="AC123" s="85"/>
      <c r="AD123" s="632"/>
      <c r="AE123" s="83"/>
      <c r="AF123" s="629"/>
      <c r="AG123" s="480">
        <v>122</v>
      </c>
    </row>
    <row r="124" spans="1:33" ht="31.75" x14ac:dyDescent="0.85">
      <c r="A124" s="556"/>
      <c r="B124" s="372" t="s">
        <v>895</v>
      </c>
      <c r="C124" s="146" t="s">
        <v>897</v>
      </c>
      <c r="D124" s="127"/>
      <c r="E124" s="18"/>
      <c r="F124" s="18"/>
      <c r="G124" s="18"/>
      <c r="H124" s="18"/>
      <c r="I124" s="18"/>
      <c r="J124" s="18"/>
      <c r="K124" s="18"/>
      <c r="L124" s="18"/>
      <c r="M124" s="29">
        <f>M123+M122</f>
        <v>0</v>
      </c>
      <c r="N124" s="225"/>
      <c r="O124" s="29">
        <f>O123+O122</f>
        <v>0</v>
      </c>
      <c r="P124" s="18"/>
      <c r="Q124" s="29">
        <f>Q123+Q122</f>
        <v>0</v>
      </c>
      <c r="R124" s="18"/>
      <c r="S124" s="29">
        <f>S123+S122</f>
        <v>0</v>
      </c>
      <c r="T124" s="18"/>
      <c r="U124" s="29">
        <f>U123+U122</f>
        <v>0</v>
      </c>
      <c r="V124" s="18"/>
      <c r="W124" s="29">
        <f>W123+W122</f>
        <v>0</v>
      </c>
      <c r="X124" s="26"/>
      <c r="Y124" s="29">
        <f>Y123+Y122</f>
        <v>0</v>
      </c>
      <c r="Z124" s="26"/>
      <c r="AA124" s="29">
        <f>AA123+AA122</f>
        <v>0</v>
      </c>
      <c r="AB124" s="37">
        <f t="shared" si="17"/>
        <v>0</v>
      </c>
      <c r="AC124" s="216"/>
      <c r="AD124" s="632"/>
      <c r="AE124" s="83"/>
      <c r="AF124" s="629"/>
      <c r="AG124" s="480">
        <v>123</v>
      </c>
    </row>
    <row r="125" spans="1:33" x14ac:dyDescent="0.85">
      <c r="A125" s="556"/>
      <c r="B125" s="276" t="s">
        <v>686</v>
      </c>
      <c r="C125" s="136" t="s">
        <v>241</v>
      </c>
      <c r="D125" s="127"/>
      <c r="E125" s="18"/>
      <c r="F125" s="18"/>
      <c r="G125" s="18"/>
      <c r="H125" s="18"/>
      <c r="I125" s="18"/>
      <c r="J125" s="18"/>
      <c r="K125" s="18"/>
      <c r="L125" s="18"/>
      <c r="M125" s="19"/>
      <c r="N125" s="18"/>
      <c r="O125" s="19"/>
      <c r="P125" s="18"/>
      <c r="Q125" s="19"/>
      <c r="R125" s="18"/>
      <c r="S125" s="19"/>
      <c r="T125" s="18"/>
      <c r="U125" s="19"/>
      <c r="V125" s="18"/>
      <c r="W125" s="19"/>
      <c r="X125" s="26"/>
      <c r="Y125" s="19"/>
      <c r="Z125" s="26"/>
      <c r="AA125" s="19"/>
      <c r="AB125" s="37">
        <f t="shared" si="17"/>
        <v>0</v>
      </c>
      <c r="AC125" s="85"/>
      <c r="AD125" s="632"/>
      <c r="AE125" s="83"/>
      <c r="AF125" s="629"/>
      <c r="AG125" s="480">
        <v>124</v>
      </c>
    </row>
    <row r="126" spans="1:33" x14ac:dyDescent="0.85">
      <c r="A126" s="556"/>
      <c r="B126" s="276" t="s">
        <v>687</v>
      </c>
      <c r="C126" s="136" t="s">
        <v>363</v>
      </c>
      <c r="D126" s="127"/>
      <c r="E126" s="18"/>
      <c r="F126" s="18"/>
      <c r="G126" s="18"/>
      <c r="H126" s="18"/>
      <c r="I126" s="18"/>
      <c r="J126" s="18"/>
      <c r="K126" s="18"/>
      <c r="L126" s="18"/>
      <c r="M126" s="19"/>
      <c r="N126" s="18"/>
      <c r="O126" s="19"/>
      <c r="P126" s="18"/>
      <c r="Q126" s="19"/>
      <c r="R126" s="18"/>
      <c r="S126" s="19"/>
      <c r="T126" s="18"/>
      <c r="U126" s="19"/>
      <c r="V126" s="18"/>
      <c r="W126" s="19"/>
      <c r="X126" s="26"/>
      <c r="Y126" s="19"/>
      <c r="Z126" s="26"/>
      <c r="AA126" s="19"/>
      <c r="AB126" s="37">
        <f t="shared" si="17"/>
        <v>0</v>
      </c>
      <c r="AC126" s="85"/>
      <c r="AD126" s="632"/>
      <c r="AE126" s="83"/>
      <c r="AF126" s="629"/>
      <c r="AG126" s="480">
        <v>125</v>
      </c>
    </row>
    <row r="127" spans="1:33" ht="31.3" thickBot="1" x14ac:dyDescent="0.9">
      <c r="A127" s="557"/>
      <c r="B127" s="282" t="s">
        <v>688</v>
      </c>
      <c r="C127" s="138" t="s">
        <v>243</v>
      </c>
      <c r="D127" s="143"/>
      <c r="E127" s="38"/>
      <c r="F127" s="38"/>
      <c r="G127" s="38"/>
      <c r="H127" s="38"/>
      <c r="I127" s="38"/>
      <c r="J127" s="38"/>
      <c r="K127" s="38"/>
      <c r="L127" s="38"/>
      <c r="M127" s="39"/>
      <c r="N127" s="38"/>
      <c r="O127" s="39"/>
      <c r="P127" s="38"/>
      <c r="Q127" s="39"/>
      <c r="R127" s="38"/>
      <c r="S127" s="39"/>
      <c r="T127" s="38"/>
      <c r="U127" s="39"/>
      <c r="V127" s="38"/>
      <c r="W127" s="39"/>
      <c r="X127" s="58"/>
      <c r="Y127" s="39"/>
      <c r="Z127" s="58"/>
      <c r="AA127" s="39"/>
      <c r="AB127" s="40">
        <f t="shared" si="17"/>
        <v>0</v>
      </c>
      <c r="AC127" s="255"/>
      <c r="AD127" s="632"/>
      <c r="AE127" s="83"/>
      <c r="AF127" s="629"/>
      <c r="AG127" s="480">
        <v>126</v>
      </c>
    </row>
    <row r="128" spans="1:33" x14ac:dyDescent="0.85">
      <c r="A128" s="555" t="s">
        <v>25</v>
      </c>
      <c r="B128" s="284" t="s">
        <v>684</v>
      </c>
      <c r="C128" s="134" t="s">
        <v>364</v>
      </c>
      <c r="D128" s="141"/>
      <c r="E128" s="34"/>
      <c r="F128" s="34"/>
      <c r="G128" s="34"/>
      <c r="H128" s="34"/>
      <c r="I128" s="34"/>
      <c r="J128" s="34"/>
      <c r="K128" s="34"/>
      <c r="L128" s="34"/>
      <c r="M128" s="35"/>
      <c r="N128" s="34"/>
      <c r="O128" s="35"/>
      <c r="P128" s="34"/>
      <c r="Q128" s="35"/>
      <c r="R128" s="34"/>
      <c r="S128" s="35"/>
      <c r="T128" s="34"/>
      <c r="U128" s="35"/>
      <c r="V128" s="34"/>
      <c r="W128" s="35"/>
      <c r="X128" s="57"/>
      <c r="Y128" s="35"/>
      <c r="Z128" s="57"/>
      <c r="AA128" s="35"/>
      <c r="AB128" s="36">
        <f t="shared" si="17"/>
        <v>0</v>
      </c>
      <c r="AC128" s="85"/>
      <c r="AD128" s="632"/>
      <c r="AE128" s="83"/>
      <c r="AF128" s="629"/>
      <c r="AG128" s="480">
        <v>127</v>
      </c>
    </row>
    <row r="129" spans="1:34" x14ac:dyDescent="0.85">
      <c r="A129" s="556"/>
      <c r="B129" s="276" t="s">
        <v>153</v>
      </c>
      <c r="C129" s="136" t="s">
        <v>365</v>
      </c>
      <c r="D129" s="127"/>
      <c r="E129" s="18"/>
      <c r="F129" s="18"/>
      <c r="G129" s="18"/>
      <c r="H129" s="18"/>
      <c r="I129" s="18"/>
      <c r="J129" s="18"/>
      <c r="K129" s="18"/>
      <c r="L129" s="18"/>
      <c r="M129" s="19"/>
      <c r="N129" s="18"/>
      <c r="O129" s="19"/>
      <c r="P129" s="18"/>
      <c r="Q129" s="19"/>
      <c r="R129" s="18"/>
      <c r="S129" s="19"/>
      <c r="T129" s="18"/>
      <c r="U129" s="19"/>
      <c r="V129" s="18"/>
      <c r="W129" s="19"/>
      <c r="X129" s="26"/>
      <c r="Y129" s="19"/>
      <c r="Z129" s="26"/>
      <c r="AA129" s="19"/>
      <c r="AB129" s="37">
        <f t="shared" si="17"/>
        <v>0</v>
      </c>
      <c r="AC129" s="255" t="str">
        <f>CONCATENATE(IF(D131&lt;&gt;SUM(D132,D133,D134)," Total CXCA Screening positive for Age "&amp;D20&amp;" "&amp;D21&amp;" is not equal to the sum of (Cryotherapy and Leep and Thermocoagulation)"&amp;CHAR(10),""),IF(E131&lt;&gt;SUM(E132,E133,E134)," Total CXCA Screening positive for Age "&amp;D20&amp;" "&amp;E21&amp;" is not equal to the sum of (Cryotherapy and Leep and Thermocoagulation)"&amp;CHAR(10),""),IF(F131&lt;&gt;SUM(F132,F133,F134)," Total CXCA Screening positive for Age "&amp;F20&amp;" "&amp;F21&amp;" is not equal to the sum of (Cryotherapy and Leep and Thermocoagulation)"&amp;CHAR(10),""),IF(G131&lt;&gt;SUM(G132,G133,G134)," Total CXCA Screening positive for Age "&amp;F20&amp;" "&amp;G21&amp;" is not equal to the sum of (Cryotherapy and Leep and Thermocoagulation)"&amp;CHAR(10),""),IF(H131&lt;&gt;SUM(H132,H133,H134)," Total CXCA Screening positive for Age "&amp;H20&amp;" "&amp;H21&amp;" is not equal to the sum of (Cryotherapy and Leep and Thermocoagulation)"&amp;CHAR(10),""),IF(I131&lt;&gt;SUM(I132,I133,I134)," Total CXCA Screening positive for Age "&amp;H20&amp;" "&amp;I21&amp;" is not equal to the sum of (Cryotherapy and Leep and Thermocoagulation)"&amp;CHAR(10),""),IF(J131&lt;&gt;SUM(J132,J133,J134)," Total CXCA Screening positive for Age "&amp;J20&amp;" "&amp;J21&amp;" is not equal to the sum of (Cryotherapy and Leep and Thermocoagulation)"&amp;CHAR(10),""),IF(K131&lt;&gt;SUM(K132,K133,K134)," Total CXCA Screening positive for Age "&amp;J20&amp;" "&amp;K21&amp;" is not equal to the sum of (Cryotherapy and Leep and Thermocoagulation)"&amp;CHAR(10),""),IF(L131&lt;&gt;SUM(L132,L133,L134)," Total CXCA Screening positive for Age "&amp;L20&amp;" "&amp;L21&amp;" is not equal to the sum of (Cryotherapy and Leep and Thermocoagulation)"&amp;CHAR(10),""),IF(M131&lt;&gt;SUM(M132,M133,M134)," Total CXCA Screening positive for Age "&amp;L20&amp;" "&amp;M21&amp;" is not equal to the sum of (Cryotherapy and Leep and Thermocoagulation)"&amp;CHAR(10),""),IF(N131&lt;&gt;SUM(N132,N133,N134)," Total CXCA Screening positive for Age "&amp;N20&amp;" "&amp;N21&amp;" is not equal to the sum of (Cryotherapy and Leep and Thermocoagulation)"&amp;CHAR(10),""),IF(O131&lt;&gt;SUM(O132,O133,O134)," Total CXCA Screening positive for Age "&amp;N20&amp;" "&amp;O21&amp;" is not equal to the sum of (Cryotherapy and Leep and Thermocoagulation)"&amp;CHAR(10),""),IF(P131&lt;&gt;SUM(P132,P133,P134)," Total CXCA Screening positive for Age "&amp;P20&amp;" "&amp;P21&amp;" is not equal to the sum of (Cryotherapy and Leep and Thermocoagulation)"&amp;CHAR(10),""),IF(Q131&lt;&gt;SUM(Q132,Q133,Q134)," Total CXCA Screening positive for Age "&amp;P20&amp;" "&amp;Q21&amp;" is not equal to the sum of (Cryotherapy and Leep and Thermocoagulation)"&amp;CHAR(10),""),IF(R131&lt;&gt;SUM(R132,R133,R134)," Total CXCA Screening positive for Age "&amp;R20&amp;" "&amp;R21&amp;" is not equal to the sum of (Cryotherapy and Leep and Thermocoagulation)"&amp;CHAR(10),""),IF(S131&lt;&gt;SUM(S132,S133,S134)," Total CXCA Screening positive for Age "&amp;R20&amp;" "&amp;S21&amp;" is not equal to the sum of (Cryotherapy and Leep and Thermocoagulation)"&amp;CHAR(10),""),IF(T131&lt;&gt;SUM(T132,T133,T134)," Total CXCA Screening positive for Age "&amp;T20&amp;" "&amp;T21&amp;" is not equal to the sum of (Cryotherapy and Leep and Thermocoagulation)"&amp;CHAR(10),""),IF(U131&lt;&gt;SUM(U132,U133,U134)," Total CXCA Screening positive for Age "&amp;T20&amp;" "&amp;U21&amp;" is not equal to the sum of (Cryotherapy and Leep and Thermocoagulation)"&amp;CHAR(10),""),IF(V131&lt;&gt;SUM(V132,V133,V134)," Total CXCA Screening positive for Age "&amp;V20&amp;" "&amp;V21&amp;" is not equal to the sum of (Cryotherapy and Leep and Thermocoagulation)"&amp;CHAR(10),""),IF(W131&lt;&gt;SUM(W132,W133,W134)," Total CXCA Screening positive for Age "&amp;V20&amp;" "&amp;W21&amp;" is not equal to the sum of (Cryotherapy and Leep and Thermocoagulation)"&amp;CHAR(10),""),IF(X131&lt;&gt;SUM(X132,X133,X134)," Total CXCA Screening positive for Age "&amp;X20&amp;" "&amp;X21&amp;" is not equal to the sum of (Cryotherapy and Leep and Thermocoagulation)"&amp;CHAR(10),""),IF(Y131&lt;&gt;SUM(Y132,Y133,Y134)," Total CXCA Screening positive for Age "&amp;X20&amp;" "&amp;Y21&amp;" is not equal to the sum of (Cryotherapy and Leep and Thermocoagulation)"&amp;CHAR(10),""),IF(Z131&lt;&gt;SUM(Z132,Z133,Z134)," Total CXCA Screening positive for Age "&amp;Z20&amp;" "&amp;Z21&amp;" is not equal to the sum of (Cryotherapy and Leep and Thermocoagulation)"&amp;CHAR(10),""),IF(AA131&lt;&gt;SUM(AA132,AA133,AA134)," Total CXCA Screening positive for Age "&amp;Z20&amp;" "&amp;AA21&amp;" is not equal to the sum of (Cryotherapy and Leep and Thermocoagulation)"&amp;CHAR(10),""))</f>
        <v/>
      </c>
      <c r="AD129" s="632"/>
      <c r="AE129" s="83"/>
      <c r="AF129" s="629"/>
      <c r="AG129" s="480">
        <v>128</v>
      </c>
    </row>
    <row r="130" spans="1:34" x14ac:dyDescent="0.85">
      <c r="A130" s="556"/>
      <c r="B130" s="276" t="s">
        <v>685</v>
      </c>
      <c r="C130" s="136" t="s">
        <v>366</v>
      </c>
      <c r="D130" s="127"/>
      <c r="E130" s="18"/>
      <c r="F130" s="18"/>
      <c r="G130" s="18"/>
      <c r="H130" s="18"/>
      <c r="I130" s="18"/>
      <c r="J130" s="18"/>
      <c r="K130" s="18"/>
      <c r="L130" s="18"/>
      <c r="M130" s="19"/>
      <c r="N130" s="18"/>
      <c r="O130" s="19"/>
      <c r="P130" s="18"/>
      <c r="Q130" s="19"/>
      <c r="R130" s="18"/>
      <c r="S130" s="19"/>
      <c r="T130" s="18"/>
      <c r="U130" s="19"/>
      <c r="V130" s="18"/>
      <c r="W130" s="19"/>
      <c r="X130" s="26"/>
      <c r="Y130" s="19"/>
      <c r="Z130" s="26"/>
      <c r="AA130" s="19"/>
      <c r="AB130" s="37">
        <f t="shared" si="17"/>
        <v>0</v>
      </c>
      <c r="AC130" s="85"/>
      <c r="AD130" s="632"/>
      <c r="AE130" s="83"/>
      <c r="AF130" s="629"/>
      <c r="AG130" s="480">
        <v>129</v>
      </c>
    </row>
    <row r="131" spans="1:34" ht="31.75" x14ac:dyDescent="0.85">
      <c r="A131" s="556"/>
      <c r="B131" s="372" t="s">
        <v>895</v>
      </c>
      <c r="C131" s="290" t="s">
        <v>898</v>
      </c>
      <c r="D131" s="127"/>
      <c r="E131" s="18"/>
      <c r="F131" s="18"/>
      <c r="G131" s="18"/>
      <c r="H131" s="18"/>
      <c r="I131" s="18"/>
      <c r="J131" s="18"/>
      <c r="K131" s="18"/>
      <c r="L131" s="18"/>
      <c r="M131" s="236">
        <f>M130+M129</f>
        <v>0</v>
      </c>
      <c r="N131" s="350"/>
      <c r="O131" s="236">
        <f>O130+O129</f>
        <v>0</v>
      </c>
      <c r="P131" s="231"/>
      <c r="Q131" s="236">
        <f>Q130+Q129</f>
        <v>0</v>
      </c>
      <c r="R131" s="231"/>
      <c r="S131" s="236">
        <f>S130+S129</f>
        <v>0</v>
      </c>
      <c r="T131" s="231"/>
      <c r="U131" s="236">
        <f>U130+U129</f>
        <v>0</v>
      </c>
      <c r="V131" s="231"/>
      <c r="W131" s="236">
        <f>W130+W129</f>
        <v>0</v>
      </c>
      <c r="X131" s="235"/>
      <c r="Y131" s="236">
        <f>Y130+Y129</f>
        <v>0</v>
      </c>
      <c r="Z131" s="235"/>
      <c r="AA131" s="236">
        <f>AA130+AA129</f>
        <v>0</v>
      </c>
      <c r="AB131" s="37">
        <f t="shared" si="17"/>
        <v>0</v>
      </c>
      <c r="AC131" s="216"/>
      <c r="AD131" s="632"/>
      <c r="AE131" s="83"/>
      <c r="AF131" s="629"/>
      <c r="AG131" s="480">
        <v>130</v>
      </c>
    </row>
    <row r="132" spans="1:34" x14ac:dyDescent="0.85">
      <c r="A132" s="556"/>
      <c r="B132" s="276" t="s">
        <v>686</v>
      </c>
      <c r="C132" s="136" t="s">
        <v>251</v>
      </c>
      <c r="D132" s="127"/>
      <c r="E132" s="18"/>
      <c r="F132" s="18"/>
      <c r="G132" s="18"/>
      <c r="H132" s="18"/>
      <c r="I132" s="18"/>
      <c r="J132" s="18"/>
      <c r="K132" s="18"/>
      <c r="L132" s="18"/>
      <c r="M132" s="232"/>
      <c r="N132" s="231"/>
      <c r="O132" s="232"/>
      <c r="P132" s="231"/>
      <c r="Q132" s="232"/>
      <c r="R132" s="231"/>
      <c r="S132" s="232"/>
      <c r="T132" s="231"/>
      <c r="U132" s="232"/>
      <c r="V132" s="231"/>
      <c r="W132" s="232"/>
      <c r="X132" s="235"/>
      <c r="Y132" s="232"/>
      <c r="Z132" s="235"/>
      <c r="AA132" s="232"/>
      <c r="AB132" s="37">
        <f t="shared" si="17"/>
        <v>0</v>
      </c>
      <c r="AC132" s="85"/>
      <c r="AD132" s="632"/>
      <c r="AE132" s="83"/>
      <c r="AF132" s="629"/>
      <c r="AG132" s="480">
        <v>131</v>
      </c>
    </row>
    <row r="133" spans="1:34" x14ac:dyDescent="0.85">
      <c r="A133" s="556"/>
      <c r="B133" s="276" t="s">
        <v>687</v>
      </c>
      <c r="C133" s="136" t="s">
        <v>367</v>
      </c>
      <c r="D133" s="127"/>
      <c r="E133" s="18"/>
      <c r="F133" s="18"/>
      <c r="G133" s="18"/>
      <c r="H133" s="18"/>
      <c r="I133" s="18"/>
      <c r="J133" s="18"/>
      <c r="K133" s="18"/>
      <c r="L133" s="18"/>
      <c r="M133" s="232"/>
      <c r="N133" s="231"/>
      <c r="O133" s="232"/>
      <c r="P133" s="231"/>
      <c r="Q133" s="232"/>
      <c r="R133" s="231"/>
      <c r="S133" s="232"/>
      <c r="T133" s="231"/>
      <c r="U133" s="232"/>
      <c r="V133" s="231"/>
      <c r="W133" s="232"/>
      <c r="X133" s="235"/>
      <c r="Y133" s="232"/>
      <c r="Z133" s="235"/>
      <c r="AA133" s="232"/>
      <c r="AB133" s="37">
        <f t="shared" si="17"/>
        <v>0</v>
      </c>
      <c r="AC133" s="85"/>
      <c r="AD133" s="632"/>
      <c r="AE133" s="83"/>
      <c r="AF133" s="629"/>
      <c r="AG133" s="480">
        <v>132</v>
      </c>
    </row>
    <row r="134" spans="1:34" ht="31.3" thickBot="1" x14ac:dyDescent="0.9">
      <c r="A134" s="660"/>
      <c r="B134" s="277" t="s">
        <v>688</v>
      </c>
      <c r="C134" s="138" t="s">
        <v>368</v>
      </c>
      <c r="D134" s="128"/>
      <c r="E134" s="50"/>
      <c r="F134" s="50"/>
      <c r="G134" s="50"/>
      <c r="H134" s="50"/>
      <c r="I134" s="50"/>
      <c r="J134" s="50"/>
      <c r="K134" s="50"/>
      <c r="L134" s="50"/>
      <c r="M134" s="245"/>
      <c r="N134" s="244"/>
      <c r="O134" s="245"/>
      <c r="P134" s="244"/>
      <c r="Q134" s="245"/>
      <c r="R134" s="244"/>
      <c r="S134" s="245"/>
      <c r="T134" s="244"/>
      <c r="U134" s="245"/>
      <c r="V134" s="244"/>
      <c r="W134" s="245"/>
      <c r="X134" s="249"/>
      <c r="Y134" s="245"/>
      <c r="Z134" s="249"/>
      <c r="AA134" s="245"/>
      <c r="AB134" s="91">
        <f t="shared" si="17"/>
        <v>0</v>
      </c>
      <c r="AC134" s="194"/>
      <c r="AD134" s="633"/>
      <c r="AE134" s="97"/>
      <c r="AF134" s="630"/>
      <c r="AG134" s="480">
        <v>133</v>
      </c>
    </row>
    <row r="135" spans="1:34" ht="35.15" thickBot="1" x14ac:dyDescent="0.9">
      <c r="A135" s="568" t="s">
        <v>128</v>
      </c>
      <c r="B135" s="569"/>
      <c r="C135" s="569"/>
      <c r="D135" s="569"/>
      <c r="E135" s="569"/>
      <c r="F135" s="569"/>
      <c r="G135" s="569"/>
      <c r="H135" s="569"/>
      <c r="I135" s="569"/>
      <c r="J135" s="569"/>
      <c r="K135" s="569"/>
      <c r="L135" s="569"/>
      <c r="M135" s="569"/>
      <c r="N135" s="569"/>
      <c r="O135" s="569"/>
      <c r="P135" s="569"/>
      <c r="Q135" s="569"/>
      <c r="R135" s="569"/>
      <c r="S135" s="569"/>
      <c r="T135" s="569"/>
      <c r="U135" s="569"/>
      <c r="V135" s="569"/>
      <c r="W135" s="569"/>
      <c r="X135" s="569"/>
      <c r="Y135" s="569"/>
      <c r="Z135" s="569"/>
      <c r="AA135" s="569"/>
      <c r="AB135" s="569"/>
      <c r="AC135" s="569"/>
      <c r="AD135" s="569"/>
      <c r="AE135" s="569"/>
      <c r="AF135" s="570"/>
      <c r="AG135" s="480">
        <v>134</v>
      </c>
    </row>
    <row r="136" spans="1:34" ht="26.25" customHeight="1" x14ac:dyDescent="0.85">
      <c r="A136" s="578" t="s">
        <v>37</v>
      </c>
      <c r="B136" s="601" t="s">
        <v>347</v>
      </c>
      <c r="C136" s="655" t="s">
        <v>328</v>
      </c>
      <c r="D136" s="592" t="s">
        <v>0</v>
      </c>
      <c r="E136" s="592"/>
      <c r="F136" s="592" t="s">
        <v>1</v>
      </c>
      <c r="G136" s="592"/>
      <c r="H136" s="592" t="s">
        <v>2</v>
      </c>
      <c r="I136" s="592"/>
      <c r="J136" s="592" t="s">
        <v>3</v>
      </c>
      <c r="K136" s="592"/>
      <c r="L136" s="592" t="s">
        <v>4</v>
      </c>
      <c r="M136" s="592"/>
      <c r="N136" s="592" t="s">
        <v>5</v>
      </c>
      <c r="O136" s="592"/>
      <c r="P136" s="592" t="s">
        <v>6</v>
      </c>
      <c r="Q136" s="592"/>
      <c r="R136" s="592" t="s">
        <v>7</v>
      </c>
      <c r="S136" s="592"/>
      <c r="T136" s="592" t="s">
        <v>8</v>
      </c>
      <c r="U136" s="592"/>
      <c r="V136" s="592" t="s">
        <v>23</v>
      </c>
      <c r="W136" s="592"/>
      <c r="X136" s="592" t="s">
        <v>24</v>
      </c>
      <c r="Y136" s="592"/>
      <c r="Z136" s="592" t="s">
        <v>9</v>
      </c>
      <c r="AA136" s="592"/>
      <c r="AB136" s="638" t="s">
        <v>19</v>
      </c>
      <c r="AC136" s="626" t="s">
        <v>381</v>
      </c>
      <c r="AD136" s="573" t="s">
        <v>387</v>
      </c>
      <c r="AE136" s="572" t="s">
        <v>388</v>
      </c>
      <c r="AF136" s="619" t="s">
        <v>388</v>
      </c>
      <c r="AG136" s="480">
        <v>135</v>
      </c>
    </row>
    <row r="137" spans="1:34" ht="27" customHeight="1" thickBot="1" x14ac:dyDescent="0.9">
      <c r="A137" s="582"/>
      <c r="B137" s="691"/>
      <c r="C137" s="661"/>
      <c r="D137" s="237" t="s">
        <v>10</v>
      </c>
      <c r="E137" s="237" t="s">
        <v>11</v>
      </c>
      <c r="F137" s="237" t="s">
        <v>10</v>
      </c>
      <c r="G137" s="237" t="s">
        <v>11</v>
      </c>
      <c r="H137" s="237" t="s">
        <v>10</v>
      </c>
      <c r="I137" s="237" t="s">
        <v>11</v>
      </c>
      <c r="J137" s="237" t="s">
        <v>10</v>
      </c>
      <c r="K137" s="237" t="s">
        <v>11</v>
      </c>
      <c r="L137" s="237" t="s">
        <v>10</v>
      </c>
      <c r="M137" s="237" t="s">
        <v>11</v>
      </c>
      <c r="N137" s="237" t="s">
        <v>10</v>
      </c>
      <c r="O137" s="237" t="s">
        <v>11</v>
      </c>
      <c r="P137" s="237" t="s">
        <v>10</v>
      </c>
      <c r="Q137" s="237" t="s">
        <v>11</v>
      </c>
      <c r="R137" s="237" t="s">
        <v>10</v>
      </c>
      <c r="S137" s="237" t="s">
        <v>11</v>
      </c>
      <c r="T137" s="237" t="s">
        <v>10</v>
      </c>
      <c r="U137" s="237" t="s">
        <v>11</v>
      </c>
      <c r="V137" s="237" t="s">
        <v>10</v>
      </c>
      <c r="W137" s="237" t="s">
        <v>11</v>
      </c>
      <c r="X137" s="237" t="s">
        <v>10</v>
      </c>
      <c r="Y137" s="237" t="s">
        <v>11</v>
      </c>
      <c r="Z137" s="237" t="s">
        <v>10</v>
      </c>
      <c r="AA137" s="237" t="s">
        <v>11</v>
      </c>
      <c r="AB137" s="585"/>
      <c r="AC137" s="627"/>
      <c r="AD137" s="574"/>
      <c r="AE137" s="572"/>
      <c r="AF137" s="567"/>
      <c r="AG137" s="480">
        <v>136</v>
      </c>
    </row>
    <row r="138" spans="1:34" ht="30.75" customHeight="1" x14ac:dyDescent="0.85">
      <c r="A138" s="665" t="s">
        <v>1044</v>
      </c>
      <c r="B138" s="365" t="s">
        <v>689</v>
      </c>
      <c r="C138" s="341" t="s">
        <v>523</v>
      </c>
      <c r="D138" s="381">
        <f>D8</f>
        <v>0</v>
      </c>
      <c r="E138" s="381">
        <f t="shared" ref="E138:AA138" si="18">E8</f>
        <v>0</v>
      </c>
      <c r="F138" s="381">
        <f t="shared" si="18"/>
        <v>0</v>
      </c>
      <c r="G138" s="381">
        <f t="shared" si="18"/>
        <v>0</v>
      </c>
      <c r="H138" s="381">
        <f t="shared" si="18"/>
        <v>0</v>
      </c>
      <c r="I138" s="381">
        <f t="shared" si="18"/>
        <v>0</v>
      </c>
      <c r="J138" s="381">
        <f t="shared" si="18"/>
        <v>0</v>
      </c>
      <c r="K138" s="381">
        <f t="shared" si="18"/>
        <v>0</v>
      </c>
      <c r="L138" s="381">
        <f t="shared" si="18"/>
        <v>0</v>
      </c>
      <c r="M138" s="381">
        <f t="shared" si="18"/>
        <v>0</v>
      </c>
      <c r="N138" s="381">
        <f t="shared" si="18"/>
        <v>0</v>
      </c>
      <c r="O138" s="381">
        <f t="shared" si="18"/>
        <v>0</v>
      </c>
      <c r="P138" s="381">
        <f t="shared" si="18"/>
        <v>0</v>
      </c>
      <c r="Q138" s="381">
        <f t="shared" si="18"/>
        <v>0</v>
      </c>
      <c r="R138" s="381">
        <f t="shared" si="18"/>
        <v>0</v>
      </c>
      <c r="S138" s="381">
        <f t="shared" si="18"/>
        <v>0</v>
      </c>
      <c r="T138" s="381">
        <f t="shared" si="18"/>
        <v>0</v>
      </c>
      <c r="U138" s="381">
        <f t="shared" si="18"/>
        <v>0</v>
      </c>
      <c r="V138" s="381">
        <f t="shared" si="18"/>
        <v>0</v>
      </c>
      <c r="W138" s="381">
        <f t="shared" si="18"/>
        <v>0</v>
      </c>
      <c r="X138" s="381">
        <f t="shared" si="18"/>
        <v>0</v>
      </c>
      <c r="Y138" s="381">
        <f t="shared" si="18"/>
        <v>0</v>
      </c>
      <c r="Z138" s="381">
        <f t="shared" si="18"/>
        <v>0</v>
      </c>
      <c r="AA138" s="381">
        <f t="shared" si="18"/>
        <v>0</v>
      </c>
      <c r="AB138" s="381">
        <f t="shared" ref="AB138" si="19">AB8</f>
        <v>0</v>
      </c>
      <c r="AC138" s="252" t="str">
        <f>CONCATENATE(IF(D139&gt;D138," * No Screened for GBV "&amp;$D$20&amp;" "&amp;$D$21&amp;" is more than Clients Seen at OPD"&amp;CHAR(10),""),IF(E139&gt;E138," * No Screened For GBV "&amp;$D$20&amp;" "&amp;$E$21&amp;" is more than Clients Seen at OPD"&amp;CHAR(10),""),IF(F139&gt;F138," * No Screened For GBV "&amp;$F$20&amp;" "&amp;$F$21&amp;" is more than Clients Seen at OPD"&amp;CHAR(10),""),IF(G139&gt;G138," * No Screened For GBV "&amp;$F$20&amp;" "&amp;$G$21&amp;" is more than Clients Seen at OPD"&amp;CHAR(10),""),IF(H139&gt;H138," * No Screened For GBV "&amp;$H$20&amp;" "&amp;$H$21&amp;" is more than Clients Seen at OPD"&amp;CHAR(10),""),IF(I139&gt;I138," * No Screened For GBV "&amp;$H$20&amp;" "&amp;$I$21&amp;" is more than Clients Seen at OPD"&amp;CHAR(10),""),IF(J139&gt;J138," * No Screened For GBV "&amp;$J$20&amp;" "&amp;$J$21&amp;" is more than Clients Seen at OPD"&amp;CHAR(10),""),IF(K139&gt;K138," * No Screened For GBV "&amp;$J$20&amp;" "&amp;$K$21&amp;" is more than Clients Seen at OPD"&amp;CHAR(10),""),IF(L139&gt;L138," * No Screened For GBV "&amp;$L$20&amp;" "&amp;$L$21&amp;" is more than Clients Seen at OPD"&amp;CHAR(10),""),IF(M139&gt;M138," * No Screened For GBV "&amp;$L$20&amp;" "&amp;$M$21&amp;" is more than Clients Seen at OPD"&amp;CHAR(10),""),IF(N139&gt;N138," * No Screened For GBV "&amp;$N$20&amp;" "&amp;$N$21&amp;" is more than Clients Seen at OPD"&amp;CHAR(10),""),IF(O139&gt;O138," * No Screened For GBV "&amp;$N$20&amp;" "&amp;$O$21&amp;" is more than Clients Seen at OPD"&amp;CHAR(10),""),IF(P139&gt;P138," * No Screened For GBV "&amp;$P$20&amp;" "&amp;$P$21&amp;" is more than Clients Seen at OPD"&amp;CHAR(10),""),IF(Q139&gt;Q138," * No Screened For GBV "&amp;$P$20&amp;" "&amp;$Q$21&amp;" is more than Clients Seen at OPD"&amp;CHAR(10),""),IF(R139&gt;R138," * No Screened For GBV "&amp;$R$20&amp;" "&amp;$R$21&amp;" is more than Clients Seen at OPD"&amp;CHAR(10),""),IF(S139&gt;S138," * No Screened For GBV "&amp;$R$20&amp;" "&amp;$S$21&amp;" is more than Clients Seen at OPD"&amp;CHAR(10),""),IF(T139&gt;T138," * No Screened For GBV "&amp;$T$20&amp;" "&amp;$T$21&amp;" is more than Clients Seen at OPD"&amp;CHAR(10),""),IF(U139&gt;U138," * No Screened For GBV "&amp;$T$20&amp;" "&amp;$U$21&amp;" is more than Clients Seen at OPD"&amp;CHAR(10),""),IF(V139&gt;V138," * No Screened For GBV "&amp;$V$20&amp;" "&amp;$V$21&amp;" is more than Clients Seen at OPD"&amp;CHAR(10),""),IF(W139&gt;W138," * No Screened For GBV "&amp;$V$20&amp;" "&amp;$W$21&amp;" is more than Clients Seen at OPD"&amp;CHAR(10),""),IF(X139&gt;X138," * No Screened For GBV "&amp;$X$20&amp;" "&amp;$X$21&amp;" is more than Clients Seen at OPD"&amp;CHAR(10),""),IF(Y139&gt;Y138," * No Screened For GBV "&amp;$X$20&amp;" "&amp;$Y$21&amp;" is more than Clients Seen at OPD"&amp;CHAR(10),""),IF(Z139&gt;Z138," * No Screened For GBV "&amp;$Z$20&amp;" "&amp;$Z$21&amp;" is more than Clients Seen at OPD"&amp;CHAR(10),""),IF(AA139&gt;AA138," * No Screened For GBV "&amp;$Z$20&amp;" "&amp;$AA$21&amp;" is more than Clients Seen at OPD"&amp;CHAR(10),""))</f>
        <v/>
      </c>
      <c r="AD138" s="748" t="str">
        <f>CONCATENATE(AC138,AC139,AC140,AC141,AC142,AC143,AC144,AC145,AC146)</f>
        <v/>
      </c>
      <c r="AE138" s="99"/>
      <c r="AF138" s="620" t="str">
        <f>CONCATENATE(AE138,AE175,AE176,AE177,AE178,AE179,AE180,AE181,AE182,AE183,AE184,AE185,AE186,AE187,AE188)</f>
        <v/>
      </c>
      <c r="AG138" s="480">
        <v>137</v>
      </c>
    </row>
    <row r="139" spans="1:34" x14ac:dyDescent="0.85">
      <c r="A139" s="666"/>
      <c r="B139" s="366" t="s">
        <v>943</v>
      </c>
      <c r="C139" s="355" t="s">
        <v>524</v>
      </c>
      <c r="D139" s="357"/>
      <c r="E139" s="357"/>
      <c r="F139" s="357"/>
      <c r="G139" s="357"/>
      <c r="H139" s="357"/>
      <c r="I139" s="357"/>
      <c r="J139" s="357"/>
      <c r="K139" s="357"/>
      <c r="L139" s="357"/>
      <c r="M139" s="357"/>
      <c r="N139" s="357"/>
      <c r="O139" s="357"/>
      <c r="P139" s="357"/>
      <c r="Q139" s="357"/>
      <c r="R139" s="357"/>
      <c r="S139" s="357"/>
      <c r="T139" s="357"/>
      <c r="U139" s="357"/>
      <c r="V139" s="357"/>
      <c r="W139" s="357"/>
      <c r="X139" s="357"/>
      <c r="Y139" s="357"/>
      <c r="Z139" s="357"/>
      <c r="AA139" s="357"/>
      <c r="AB139" s="243">
        <f>SUM(D139:AA139)</f>
        <v>0</v>
      </c>
      <c r="AC139" s="260"/>
      <c r="AD139" s="749"/>
      <c r="AE139" s="83"/>
      <c r="AF139" s="621"/>
      <c r="AG139" s="480">
        <v>138</v>
      </c>
    </row>
    <row r="140" spans="1:34" s="226" customFormat="1" ht="31.75" x14ac:dyDescent="0.85">
      <c r="A140" s="666"/>
      <c r="B140" s="371" t="s">
        <v>947</v>
      </c>
      <c r="C140" s="355" t="s">
        <v>908</v>
      </c>
      <c r="D140" s="380">
        <f>D141+D143+D145+D146</f>
        <v>0</v>
      </c>
      <c r="E140" s="380">
        <f t="shared" ref="E140:AA140" si="20">E141+E143+E145+E146</f>
        <v>0</v>
      </c>
      <c r="F140" s="380">
        <f t="shared" si="20"/>
        <v>0</v>
      </c>
      <c r="G140" s="380">
        <f t="shared" si="20"/>
        <v>0</v>
      </c>
      <c r="H140" s="380">
        <f t="shared" si="20"/>
        <v>0</v>
      </c>
      <c r="I140" s="380">
        <f t="shared" si="20"/>
        <v>0</v>
      </c>
      <c r="J140" s="380">
        <f t="shared" si="20"/>
        <v>0</v>
      </c>
      <c r="K140" s="380">
        <f t="shared" si="20"/>
        <v>0</v>
      </c>
      <c r="L140" s="380">
        <f t="shared" si="20"/>
        <v>0</v>
      </c>
      <c r="M140" s="380">
        <f t="shared" si="20"/>
        <v>0</v>
      </c>
      <c r="N140" s="380">
        <f t="shared" si="20"/>
        <v>0</v>
      </c>
      <c r="O140" s="380">
        <f t="shared" si="20"/>
        <v>0</v>
      </c>
      <c r="P140" s="380">
        <f t="shared" si="20"/>
        <v>0</v>
      </c>
      <c r="Q140" s="380">
        <f t="shared" si="20"/>
        <v>0</v>
      </c>
      <c r="R140" s="380">
        <f t="shared" si="20"/>
        <v>0</v>
      </c>
      <c r="S140" s="380">
        <f t="shared" si="20"/>
        <v>0</v>
      </c>
      <c r="T140" s="380">
        <f t="shared" si="20"/>
        <v>0</v>
      </c>
      <c r="U140" s="380">
        <f t="shared" si="20"/>
        <v>0</v>
      </c>
      <c r="V140" s="380">
        <f t="shared" si="20"/>
        <v>0</v>
      </c>
      <c r="W140" s="380">
        <f t="shared" si="20"/>
        <v>0</v>
      </c>
      <c r="X140" s="380">
        <f t="shared" si="20"/>
        <v>0</v>
      </c>
      <c r="Y140" s="380">
        <f t="shared" si="20"/>
        <v>0</v>
      </c>
      <c r="Z140" s="380">
        <f t="shared" si="20"/>
        <v>0</v>
      </c>
      <c r="AA140" s="380">
        <f t="shared" si="20"/>
        <v>0</v>
      </c>
      <c r="AB140" s="378">
        <f t="shared" ref="AB140:AB146" si="21">SUM(D140:AA140)</f>
        <v>0</v>
      </c>
      <c r="AC140" s="260"/>
      <c r="AD140" s="749"/>
      <c r="AE140" s="253"/>
      <c r="AF140" s="621"/>
      <c r="AG140" s="480">
        <v>139</v>
      </c>
      <c r="AH140" s="335"/>
    </row>
    <row r="141" spans="1:34" s="226" customFormat="1" x14ac:dyDescent="0.85">
      <c r="A141" s="666"/>
      <c r="B141" s="366" t="s">
        <v>899</v>
      </c>
      <c r="C141" s="355" t="s">
        <v>909</v>
      </c>
      <c r="D141" s="379"/>
      <c r="E141" s="379"/>
      <c r="F141" s="379"/>
      <c r="G141" s="379"/>
      <c r="H141" s="379"/>
      <c r="I141" s="379"/>
      <c r="J141" s="379"/>
      <c r="K141" s="379"/>
      <c r="L141" s="379"/>
      <c r="M141" s="379"/>
      <c r="N141" s="379"/>
      <c r="O141" s="379"/>
      <c r="P141" s="379"/>
      <c r="Q141" s="379"/>
      <c r="R141" s="379"/>
      <c r="S141" s="379"/>
      <c r="T141" s="379"/>
      <c r="U141" s="379"/>
      <c r="V141" s="379"/>
      <c r="W141" s="379"/>
      <c r="X141" s="379"/>
      <c r="Y141" s="379"/>
      <c r="Z141" s="379"/>
      <c r="AA141" s="379"/>
      <c r="AB141" s="243">
        <f t="shared" si="21"/>
        <v>0</v>
      </c>
      <c r="AC141" s="252" t="str">
        <f>CONCATENATE(IF(D142&gt;D141," * OPD Sexual Violence Initiated Pep "&amp;$D$20&amp;" "&amp;$D$21&amp;" is more than OPD Sexual Violence Rape Survivors"&amp;CHAR(10),""),IF(E142&gt;E141," * OPD Sexual Violence Initiated Pep "&amp;$D$20&amp;" "&amp;$E$21&amp;" is more than OPD Sexual Violence Rape Survivors"&amp;CHAR(10),""),IF(F142&gt;F141," * OPD Sexual Violence Initiated Pep "&amp;$F$20&amp;" "&amp;$F$21&amp;" is more than OPD Sexual Violence Rape Survivors"&amp;CHAR(10),""),IF(G142&gt;G141," * OPD Sexual Violence Initiated Pep "&amp;$F$20&amp;" "&amp;$G$21&amp;" is more than OPD Sexual Violence Rape Survivors"&amp;CHAR(10),""),IF(H142&gt;H141," * OPD Sexual Violence Initiated Pep "&amp;$H$20&amp;" "&amp;$H$21&amp;" is more than OPD Sexual Violence Rape Survivors"&amp;CHAR(10),""),IF(I142&gt;I141," * OPD Sexual Violence Initiated Pep "&amp;$H$20&amp;" "&amp;$I$21&amp;" is more than OPD Sexual Violence Rape Survivors"&amp;CHAR(10),""),IF(J142&gt;J141," * OPD Sexual Violence Initiated Pep "&amp;$J$20&amp;" "&amp;$J$21&amp;" is more than OPD Sexual Violence Rape Survivors"&amp;CHAR(10),""),IF(K142&gt;K141," * OPD Sexual Violence Initiated Pep "&amp;$J$20&amp;" "&amp;$K$21&amp;" is more than OPD Sexual Violence Rape Survivors"&amp;CHAR(10),""),IF(L142&gt;L141," * OPD Sexual Violence Initiated Pep "&amp;$L$20&amp;" "&amp;$L$21&amp;" is more than OPD Sexual Violence Rape Survivors"&amp;CHAR(10),""),IF(M142&gt;M141," * OPD Sexual Violence Initiated Pep "&amp;$L$20&amp;" "&amp;$M$21&amp;" is more than OPD Sexual Violence Rape Survivors"&amp;CHAR(10),""),IF(N142&gt;N141," * OPD Sexual Violence Initiated Pep "&amp;$N$20&amp;" "&amp;$N$21&amp;" is more than OPD Sexual Violence Rape Survivors"&amp;CHAR(10),""),IF(O142&gt;O141," * OPD Sexual Violence Initiated Pep "&amp;$N$20&amp;" "&amp;$O$21&amp;" is more than OPD Sexual Violence Rape Survivors"&amp;CHAR(10),""),IF(P142&gt;P141," * OPD Sexual Violence Initiated Pep "&amp;$P$20&amp;" "&amp;$P$21&amp;" is more than OPD Sexual Violence Rape Survivors"&amp;CHAR(10),""),IF(Q142&gt;Q141," * OPD Sexual Violence Initiated Pep "&amp;$P$20&amp;" "&amp;$Q$21&amp;" is more than OPD Sexual Violence Rape Survivors"&amp;CHAR(10),""),IF(R142&gt;R141," * OPD Sexual Violence Initiated Pep "&amp;$R$20&amp;" "&amp;$R$21&amp;" is more than OPD Sexual Violence Rape Survivors"&amp;CHAR(10),""),IF(S142&gt;S141," * OPD Sexual Violence Initiated Pep "&amp;$R$20&amp;" "&amp;$S$21&amp;" is more than OPD Sexual Violence Rape Survivors"&amp;CHAR(10),""),IF(T142&gt;T141," * OPD Sexual Violence Initiated Pep "&amp;$T$20&amp;" "&amp;$T$21&amp;" is more than OPD Sexual Violence Rape Survivors"&amp;CHAR(10),""),IF(U142&gt;U141," * OPD Sexual Violence Initiated Pep "&amp;$T$20&amp;" "&amp;$U$21&amp;" is more than OPD Sexual Violence Rape Survivors"&amp;CHAR(10),""),IF(V142&gt;V141," * OPD Sexual Violence Initiated Pep "&amp;$V$20&amp;" "&amp;$V$21&amp;" is more than OPD Sexual Violence Rape Survivors"&amp;CHAR(10),""),IF(W142&gt;W141," * OPD Sexual Violence Initiated Pep "&amp;$V$20&amp;" "&amp;$W$21&amp;" is more than OPD Sexual Violence Rape Survivors"&amp;CHAR(10),""),IF(X142&gt;X141," * OPD Sexual Violence Initiated Pep "&amp;$X$20&amp;" "&amp;$X$21&amp;" is more than OPD Sexual Violence Rape Survivors"&amp;CHAR(10),""),IF(Y142&gt;Y141," * OPD Sexual Violence Initiated Pep "&amp;$X$20&amp;" "&amp;$Y$21&amp;" is more than OPD Sexual Violence Rape Survivors"&amp;CHAR(10),""),IF(Z142&gt;Z141," * OPD Sexual Violence Initiated Pep "&amp;$Z$20&amp;" "&amp;$Z$21&amp;" is more than OPD Sexual Violence Rape Survivors"&amp;CHAR(10),""),IF(AA142&gt;AA141," * OPD Sexual Violence Initiated Pep "&amp;$Z$20&amp;" "&amp;$AA$21&amp;" is more than OPD Sexual Violence Rape Survivors"&amp;CHAR(10),""))</f>
        <v/>
      </c>
      <c r="AD141" s="749"/>
      <c r="AE141" s="253"/>
      <c r="AF141" s="621"/>
      <c r="AG141" s="480">
        <v>140</v>
      </c>
      <c r="AH141" s="335"/>
    </row>
    <row r="142" spans="1:34" s="226" customFormat="1" x14ac:dyDescent="0.85">
      <c r="A142" s="666"/>
      <c r="B142" s="366" t="s">
        <v>900</v>
      </c>
      <c r="C142" s="355" t="s">
        <v>910</v>
      </c>
      <c r="D142" s="359"/>
      <c r="E142" s="359"/>
      <c r="F142" s="359"/>
      <c r="G142" s="359"/>
      <c r="H142" s="359"/>
      <c r="I142" s="359"/>
      <c r="J142" s="359"/>
      <c r="K142" s="359"/>
      <c r="L142" s="359"/>
      <c r="M142" s="359"/>
      <c r="N142" s="359"/>
      <c r="O142" s="359"/>
      <c r="P142" s="359"/>
      <c r="Q142" s="359"/>
      <c r="R142" s="359"/>
      <c r="S142" s="359"/>
      <c r="T142" s="359"/>
      <c r="U142" s="359"/>
      <c r="V142" s="359"/>
      <c r="W142" s="359"/>
      <c r="X142" s="359"/>
      <c r="Y142" s="359"/>
      <c r="Z142" s="359"/>
      <c r="AA142" s="359"/>
      <c r="AB142" s="243">
        <f t="shared" si="21"/>
        <v>0</v>
      </c>
      <c r="AC142" s="260"/>
      <c r="AD142" s="749"/>
      <c r="AE142" s="253"/>
      <c r="AF142" s="621"/>
      <c r="AG142" s="480">
        <v>141</v>
      </c>
      <c r="AH142" s="335"/>
    </row>
    <row r="143" spans="1:34" s="226" customFormat="1" x14ac:dyDescent="0.85">
      <c r="A143" s="666"/>
      <c r="B143" s="366" t="s">
        <v>901</v>
      </c>
      <c r="C143" s="355" t="s">
        <v>911</v>
      </c>
      <c r="D143" s="379"/>
      <c r="E143" s="379"/>
      <c r="F143" s="379"/>
      <c r="G143" s="379"/>
      <c r="H143" s="379"/>
      <c r="I143" s="379"/>
      <c r="J143" s="379"/>
      <c r="K143" s="379"/>
      <c r="L143" s="379"/>
      <c r="M143" s="379"/>
      <c r="N143" s="379"/>
      <c r="O143" s="379"/>
      <c r="P143" s="379"/>
      <c r="Q143" s="379"/>
      <c r="R143" s="379"/>
      <c r="S143" s="379"/>
      <c r="T143" s="379"/>
      <c r="U143" s="379"/>
      <c r="V143" s="379"/>
      <c r="W143" s="379"/>
      <c r="X143" s="379"/>
      <c r="Y143" s="379"/>
      <c r="Z143" s="379"/>
      <c r="AA143" s="379"/>
      <c r="AB143" s="243">
        <f t="shared" si="21"/>
        <v>0</v>
      </c>
      <c r="AC143" s="252" t="str">
        <f>CONCATENATE(IF(D144&gt;D143," * OPD  Physical Violence Initiated Pep "&amp;$D$20&amp;" "&amp;$D$21&amp;" is more than OPD Physical Violence Rape Survivors"&amp;CHAR(10),""),IF(E144&gt;E143," * OPD  Physical Violence Initiated Pep "&amp;$D$20&amp;" "&amp;$E$21&amp;" is more than OPD Physical Violence Rape Survivors"&amp;CHAR(10),""),IF(F144&gt;F143," * OPD  Physical Violence Initiated Pep "&amp;$F$20&amp;" "&amp;$F$21&amp;" is more than OPD Physical Violence Rape Survivors"&amp;CHAR(10),""),IF(G144&gt;G143," * OPD  Physical Violence Initiated Pep "&amp;$F$20&amp;" "&amp;$G$21&amp;" is more than OPD Physical Violence Rape Survivors"&amp;CHAR(10),""),IF(H144&gt;H143," * OPD  Physical Violence Initiated Pep "&amp;$H$20&amp;" "&amp;$H$21&amp;" is more than OPD Physical Violence Rape Survivors"&amp;CHAR(10),""),IF(I144&gt;I143," * OPD  Physical Violence Initiated Pep "&amp;$H$20&amp;" "&amp;$I$21&amp;" is more than OPD Physical Violence Rape Survivors"&amp;CHAR(10),""),IF(J144&gt;J143," * OPD  Physical Violence Initiated Pep "&amp;$J$20&amp;" "&amp;$J$21&amp;" is more than OPD Physical Violence Rape Survivors"&amp;CHAR(10),""),IF(K144&gt;K143," * OPD  Physical Violence Initiated Pep "&amp;$J$20&amp;" "&amp;$K$21&amp;" is more than OPD Physical Violence Rape Survivors"&amp;CHAR(10),""),IF(L144&gt;L143," * OPD  Physical Violence Initiated Pep "&amp;$L$20&amp;" "&amp;$L$21&amp;" is more than OPD Physical Violence Rape Survivors"&amp;CHAR(10),""),IF(M144&gt;M143," * OPD  Physical Violence Initiated Pep "&amp;$L$20&amp;" "&amp;$M$21&amp;" is more than OPD Physical Violence Rape Survivors"&amp;CHAR(10),""),IF(N144&gt;N143," * OPD  Physical Violence Initiated Pep "&amp;$N$20&amp;" "&amp;$N$21&amp;" is more than OPD Physical Violence Rape Survivors"&amp;CHAR(10),""),IF(O144&gt;O143," * OPD  Physical Violence Initiated Pep "&amp;$N$20&amp;" "&amp;$O$21&amp;" is more than OPD Physical Violence Rape Survivors"&amp;CHAR(10),""),IF(P144&gt;P143," * OPD  Physical Violence Initiated Pep "&amp;$P$20&amp;" "&amp;$P$21&amp;" is more than OPD Physical Violence Rape Survivors"&amp;CHAR(10),""),IF(Q144&gt;Q143," * OPD  Physical Violence Initiated Pep "&amp;$P$20&amp;" "&amp;$Q$21&amp;" is more than OPD Physical Violence Rape Survivors"&amp;CHAR(10),""),IF(R144&gt;R143," * OPD  Physical Violence Initiated Pep "&amp;$R$20&amp;" "&amp;$R$21&amp;" is more than OPD Physical Violence Rape Survivors"&amp;CHAR(10),""),IF(S144&gt;S143," * OPD  Physical Violence Initiated Pep "&amp;$R$20&amp;" "&amp;$S$21&amp;" is more than OPD Physical Violence Rape Survivors"&amp;CHAR(10),""),IF(T144&gt;T143," * OPD  Physical Violence Initiated Pep "&amp;$T$20&amp;" "&amp;$T$21&amp;" is more than OPD Physical Violence Rape Survivors"&amp;CHAR(10),""),IF(U144&gt;U143," * OPD  Physical Violence Initiated Pep "&amp;$T$20&amp;" "&amp;$U$21&amp;" is more than OPD Physical Violence Rape Survivors"&amp;CHAR(10),""),IF(V144&gt;V143," * OPD  Physical Violence Initiated Pep "&amp;$V$20&amp;" "&amp;$V$21&amp;" is more than OPD Physical Violence Rape Survivors"&amp;CHAR(10),""),IF(W144&gt;W143," * OPD  Physical Violence Initiated Pep "&amp;$V$20&amp;" "&amp;$W$21&amp;" is more than OPD Physical Violence Rape Survivors"&amp;CHAR(10),""),IF(X144&gt;X143," * OPD  Physical Violence Initiated Pep "&amp;$X$20&amp;" "&amp;$X$21&amp;" is more than OPD Physical Violence Rape Survivors"&amp;CHAR(10),""),IF(Y144&gt;Y143," * OPD  Physical Violence Initiated Pep "&amp;$X$20&amp;" "&amp;$Y$21&amp;" is more than OPD Physical Violence Rape Survivors"&amp;CHAR(10),""),IF(Z144&gt;Z143," * OPD  Physical Violence Initiated Pep "&amp;$Z$20&amp;" "&amp;$Z$21&amp;" is more than OPD Physical Violence Rape Survivors"&amp;CHAR(10),""),IF(AA144&gt;AA143," * OPD  Physical Violence Initiated Pep "&amp;$Z$20&amp;" "&amp;$AA$21&amp;" is more than OPD Physical Violence Rape Survivors"&amp;CHAR(10),""))</f>
        <v/>
      </c>
      <c r="AD143" s="749"/>
      <c r="AE143" s="253"/>
      <c r="AF143" s="621"/>
      <c r="AG143" s="480">
        <v>142</v>
      </c>
      <c r="AH143" s="335"/>
    </row>
    <row r="144" spans="1:34" s="226" customFormat="1" x14ac:dyDescent="0.85">
      <c r="A144" s="666"/>
      <c r="B144" s="366" t="s">
        <v>902</v>
      </c>
      <c r="C144" s="355" t="s">
        <v>912</v>
      </c>
      <c r="D144" s="359"/>
      <c r="E144" s="359"/>
      <c r="F144" s="359"/>
      <c r="G144" s="359"/>
      <c r="H144" s="359"/>
      <c r="I144" s="359"/>
      <c r="J144" s="359"/>
      <c r="K144" s="359"/>
      <c r="L144" s="359"/>
      <c r="M144" s="359"/>
      <c r="N144" s="359"/>
      <c r="O144" s="359"/>
      <c r="P144" s="359"/>
      <c r="Q144" s="359"/>
      <c r="R144" s="359"/>
      <c r="S144" s="359"/>
      <c r="T144" s="359"/>
      <c r="U144" s="359"/>
      <c r="V144" s="359"/>
      <c r="W144" s="359"/>
      <c r="X144" s="359"/>
      <c r="Y144" s="359"/>
      <c r="Z144" s="359"/>
      <c r="AA144" s="359"/>
      <c r="AB144" s="243">
        <f t="shared" si="21"/>
        <v>0</v>
      </c>
      <c r="AC144" s="260"/>
      <c r="AD144" s="749"/>
      <c r="AE144" s="253"/>
      <c r="AF144" s="621"/>
      <c r="AG144" s="480">
        <v>143</v>
      </c>
      <c r="AH144" s="335"/>
    </row>
    <row r="145" spans="1:34" s="226" customFormat="1" x14ac:dyDescent="0.85">
      <c r="A145" s="666"/>
      <c r="B145" s="366" t="s">
        <v>903</v>
      </c>
      <c r="C145" s="355" t="s">
        <v>913</v>
      </c>
      <c r="D145" s="360"/>
      <c r="E145" s="359"/>
      <c r="F145" s="359"/>
      <c r="G145" s="359"/>
      <c r="H145" s="359"/>
      <c r="I145" s="359"/>
      <c r="J145" s="359"/>
      <c r="K145" s="359"/>
      <c r="L145" s="359"/>
      <c r="M145" s="359"/>
      <c r="N145" s="359"/>
      <c r="O145" s="359"/>
      <c r="P145" s="359"/>
      <c r="Q145" s="359"/>
      <c r="R145" s="359"/>
      <c r="S145" s="359"/>
      <c r="T145" s="359"/>
      <c r="U145" s="359"/>
      <c r="V145" s="359"/>
      <c r="W145" s="359"/>
      <c r="X145" s="359"/>
      <c r="Y145" s="359"/>
      <c r="Z145" s="359"/>
      <c r="AA145" s="368"/>
      <c r="AB145" s="243">
        <f t="shared" si="21"/>
        <v>0</v>
      </c>
      <c r="AC145" s="260"/>
      <c r="AD145" s="749"/>
      <c r="AE145" s="253"/>
      <c r="AF145" s="621"/>
      <c r="AG145" s="480">
        <v>144</v>
      </c>
      <c r="AH145" s="335"/>
    </row>
    <row r="146" spans="1:34" s="226" customFormat="1" ht="31.3" thickBot="1" x14ac:dyDescent="0.9">
      <c r="A146" s="667"/>
      <c r="B146" s="367" t="s">
        <v>938</v>
      </c>
      <c r="C146" s="363" t="s">
        <v>914</v>
      </c>
      <c r="D146" s="361"/>
      <c r="E146" s="362"/>
      <c r="F146" s="362"/>
      <c r="G146" s="362"/>
      <c r="H146" s="362"/>
      <c r="I146" s="362"/>
      <c r="J146" s="362"/>
      <c r="K146" s="362"/>
      <c r="L146" s="362"/>
      <c r="M146" s="362"/>
      <c r="N146" s="362"/>
      <c r="O146" s="362"/>
      <c r="P146" s="362"/>
      <c r="Q146" s="362"/>
      <c r="R146" s="362"/>
      <c r="S146" s="362"/>
      <c r="T146" s="362"/>
      <c r="U146" s="362"/>
      <c r="V146" s="362"/>
      <c r="W146" s="362"/>
      <c r="X146" s="362"/>
      <c r="Y146" s="362"/>
      <c r="Z146" s="362"/>
      <c r="AA146" s="369"/>
      <c r="AB146" s="243">
        <f t="shared" si="21"/>
        <v>0</v>
      </c>
      <c r="AC146" s="260"/>
      <c r="AD146" s="750"/>
      <c r="AE146" s="261"/>
      <c r="AF146" s="621"/>
      <c r="AG146" s="480">
        <v>145</v>
      </c>
      <c r="AH146" s="335"/>
    </row>
    <row r="147" spans="1:34" s="226" customFormat="1" x14ac:dyDescent="0.85">
      <c r="A147" s="665" t="s">
        <v>905</v>
      </c>
      <c r="B147" s="365" t="s">
        <v>950</v>
      </c>
      <c r="C147" s="341" t="s">
        <v>915</v>
      </c>
      <c r="D147" s="381">
        <f>D11</f>
        <v>0</v>
      </c>
      <c r="E147" s="381">
        <f t="shared" ref="E147:AA147" si="22">E11</f>
        <v>0</v>
      </c>
      <c r="F147" s="381">
        <f t="shared" si="22"/>
        <v>0</v>
      </c>
      <c r="G147" s="381">
        <f t="shared" si="22"/>
        <v>0</v>
      </c>
      <c r="H147" s="381">
        <f t="shared" si="22"/>
        <v>0</v>
      </c>
      <c r="I147" s="381">
        <f t="shared" si="22"/>
        <v>0</v>
      </c>
      <c r="J147" s="381">
        <f t="shared" si="22"/>
        <v>0</v>
      </c>
      <c r="K147" s="381">
        <f t="shared" si="22"/>
        <v>0</v>
      </c>
      <c r="L147" s="381">
        <f t="shared" si="22"/>
        <v>0</v>
      </c>
      <c r="M147" s="381">
        <f t="shared" si="22"/>
        <v>0</v>
      </c>
      <c r="N147" s="381">
        <f t="shared" si="22"/>
        <v>0</v>
      </c>
      <c r="O147" s="381">
        <f t="shared" si="22"/>
        <v>0</v>
      </c>
      <c r="P147" s="381">
        <f t="shared" si="22"/>
        <v>0</v>
      </c>
      <c r="Q147" s="381">
        <f t="shared" si="22"/>
        <v>0</v>
      </c>
      <c r="R147" s="381">
        <f t="shared" si="22"/>
        <v>0</v>
      </c>
      <c r="S147" s="381">
        <f t="shared" si="22"/>
        <v>0</v>
      </c>
      <c r="T147" s="381">
        <f t="shared" si="22"/>
        <v>0</v>
      </c>
      <c r="U147" s="381">
        <f t="shared" si="22"/>
        <v>0</v>
      </c>
      <c r="V147" s="381">
        <f t="shared" si="22"/>
        <v>0</v>
      </c>
      <c r="W147" s="381">
        <f t="shared" si="22"/>
        <v>0</v>
      </c>
      <c r="X147" s="381">
        <f t="shared" si="22"/>
        <v>0</v>
      </c>
      <c r="Y147" s="381">
        <f t="shared" si="22"/>
        <v>0</v>
      </c>
      <c r="Z147" s="381">
        <f t="shared" si="22"/>
        <v>0</v>
      </c>
      <c r="AA147" s="381">
        <f t="shared" si="22"/>
        <v>0</v>
      </c>
      <c r="AB147" s="381">
        <f t="shared" ref="AB147" si="23">AB11</f>
        <v>0</v>
      </c>
      <c r="AC147" s="252" t="str">
        <f>CONCATENATE(IF(D148&gt;D147," * No Screened for GBV "&amp;$D$20&amp;" "&amp;$D$21&amp;" is more than Clients Seen at IPD"&amp;CHAR(10),""),IF(E148&gt;E147," * No Screened For GBV "&amp;$D$20&amp;" "&amp;$E$21&amp;" is more than Clients Seen at IPD"&amp;CHAR(10),""),IF(F148&gt;F147," * No Screened For GBV "&amp;$F$20&amp;" "&amp;$F$21&amp;" is more than Clients Seen at IPD"&amp;CHAR(10),""),IF(G148&gt;G147," * No Screened For GBV "&amp;$F$20&amp;" "&amp;$G$21&amp;" is more than Clients Seen at IPD"&amp;CHAR(10),""),IF(H148&gt;H147," * No Screened For GBV "&amp;$H$20&amp;" "&amp;$H$21&amp;" is more than Clients Seen at IPD"&amp;CHAR(10),""),IF(I148&gt;I147," * No Screened For GBV "&amp;$H$20&amp;" "&amp;$I$21&amp;" is more than Clients Seen at IPD"&amp;CHAR(10),""),IF(J148&gt;J147," * No Screened For GBV "&amp;$J$20&amp;" "&amp;$J$21&amp;" is more than Clients Seen at IPD"&amp;CHAR(10),""),IF(K148&gt;K147," * No Screened For GBV "&amp;$J$20&amp;" "&amp;$K$21&amp;" is more than Clients Seen at IPD"&amp;CHAR(10),""),IF(L148&gt;L147," * No Screened For GBV "&amp;$L$20&amp;" "&amp;$L$21&amp;" is more than Clients Seen at IPD"&amp;CHAR(10),""),IF(M148&gt;M147," * No Screened For GBV "&amp;$L$20&amp;" "&amp;$M$21&amp;" is more than Clients Seen at IPD"&amp;CHAR(10),""),IF(N148&gt;N147," * No Screened For GBV "&amp;$N$20&amp;" "&amp;$N$21&amp;" is more than Clients Seen at IPD"&amp;CHAR(10),""),IF(O148&gt;O147," * No Screened For GBV "&amp;$N$20&amp;" "&amp;$O$21&amp;" is more than Clients Seen at IPD"&amp;CHAR(10),""),IF(P148&gt;P147," * No Screened For GBV "&amp;$P$20&amp;" "&amp;$P$21&amp;" is more than Clients Seen at IPD"&amp;CHAR(10),""),IF(Q148&gt;Q147," * No Screened For GBV "&amp;$P$20&amp;" "&amp;$Q$21&amp;" is more than Clients Seen at IPD"&amp;CHAR(10),""),IF(R148&gt;R147," * No Screened For GBV "&amp;$R$20&amp;" "&amp;$R$21&amp;" is more than Clients Seen at IPD"&amp;CHAR(10),""),IF(S148&gt;S147," * No Screened For GBV "&amp;$R$20&amp;" "&amp;$S$21&amp;" is more than Clients Seen at IPD"&amp;CHAR(10),""),IF(T148&gt;T147," * No Screened For GBV "&amp;$T$20&amp;" "&amp;$T$21&amp;" is more than Clients Seen at IPD"&amp;CHAR(10),""),IF(U148&gt;U147," * No Screened For GBV "&amp;$T$20&amp;" "&amp;$U$21&amp;" is more than Clients Seen at IPD"&amp;CHAR(10),""),IF(V148&gt;V147," * No Screened For GBV "&amp;$V$20&amp;" "&amp;$V$21&amp;" is more than Clients Seen at IPD"&amp;CHAR(10),""),IF(W148&gt;W147," * No Screened For GBV "&amp;$V$20&amp;" "&amp;$W$21&amp;" is more than Clients Seen at IPD"&amp;CHAR(10),""),IF(X148&gt;X147," * No Screened For GBV "&amp;$X$20&amp;" "&amp;$X$21&amp;" is more than Clients Seen at IPD"&amp;CHAR(10),""),IF(Y148&gt;Y147," * No Screened For GBV "&amp;$X$20&amp;" "&amp;$Y$21&amp;" is more than Clients Seen at IPD"&amp;CHAR(10),""),IF(Z148&gt;Z147," * No Screened For GBV "&amp;$Z$20&amp;" "&amp;$Z$21&amp;" is more than Clients Seen at IPD"&amp;CHAR(10),""),IF(AA148&gt;AA147," * No Screened For GBV "&amp;$Z$20&amp;" "&amp;$AA$21&amp;" is more than Clients Seen at IPD"&amp;CHAR(10),""))</f>
        <v/>
      </c>
      <c r="AD147" s="751" t="str">
        <f>CONCATENATE(AC147,AC148,AC149,AC150,AC151,AC152,AC153,AC154,AC155)</f>
        <v/>
      </c>
      <c r="AE147" s="261"/>
      <c r="AF147" s="621"/>
      <c r="AG147" s="480">
        <v>146</v>
      </c>
      <c r="AH147" s="335"/>
    </row>
    <row r="148" spans="1:34" s="226" customFormat="1" x14ac:dyDescent="0.85">
      <c r="A148" s="666"/>
      <c r="B148" s="366" t="s">
        <v>944</v>
      </c>
      <c r="C148" s="355" t="s">
        <v>916</v>
      </c>
      <c r="D148" s="357"/>
      <c r="E148" s="357"/>
      <c r="F148" s="357"/>
      <c r="G148" s="357"/>
      <c r="H148" s="357"/>
      <c r="I148" s="357"/>
      <c r="J148" s="357"/>
      <c r="K148" s="357"/>
      <c r="L148" s="357"/>
      <c r="M148" s="357"/>
      <c r="N148" s="357"/>
      <c r="O148" s="357"/>
      <c r="P148" s="357"/>
      <c r="Q148" s="357"/>
      <c r="R148" s="357"/>
      <c r="S148" s="357"/>
      <c r="T148" s="357"/>
      <c r="U148" s="357"/>
      <c r="V148" s="357"/>
      <c r="W148" s="357"/>
      <c r="X148" s="357"/>
      <c r="Y148" s="357"/>
      <c r="Z148" s="357"/>
      <c r="AA148" s="357"/>
      <c r="AB148" s="257">
        <f t="shared" ref="AB148:AB173" si="24">SUM(D148:AA148)</f>
        <v>0</v>
      </c>
      <c r="AC148" s="260"/>
      <c r="AD148" s="752"/>
      <c r="AE148" s="253"/>
      <c r="AF148" s="621"/>
      <c r="AG148" s="480">
        <v>147</v>
      </c>
      <c r="AH148" s="335"/>
    </row>
    <row r="149" spans="1:34" s="226" customFormat="1" ht="31.75" x14ac:dyDescent="0.85">
      <c r="A149" s="666"/>
      <c r="B149" s="371" t="s">
        <v>953</v>
      </c>
      <c r="C149" s="355" t="s">
        <v>917</v>
      </c>
      <c r="D149" s="380">
        <f>D150+D152+D154+D155</f>
        <v>0</v>
      </c>
      <c r="E149" s="380">
        <f t="shared" ref="E149" si="25">E150+E152+E154+E155</f>
        <v>0</v>
      </c>
      <c r="F149" s="380">
        <f t="shared" ref="F149" si="26">F150+F152+F154+F155</f>
        <v>0</v>
      </c>
      <c r="G149" s="380">
        <f t="shared" ref="G149" si="27">G150+G152+G154+G155</f>
        <v>0</v>
      </c>
      <c r="H149" s="380">
        <f t="shared" ref="H149" si="28">H150+H152+H154+H155</f>
        <v>0</v>
      </c>
      <c r="I149" s="380">
        <f t="shared" ref="I149" si="29">I150+I152+I154+I155</f>
        <v>0</v>
      </c>
      <c r="J149" s="380">
        <f t="shared" ref="J149" si="30">J150+J152+J154+J155</f>
        <v>0</v>
      </c>
      <c r="K149" s="380">
        <f t="shared" ref="K149" si="31">K150+K152+K154+K155</f>
        <v>0</v>
      </c>
      <c r="L149" s="380">
        <f t="shared" ref="L149" si="32">L150+L152+L154+L155</f>
        <v>0</v>
      </c>
      <c r="M149" s="380">
        <f t="shared" ref="M149" si="33">M150+M152+M154+M155</f>
        <v>0</v>
      </c>
      <c r="N149" s="380">
        <f t="shared" ref="N149" si="34">N150+N152+N154+N155</f>
        <v>0</v>
      </c>
      <c r="O149" s="380">
        <f t="shared" ref="O149" si="35">O150+O152+O154+O155</f>
        <v>0</v>
      </c>
      <c r="P149" s="380">
        <f t="shared" ref="P149" si="36">P150+P152+P154+P155</f>
        <v>0</v>
      </c>
      <c r="Q149" s="380">
        <f t="shared" ref="Q149" si="37">Q150+Q152+Q154+Q155</f>
        <v>0</v>
      </c>
      <c r="R149" s="380">
        <f t="shared" ref="R149" si="38">R150+R152+R154+R155</f>
        <v>0</v>
      </c>
      <c r="S149" s="380">
        <f t="shared" ref="S149" si="39">S150+S152+S154+S155</f>
        <v>0</v>
      </c>
      <c r="T149" s="380">
        <f t="shared" ref="T149" si="40">T150+T152+T154+T155</f>
        <v>0</v>
      </c>
      <c r="U149" s="380">
        <f t="shared" ref="U149" si="41">U150+U152+U154+U155</f>
        <v>0</v>
      </c>
      <c r="V149" s="380">
        <f t="shared" ref="V149" si="42">V150+V152+V154+V155</f>
        <v>0</v>
      </c>
      <c r="W149" s="380">
        <f t="shared" ref="W149" si="43">W150+W152+W154+W155</f>
        <v>0</v>
      </c>
      <c r="X149" s="380">
        <f t="shared" ref="X149" si="44">X150+X152+X154+X155</f>
        <v>0</v>
      </c>
      <c r="Y149" s="380">
        <f t="shared" ref="Y149" si="45">Y150+Y152+Y154+Y155</f>
        <v>0</v>
      </c>
      <c r="Z149" s="380">
        <f t="shared" ref="Z149" si="46">Z150+Z152+Z154+Z155</f>
        <v>0</v>
      </c>
      <c r="AA149" s="380">
        <f t="shared" ref="AA149" si="47">AA150+AA152+AA154+AA155</f>
        <v>0</v>
      </c>
      <c r="AB149" s="257">
        <f t="shared" si="24"/>
        <v>0</v>
      </c>
      <c r="AC149" s="260"/>
      <c r="AD149" s="752"/>
      <c r="AE149" s="253"/>
      <c r="AF149" s="621"/>
      <c r="AG149" s="480">
        <v>148</v>
      </c>
      <c r="AH149" s="335"/>
    </row>
    <row r="150" spans="1:34" s="226" customFormat="1" x14ac:dyDescent="0.85">
      <c r="A150" s="666"/>
      <c r="B150" s="366" t="s">
        <v>899</v>
      </c>
      <c r="C150" s="355" t="s">
        <v>918</v>
      </c>
      <c r="D150" s="379"/>
      <c r="E150" s="379"/>
      <c r="F150" s="379"/>
      <c r="G150" s="379"/>
      <c r="H150" s="379"/>
      <c r="I150" s="379"/>
      <c r="J150" s="379"/>
      <c r="K150" s="379"/>
      <c r="L150" s="379"/>
      <c r="M150" s="379"/>
      <c r="N150" s="379"/>
      <c r="O150" s="379"/>
      <c r="P150" s="379"/>
      <c r="Q150" s="379"/>
      <c r="R150" s="379"/>
      <c r="S150" s="379"/>
      <c r="T150" s="379"/>
      <c r="U150" s="379"/>
      <c r="V150" s="379"/>
      <c r="W150" s="379"/>
      <c r="X150" s="379"/>
      <c r="Y150" s="379"/>
      <c r="Z150" s="379"/>
      <c r="AA150" s="379"/>
      <c r="AB150" s="257">
        <f t="shared" si="24"/>
        <v>0</v>
      </c>
      <c r="AC150" s="252" t="str">
        <f>CONCATENATE(IF(D151&gt;D150," * IPD Sexual Violence Initiated Pep "&amp;$D$20&amp;" "&amp;$D$21&amp;" is more than IPD Sexual Violence Rape Survivors"&amp;CHAR(10),""),IF(E151&gt;E150," * IPD Sexual Violence Initiated Pep "&amp;$D$20&amp;" "&amp;$E$21&amp;" is more than IPD Sexual Violence Rape Survivors"&amp;CHAR(10),""),IF(F151&gt;F150," * IPD Sexual Violence Initiated Pep "&amp;$F$20&amp;" "&amp;$F$21&amp;" is more than IPD Sexual Violence Rape Survivors"&amp;CHAR(10),""),IF(G151&gt;G150," * IPD Sexual Violence Initiated Pep "&amp;$F$20&amp;" "&amp;$G$21&amp;" is more than IPD Sexual Violence Rape Survivors"&amp;CHAR(10),""),IF(H151&gt;H150," * IPD Sexual Violence Initiated Pep "&amp;$H$20&amp;" "&amp;$H$21&amp;" is more than IPD Sexual Violence Rape Survivors"&amp;CHAR(10),""),IF(I151&gt;I150," * IPD Sexual Violence Initiated Pep "&amp;$H$20&amp;" "&amp;$I$21&amp;" is more than IPD Sexual Violence Rape Survivors"&amp;CHAR(10),""),IF(J151&gt;J150," * IPD Sexual Violence Initiated Pep "&amp;$J$20&amp;" "&amp;$J$21&amp;" is more than IPD Sexual Violence Rape Survivors"&amp;CHAR(10),""),IF(K151&gt;K150," * IPD Sexual Violence Initiated Pep "&amp;$J$20&amp;" "&amp;$K$21&amp;" is more than IPD Sexual Violence Rape Survivors"&amp;CHAR(10),""),IF(L151&gt;L150," * IPD Sexual Violence Initiated Pep "&amp;$L$20&amp;" "&amp;$L$21&amp;" is more than IPD Sexual Violence Rape Survivors"&amp;CHAR(10),""),IF(M151&gt;M150," * IPD Sexual Violence Initiated Pep "&amp;$L$20&amp;" "&amp;$M$21&amp;" is more than IPD Sexual Violence Rape Survivors"&amp;CHAR(10),""),IF(N151&gt;N150," * IPD Sexual Violence Initiated Pep "&amp;$N$20&amp;" "&amp;$N$21&amp;" is more than IPD Sexual Violence Rape Survivors"&amp;CHAR(10),""),IF(O151&gt;O150," * IPD Sexual Violence Initiated Pep "&amp;$N$20&amp;" "&amp;$O$21&amp;" is more than IPD Sexual Violence Rape Survivors"&amp;CHAR(10),""),IF(P151&gt;P150," * IPD Sexual Violence Initiated Pep "&amp;$P$20&amp;" "&amp;$P$21&amp;" is more than IPD Sexual Violence Rape Survivors"&amp;CHAR(10),""),IF(Q151&gt;Q150," * IPD Sexual Violence Initiated Pep "&amp;$P$20&amp;" "&amp;$Q$21&amp;" is more than IPD Sexual Violence Rape Survivors"&amp;CHAR(10),""),IF(R151&gt;R150," * IPD Sexual Violence Initiated Pep "&amp;$R$20&amp;" "&amp;$R$21&amp;" is more than IPD Sexual Violence Rape Survivors"&amp;CHAR(10),""),IF(S151&gt;S150," * IPD Sexual Violence Initiated Pep "&amp;$R$20&amp;" "&amp;$S$21&amp;" is more than IPD Sexual Violence Rape Survivors"&amp;CHAR(10),""),IF(T151&gt;T150," * IPD Sexual Violence Initiated Pep "&amp;$T$20&amp;" "&amp;$T$21&amp;" is more than IPD Sexual Violence Rape Survivors"&amp;CHAR(10),""),IF(U151&gt;U150," * IPD Sexual Violence Initiated Pep "&amp;$T$20&amp;" "&amp;$U$21&amp;" is more than IPD Sexual Violence Rape Survivors"&amp;CHAR(10),""),IF(V151&gt;V150," * IPD Sexual Violence Initiated Pep "&amp;$V$20&amp;" "&amp;$V$21&amp;" is more than IPD Sexual Violence Rape Survivors"&amp;CHAR(10),""),IF(W151&gt;W150," * IPD Sexual Violence Initiated Pep "&amp;$V$20&amp;" "&amp;$W$21&amp;" is more than IPD Sexual Violence Rape Survivors"&amp;CHAR(10),""),IF(X151&gt;X150," * IPD Sexual Violence Initiated Pep "&amp;$X$20&amp;" "&amp;$X$21&amp;" is more than IPD Sexual Violence Rape Survivors"&amp;CHAR(10),""),IF(Y151&gt;Y150," * IPD Sexual Violence Initiated Pep "&amp;$X$20&amp;" "&amp;$Y$21&amp;" is more than IPD Sexual Violence Rape Survivors"&amp;CHAR(10),""),IF(Z151&gt;Z150," * IPD Sexual Violence Initiated Pep "&amp;$Z$20&amp;" "&amp;$Z$21&amp;" is more than IPD Sexual Violence Rape Survivors"&amp;CHAR(10),""),IF(AA151&gt;AA150," * IPD Sexual Violence Initiated Pep "&amp;$Z$20&amp;" "&amp;$AA$21&amp;" is more than IPD Sexual Violence Rape Survivors"&amp;CHAR(10),""))</f>
        <v/>
      </c>
      <c r="AD150" s="752"/>
      <c r="AE150" s="253"/>
      <c r="AF150" s="621"/>
      <c r="AG150" s="480">
        <v>149</v>
      </c>
      <c r="AH150" s="335"/>
    </row>
    <row r="151" spans="1:34" s="226" customFormat="1" x14ac:dyDescent="0.85">
      <c r="A151" s="666"/>
      <c r="B151" s="366" t="s">
        <v>900</v>
      </c>
      <c r="C151" s="355" t="s">
        <v>919</v>
      </c>
      <c r="D151" s="359"/>
      <c r="E151" s="359"/>
      <c r="F151" s="359"/>
      <c r="G151" s="359"/>
      <c r="H151" s="359"/>
      <c r="I151" s="359"/>
      <c r="J151" s="359"/>
      <c r="K151" s="359"/>
      <c r="L151" s="359"/>
      <c r="M151" s="359"/>
      <c r="N151" s="359"/>
      <c r="O151" s="359"/>
      <c r="P151" s="359"/>
      <c r="Q151" s="359"/>
      <c r="R151" s="359"/>
      <c r="S151" s="359"/>
      <c r="T151" s="359"/>
      <c r="U151" s="359"/>
      <c r="V151" s="359"/>
      <c r="W151" s="359"/>
      <c r="X151" s="359"/>
      <c r="Y151" s="359"/>
      <c r="Z151" s="359"/>
      <c r="AA151" s="359"/>
      <c r="AB151" s="257">
        <f t="shared" si="24"/>
        <v>0</v>
      </c>
      <c r="AC151" s="260"/>
      <c r="AD151" s="752"/>
      <c r="AE151" s="253"/>
      <c r="AF151" s="621"/>
      <c r="AG151" s="480">
        <v>150</v>
      </c>
      <c r="AH151" s="335"/>
    </row>
    <row r="152" spans="1:34" s="226" customFormat="1" x14ac:dyDescent="0.85">
      <c r="A152" s="666"/>
      <c r="B152" s="366" t="s">
        <v>901</v>
      </c>
      <c r="C152" s="355" t="s">
        <v>920</v>
      </c>
      <c r="D152" s="379"/>
      <c r="E152" s="379"/>
      <c r="F152" s="379"/>
      <c r="G152" s="379"/>
      <c r="H152" s="379"/>
      <c r="I152" s="379"/>
      <c r="J152" s="379"/>
      <c r="K152" s="379"/>
      <c r="L152" s="379"/>
      <c r="M152" s="379"/>
      <c r="N152" s="379"/>
      <c r="O152" s="379"/>
      <c r="P152" s="379"/>
      <c r="Q152" s="379"/>
      <c r="R152" s="379"/>
      <c r="S152" s="379"/>
      <c r="T152" s="379"/>
      <c r="U152" s="379"/>
      <c r="V152" s="379"/>
      <c r="W152" s="379"/>
      <c r="X152" s="379"/>
      <c r="Y152" s="379"/>
      <c r="Z152" s="379"/>
      <c r="AA152" s="379"/>
      <c r="AB152" s="257">
        <f t="shared" si="24"/>
        <v>0</v>
      </c>
      <c r="AC152" s="252" t="str">
        <f>CONCATENATE(IF(D153&gt;D152," * IPD  Physical Violence Initiated Pep "&amp;$D$20&amp;" "&amp;$D$21&amp;" is more than IPD Physical Violence Rape Survivors"&amp;CHAR(10),""),IF(E153&gt;E152," * IPD  Physical Violence Initiated Pep "&amp;$D$20&amp;" "&amp;$E$21&amp;" is more than IPD Physical Violence Rape Survivors"&amp;CHAR(10),""),IF(F153&gt;F152," * IPD  Physical Violence Initiated Pep "&amp;$F$20&amp;" "&amp;$F$21&amp;" is more than IPD Physical Violence Rape Survivors"&amp;CHAR(10),""),IF(G153&gt;G152," * IPD  Physical Violence Initiated Pep "&amp;$F$20&amp;" "&amp;$G$21&amp;" is more than IPD Physical Violence Rape Survivors"&amp;CHAR(10),""),IF(H153&gt;H152," * IPD  Physical Violence Initiated Pep "&amp;$H$20&amp;" "&amp;$H$21&amp;" is more than IPD Physical Violence Rape Survivors"&amp;CHAR(10),""),IF(I153&gt;I152," * IPD  Physical Violence Initiated Pep "&amp;$H$20&amp;" "&amp;$I$21&amp;" is more than IPD Physical Violence Rape Survivors"&amp;CHAR(10),""),IF(J153&gt;J152," * IPD  Physical Violence Initiated Pep "&amp;$J$20&amp;" "&amp;$J$21&amp;" is more than IPD Physical Violence Rape Survivors"&amp;CHAR(10),""),IF(K153&gt;K152," * IPD  Physical Violence Initiated Pep "&amp;$J$20&amp;" "&amp;$K$21&amp;" is more than IPD Physical Violence Rape Survivors"&amp;CHAR(10),""),IF(L153&gt;L152," * IPD  Physical Violence Initiated Pep "&amp;$L$20&amp;" "&amp;$L$21&amp;" is more than IPD Physical Violence Rape Survivors"&amp;CHAR(10),""),IF(M153&gt;M152," * IPD  Physical Violence Initiated Pep "&amp;$L$20&amp;" "&amp;$M$21&amp;" is more than IPD Physical Violence Rape Survivors"&amp;CHAR(10),""),IF(N153&gt;N152," * IPD  Physical Violence Initiated Pep "&amp;$N$20&amp;" "&amp;$N$21&amp;" is more than IPD Physical Violence Rape Survivors"&amp;CHAR(10),""),IF(O153&gt;O152," * IPD  Physical Violence Initiated Pep "&amp;$N$20&amp;" "&amp;$O$21&amp;" is more than IPD Physical Violence Rape Survivors"&amp;CHAR(10),""),IF(P153&gt;P152," * IPD  Physical Violence Initiated Pep "&amp;$P$20&amp;" "&amp;$P$21&amp;" is more than IPD Physical Violence Rape Survivors"&amp;CHAR(10),""),IF(Q153&gt;Q152," * IPD  Physical Violence Initiated Pep "&amp;$P$20&amp;" "&amp;$Q$21&amp;" is more than IPD Physical Violence Rape Survivors"&amp;CHAR(10),""),IF(R153&gt;R152," * IPD  Physical Violence Initiated Pep "&amp;$R$20&amp;" "&amp;$R$21&amp;" is more than IPD Physical Violence Rape Survivors"&amp;CHAR(10),""),IF(S153&gt;S152," * IPD  Physical Violence Initiated Pep "&amp;$R$20&amp;" "&amp;$S$21&amp;" is more than IPD Physical Violence Rape Survivors"&amp;CHAR(10),""),IF(T153&gt;T152," * IPD  Physical Violence Initiated Pep "&amp;$T$20&amp;" "&amp;$T$21&amp;" is more than IPD Physical Violence Rape Survivors"&amp;CHAR(10),""),IF(U153&gt;U152," * IPD  Physical Violence Initiated Pep "&amp;$T$20&amp;" "&amp;$U$21&amp;" is more than IPD Physical Violence Rape Survivors"&amp;CHAR(10),""),IF(V153&gt;V152," * IPD  Physical Violence Initiated Pep "&amp;$V$20&amp;" "&amp;$V$21&amp;" is more than IPD Physical Violence Rape Survivors"&amp;CHAR(10),""),IF(W153&gt;W152," * IPD  Physical Violence Initiated Pep "&amp;$V$20&amp;" "&amp;$W$21&amp;" is more than IPD Physical Violence Rape Survivors"&amp;CHAR(10),""),IF(X153&gt;X152," * IPD  Physical Violence Initiated Pep "&amp;$X$20&amp;" "&amp;$X$21&amp;" is more than IPD Physical Violence Rape Survivors"&amp;CHAR(10),""),IF(Y153&gt;Y152," * IPD  Physical Violence Initiated Pep "&amp;$X$20&amp;" "&amp;$Y$21&amp;" is more than IPD Physical Violence Rape Survivors"&amp;CHAR(10),""),IF(Z153&gt;Z152," * IPD  Physical Violence Initiated Pep "&amp;$Z$20&amp;" "&amp;$Z$21&amp;" is more than IPD Physical Violence Rape Survivors"&amp;CHAR(10),""),IF(AA153&gt;AA152," * IPD  Physical Violence Initiated Pep "&amp;$Z$20&amp;" "&amp;$AA$21&amp;" is more than IPD Physical Violence Rape Survivors"&amp;CHAR(10),""))</f>
        <v/>
      </c>
      <c r="AD152" s="752"/>
      <c r="AE152" s="253"/>
      <c r="AF152" s="621"/>
      <c r="AG152" s="480">
        <v>151</v>
      </c>
      <c r="AH152" s="335"/>
    </row>
    <row r="153" spans="1:34" s="226" customFormat="1" x14ac:dyDescent="0.85">
      <c r="A153" s="666"/>
      <c r="B153" s="366" t="s">
        <v>902</v>
      </c>
      <c r="C153" s="355" t="s">
        <v>921</v>
      </c>
      <c r="D153" s="359"/>
      <c r="E153" s="359"/>
      <c r="F153" s="359"/>
      <c r="G153" s="359"/>
      <c r="H153" s="359"/>
      <c r="I153" s="359"/>
      <c r="J153" s="359"/>
      <c r="K153" s="359"/>
      <c r="L153" s="359"/>
      <c r="M153" s="359"/>
      <c r="N153" s="359"/>
      <c r="O153" s="359"/>
      <c r="P153" s="359"/>
      <c r="Q153" s="359"/>
      <c r="R153" s="359"/>
      <c r="S153" s="359"/>
      <c r="T153" s="359"/>
      <c r="U153" s="359"/>
      <c r="V153" s="359"/>
      <c r="W153" s="359"/>
      <c r="X153" s="359"/>
      <c r="Y153" s="359"/>
      <c r="Z153" s="359"/>
      <c r="AA153" s="359"/>
      <c r="AB153" s="257">
        <f t="shared" si="24"/>
        <v>0</v>
      </c>
      <c r="AC153" s="260"/>
      <c r="AD153" s="752"/>
      <c r="AE153" s="253"/>
      <c r="AF153" s="621"/>
      <c r="AG153" s="480">
        <v>152</v>
      </c>
      <c r="AH153" s="335"/>
    </row>
    <row r="154" spans="1:34" s="226" customFormat="1" x14ac:dyDescent="0.85">
      <c r="A154" s="666"/>
      <c r="B154" s="366" t="s">
        <v>903</v>
      </c>
      <c r="C154" s="355" t="s">
        <v>922</v>
      </c>
      <c r="D154" s="360"/>
      <c r="E154" s="359"/>
      <c r="F154" s="359"/>
      <c r="G154" s="359"/>
      <c r="H154" s="359"/>
      <c r="I154" s="359"/>
      <c r="J154" s="359"/>
      <c r="K154" s="359"/>
      <c r="L154" s="359"/>
      <c r="M154" s="359"/>
      <c r="N154" s="359"/>
      <c r="O154" s="359"/>
      <c r="P154" s="359"/>
      <c r="Q154" s="359"/>
      <c r="R154" s="359"/>
      <c r="S154" s="359"/>
      <c r="T154" s="359"/>
      <c r="U154" s="359"/>
      <c r="V154" s="359"/>
      <c r="W154" s="359"/>
      <c r="X154" s="359"/>
      <c r="Y154" s="359"/>
      <c r="Z154" s="359"/>
      <c r="AA154" s="368"/>
      <c r="AB154" s="370">
        <f t="shared" si="24"/>
        <v>0</v>
      </c>
      <c r="AC154" s="260"/>
      <c r="AD154" s="752"/>
      <c r="AE154" s="253"/>
      <c r="AF154" s="621"/>
      <c r="AG154" s="480">
        <v>153</v>
      </c>
      <c r="AH154" s="335"/>
    </row>
    <row r="155" spans="1:34" s="226" customFormat="1" ht="31.3" thickBot="1" x14ac:dyDescent="0.9">
      <c r="A155" s="667"/>
      <c r="B155" s="367" t="s">
        <v>938</v>
      </c>
      <c r="C155" s="363" t="s">
        <v>923</v>
      </c>
      <c r="D155" s="361"/>
      <c r="E155" s="362"/>
      <c r="F155" s="362"/>
      <c r="G155" s="362"/>
      <c r="H155" s="362"/>
      <c r="I155" s="362"/>
      <c r="J155" s="362"/>
      <c r="K155" s="362"/>
      <c r="L155" s="362"/>
      <c r="M155" s="362"/>
      <c r="N155" s="362"/>
      <c r="O155" s="362"/>
      <c r="P155" s="362"/>
      <c r="Q155" s="362"/>
      <c r="R155" s="362"/>
      <c r="S155" s="362"/>
      <c r="T155" s="362"/>
      <c r="U155" s="362"/>
      <c r="V155" s="362"/>
      <c r="W155" s="362"/>
      <c r="X155" s="362"/>
      <c r="Y155" s="362"/>
      <c r="Z155" s="362"/>
      <c r="AA155" s="369"/>
      <c r="AB155" s="370">
        <f t="shared" si="24"/>
        <v>0</v>
      </c>
      <c r="AC155" s="260"/>
      <c r="AD155" s="753"/>
      <c r="AE155" s="261"/>
      <c r="AF155" s="621"/>
      <c r="AG155" s="480">
        <v>154</v>
      </c>
      <c r="AH155" s="335"/>
    </row>
    <row r="156" spans="1:34" s="226" customFormat="1" x14ac:dyDescent="0.85">
      <c r="A156" s="665" t="s">
        <v>907</v>
      </c>
      <c r="B156" s="365" t="s">
        <v>951</v>
      </c>
      <c r="C156" s="341" t="s">
        <v>924</v>
      </c>
      <c r="D156" s="390"/>
      <c r="E156" s="390"/>
      <c r="F156" s="390"/>
      <c r="G156" s="390"/>
      <c r="H156" s="390"/>
      <c r="I156" s="390"/>
      <c r="J156" s="390"/>
      <c r="K156" s="390"/>
      <c r="L156" s="390"/>
      <c r="M156" s="390"/>
      <c r="N156" s="390"/>
      <c r="O156" s="390"/>
      <c r="P156" s="390"/>
      <c r="Q156" s="390"/>
      <c r="R156" s="390"/>
      <c r="S156" s="390"/>
      <c r="T156" s="390"/>
      <c r="U156" s="390"/>
      <c r="V156" s="390"/>
      <c r="W156" s="390"/>
      <c r="X156" s="390"/>
      <c r="Y156" s="390"/>
      <c r="Z156" s="390"/>
      <c r="AA156" s="390"/>
      <c r="AB156" s="370">
        <f t="shared" si="24"/>
        <v>0</v>
      </c>
      <c r="AC156" s="252" t="str">
        <f>CONCATENATE(IF(D157&gt;D156," * No Screened for GBV "&amp;$D$20&amp;" "&amp;$D$21&amp;" is more than Clients Seen at CCC"&amp;CHAR(10),""),IF(E157&gt;E156," * No Screened For GBV "&amp;$D$20&amp;" "&amp;$E$21&amp;" is more than Clients Seen at CCC"&amp;CHAR(10),""),IF(F157&gt;F156," * No Screened For GBV "&amp;$F$20&amp;" "&amp;$F$21&amp;" is more than Clients Seen at CCC"&amp;CHAR(10),""),IF(G157&gt;G156," * No Screened For GBV "&amp;$F$20&amp;" "&amp;$G$21&amp;" is more than Clients Seen at CCC"&amp;CHAR(10),""),IF(H157&gt;H156," * No Screened For GBV "&amp;$H$20&amp;" "&amp;$H$21&amp;" is more than Clients Seen at CCC"&amp;CHAR(10),""),IF(I157&gt;I156," * No Screened For GBV "&amp;$H$20&amp;" "&amp;$I$21&amp;" is more than Clients Seen at CCC"&amp;CHAR(10),""),IF(J157&gt;J156," * No Screened For GBV "&amp;$J$20&amp;" "&amp;$J$21&amp;" is more than Clients Seen at CCC"&amp;CHAR(10),""),IF(K157&gt;K156," * No Screened For GBV "&amp;$J$20&amp;" "&amp;$K$21&amp;" is more than Clients Seen at CCC"&amp;CHAR(10),""),IF(L157&gt;L156," * No Screened For GBV "&amp;$L$20&amp;" "&amp;$L$21&amp;" is more than Clients Seen at CCC"&amp;CHAR(10),""),IF(M157&gt;M156," * No Screened For GBV "&amp;$L$20&amp;" "&amp;$M$21&amp;" is more than Clients Seen at CCC"&amp;CHAR(10),""),IF(N157&gt;N156," * No Screened For GBV "&amp;$N$20&amp;" "&amp;$N$21&amp;" is more than Clients Seen at CCC"&amp;CHAR(10),""),IF(O157&gt;O156," * No Screened For GBV "&amp;$N$20&amp;" "&amp;$O$21&amp;" is more than Clients Seen at CCC"&amp;CHAR(10),""),IF(P157&gt;P156," * No Screened For GBV "&amp;$P$20&amp;" "&amp;$P$21&amp;" is more than Clients Seen at CCC"&amp;CHAR(10),""),IF(Q157&gt;Q156," * No Screened For GBV "&amp;$P$20&amp;" "&amp;$Q$21&amp;" is more than Clients Seen at CCC"&amp;CHAR(10),""),IF(R157&gt;R156," * No Screened For GBV "&amp;$R$20&amp;" "&amp;$R$21&amp;" is more than Clients Seen at CCC"&amp;CHAR(10),""),IF(S157&gt;S156," * No Screened For GBV "&amp;$R$20&amp;" "&amp;$S$21&amp;" is more than Clients Seen at CCC"&amp;CHAR(10),""),IF(T157&gt;T156," * No Screened For GBV "&amp;$T$20&amp;" "&amp;$T$21&amp;" is more than Clients Seen at CCC"&amp;CHAR(10),""),IF(U157&gt;U156," * No Screened For GBV "&amp;$T$20&amp;" "&amp;$U$21&amp;" is more than Clients Seen at CCC"&amp;CHAR(10),""),IF(V157&gt;V156," * No Screened For GBV "&amp;$V$20&amp;" "&amp;$V$21&amp;" is more than Clients Seen at CCC"&amp;CHAR(10),""),IF(W157&gt;W156," * No Screened For GBV "&amp;$V$20&amp;" "&amp;$W$21&amp;" is more than Clients Seen at CCC"&amp;CHAR(10),""),IF(X157&gt;X156," * No Screened For GBV "&amp;$X$20&amp;" "&amp;$X$21&amp;" is more than Clients Seen at CCC"&amp;CHAR(10),""),IF(Y157&gt;Y156," * No Screened For GBV "&amp;$X$20&amp;" "&amp;$Y$21&amp;" is more than Clients Seen at CCC"&amp;CHAR(10),""),IF(Z157&gt;Z156," * No Screened For GBV "&amp;$Z$20&amp;" "&amp;$Z$21&amp;" is more than Clients Seen at CCC"&amp;CHAR(10),""),IF(AA157&gt;AA156," * No Screened For GBV "&amp;$Z$20&amp;" "&amp;$AA$21&amp;" is more than Clients Seen at CCC"&amp;CHAR(10),""))</f>
        <v/>
      </c>
      <c r="AD156" s="751" t="str">
        <f>CONCATENATE(AC156,AC157,AC158,AC159,AC160,AC161,AC162,AC163,AC164)</f>
        <v/>
      </c>
      <c r="AE156" s="261"/>
      <c r="AF156" s="621"/>
      <c r="AG156" s="480">
        <v>155</v>
      </c>
      <c r="AH156" s="335"/>
    </row>
    <row r="157" spans="1:34" s="226" customFormat="1" x14ac:dyDescent="0.85">
      <c r="A157" s="666"/>
      <c r="B157" s="366" t="s">
        <v>945</v>
      </c>
      <c r="C157" s="355" t="s">
        <v>925</v>
      </c>
      <c r="D157" s="357"/>
      <c r="E157" s="357"/>
      <c r="F157" s="357"/>
      <c r="G157" s="357"/>
      <c r="H157" s="357"/>
      <c r="I157" s="357"/>
      <c r="J157" s="357"/>
      <c r="K157" s="357"/>
      <c r="L157" s="357"/>
      <c r="M157" s="357"/>
      <c r="N157" s="357"/>
      <c r="O157" s="357"/>
      <c r="P157" s="357"/>
      <c r="Q157" s="357"/>
      <c r="R157" s="357"/>
      <c r="S157" s="357"/>
      <c r="T157" s="357"/>
      <c r="U157" s="357"/>
      <c r="V157" s="357"/>
      <c r="W157" s="357"/>
      <c r="X157" s="357"/>
      <c r="Y157" s="357"/>
      <c r="Z157" s="357"/>
      <c r="AA157" s="357"/>
      <c r="AB157" s="370">
        <f t="shared" si="24"/>
        <v>0</v>
      </c>
      <c r="AC157" s="260"/>
      <c r="AD157" s="752"/>
      <c r="AE157" s="253"/>
      <c r="AF157" s="621"/>
      <c r="AG157" s="480">
        <v>156</v>
      </c>
      <c r="AH157" s="335"/>
    </row>
    <row r="158" spans="1:34" s="226" customFormat="1" ht="31.75" x14ac:dyDescent="0.85">
      <c r="A158" s="666"/>
      <c r="B158" s="371" t="s">
        <v>954</v>
      </c>
      <c r="C158" s="355" t="s">
        <v>926</v>
      </c>
      <c r="D158" s="380">
        <f>D159+D161+D163+D164</f>
        <v>0</v>
      </c>
      <c r="E158" s="380">
        <f t="shared" ref="E158" si="48">E159+E161+E163+E164</f>
        <v>0</v>
      </c>
      <c r="F158" s="380">
        <f t="shared" ref="F158" si="49">F159+F161+F163+F164</f>
        <v>0</v>
      </c>
      <c r="G158" s="380">
        <f t="shared" ref="G158" si="50">G159+G161+G163+G164</f>
        <v>0</v>
      </c>
      <c r="H158" s="380">
        <f t="shared" ref="H158" si="51">H159+H161+H163+H164</f>
        <v>0</v>
      </c>
      <c r="I158" s="380">
        <f t="shared" ref="I158" si="52">I159+I161+I163+I164</f>
        <v>0</v>
      </c>
      <c r="J158" s="380">
        <f t="shared" ref="J158" si="53">J159+J161+J163+J164</f>
        <v>0</v>
      </c>
      <c r="K158" s="380">
        <f t="shared" ref="K158" si="54">K159+K161+K163+K164</f>
        <v>0</v>
      </c>
      <c r="L158" s="380">
        <f t="shared" ref="L158" si="55">L159+L161+L163+L164</f>
        <v>0</v>
      </c>
      <c r="M158" s="380">
        <f t="shared" ref="M158" si="56">M159+M161+M163+M164</f>
        <v>0</v>
      </c>
      <c r="N158" s="380">
        <f t="shared" ref="N158" si="57">N159+N161+N163+N164</f>
        <v>0</v>
      </c>
      <c r="O158" s="380">
        <f t="shared" ref="O158" si="58">O159+O161+O163+O164</f>
        <v>0</v>
      </c>
      <c r="P158" s="380">
        <f t="shared" ref="P158" si="59">P159+P161+P163+P164</f>
        <v>0</v>
      </c>
      <c r="Q158" s="380">
        <f t="shared" ref="Q158" si="60">Q159+Q161+Q163+Q164</f>
        <v>0</v>
      </c>
      <c r="R158" s="380">
        <f t="shared" ref="R158" si="61">R159+R161+R163+R164</f>
        <v>0</v>
      </c>
      <c r="S158" s="380">
        <f t="shared" ref="S158" si="62">S159+S161+S163+S164</f>
        <v>0</v>
      </c>
      <c r="T158" s="380">
        <f t="shared" ref="T158" si="63">T159+T161+T163+T164</f>
        <v>0</v>
      </c>
      <c r="U158" s="380">
        <f t="shared" ref="U158" si="64">U159+U161+U163+U164</f>
        <v>0</v>
      </c>
      <c r="V158" s="380">
        <f t="shared" ref="V158" si="65">V159+V161+V163+V164</f>
        <v>0</v>
      </c>
      <c r="W158" s="380">
        <f t="shared" ref="W158" si="66">W159+W161+W163+W164</f>
        <v>0</v>
      </c>
      <c r="X158" s="380">
        <f t="shared" ref="X158" si="67">X159+X161+X163+X164</f>
        <v>0</v>
      </c>
      <c r="Y158" s="380">
        <f t="shared" ref="Y158" si="68">Y159+Y161+Y163+Y164</f>
        <v>0</v>
      </c>
      <c r="Z158" s="380">
        <f t="shared" ref="Z158" si="69">Z159+Z161+Z163+Z164</f>
        <v>0</v>
      </c>
      <c r="AA158" s="380">
        <f t="shared" ref="AA158" si="70">AA159+AA161+AA163+AA164</f>
        <v>0</v>
      </c>
      <c r="AB158" s="370">
        <f t="shared" si="24"/>
        <v>0</v>
      </c>
      <c r="AC158" s="260"/>
      <c r="AD158" s="752"/>
      <c r="AE158" s="253"/>
      <c r="AF158" s="621"/>
      <c r="AG158" s="480">
        <v>157</v>
      </c>
      <c r="AH158" s="335"/>
    </row>
    <row r="159" spans="1:34" s="226" customFormat="1" x14ac:dyDescent="0.85">
      <c r="A159" s="666"/>
      <c r="B159" s="366" t="s">
        <v>899</v>
      </c>
      <c r="C159" s="355" t="s">
        <v>927</v>
      </c>
      <c r="D159" s="379"/>
      <c r="E159" s="379"/>
      <c r="F159" s="379"/>
      <c r="G159" s="379"/>
      <c r="H159" s="379"/>
      <c r="I159" s="379"/>
      <c r="J159" s="379"/>
      <c r="K159" s="379"/>
      <c r="L159" s="379"/>
      <c r="M159" s="379"/>
      <c r="N159" s="379"/>
      <c r="O159" s="379"/>
      <c r="P159" s="379"/>
      <c r="Q159" s="379"/>
      <c r="R159" s="379"/>
      <c r="S159" s="379"/>
      <c r="T159" s="379"/>
      <c r="U159" s="379"/>
      <c r="V159" s="379"/>
      <c r="W159" s="379"/>
      <c r="X159" s="379"/>
      <c r="Y159" s="379"/>
      <c r="Z159" s="379"/>
      <c r="AA159" s="379"/>
      <c r="AB159" s="370">
        <f t="shared" si="24"/>
        <v>0</v>
      </c>
      <c r="AC159" s="252" t="str">
        <f>CONCATENATE(IF(D160&gt;D159," * CCC Sexual Violence Initiated Pep "&amp;$D$20&amp;" "&amp;$D$21&amp;" is more than CCC Sexual Violence Rape Survivors"&amp;CHAR(10),""),IF(E160&gt;E159," * CCC Sexual Violence Initiated Pep "&amp;$D$20&amp;" "&amp;$E$21&amp;" is more than CCC Sexual Violence Rape Survivors"&amp;CHAR(10),""),IF(F160&gt;F159," * CCC Sexual Violence Initiated Pep "&amp;$F$20&amp;" "&amp;$F$21&amp;" is more than CCC Sexual Violence Rape Survivors"&amp;CHAR(10),""),IF(G160&gt;G159," * CCC Sexual Violence Initiated Pep "&amp;$F$20&amp;" "&amp;$G$21&amp;" is more than CCC Sexual Violence Rape Survivors"&amp;CHAR(10),""),IF(H160&gt;H159," * CCC Sexual Violence Initiated Pep "&amp;$H$20&amp;" "&amp;$H$21&amp;" is more than CCC Sexual Violence Rape Survivors"&amp;CHAR(10),""),IF(I160&gt;I159," * CCC Sexual Violence Initiated Pep "&amp;$H$20&amp;" "&amp;$I$21&amp;" is more than CCC Sexual Violence Rape Survivors"&amp;CHAR(10),""),IF(J160&gt;J159," * CCC Sexual Violence Initiated Pep "&amp;$J$20&amp;" "&amp;$J$21&amp;" is more than CCC Sexual Violence Rape Survivors"&amp;CHAR(10),""),IF(K160&gt;K159," * CCC Sexual Violence Initiated Pep "&amp;$J$20&amp;" "&amp;$K$21&amp;" is more than CCC Sexual Violence Rape Survivors"&amp;CHAR(10),""),IF(L160&gt;L159," * CCC Sexual Violence Initiated Pep "&amp;$L$20&amp;" "&amp;$L$21&amp;" is more than CCC Sexual Violence Rape Survivors"&amp;CHAR(10),""),IF(M160&gt;M159," * CCC Sexual Violence Initiated Pep "&amp;$L$20&amp;" "&amp;$M$21&amp;" is more than CCC Sexual Violence Rape Survivors"&amp;CHAR(10),""),IF(N160&gt;N159," * CCC Sexual Violence Initiated Pep "&amp;$N$20&amp;" "&amp;$N$21&amp;" is more than CCC Sexual Violence Rape Survivors"&amp;CHAR(10),""),IF(O160&gt;O159," * CCC Sexual Violence Initiated Pep "&amp;$N$20&amp;" "&amp;$O$21&amp;" is more than CCC Sexual Violence Rape Survivors"&amp;CHAR(10),""),IF(P160&gt;P159," * CCC Sexual Violence Initiated Pep "&amp;$P$20&amp;" "&amp;$P$21&amp;" is more than CCC Sexual Violence Rape Survivors"&amp;CHAR(10),""),IF(Q160&gt;Q159," * CCC Sexual Violence Initiated Pep "&amp;$P$20&amp;" "&amp;$Q$21&amp;" is more than CCC Sexual Violence Rape Survivors"&amp;CHAR(10),""),IF(R160&gt;R159," * CCC Sexual Violence Initiated Pep "&amp;$R$20&amp;" "&amp;$R$21&amp;" is more than CCC Sexual Violence Rape Survivors"&amp;CHAR(10),""),IF(S160&gt;S159," * CCC Sexual Violence Initiated Pep "&amp;$R$20&amp;" "&amp;$S$21&amp;" is more than CCC Sexual Violence Rape Survivors"&amp;CHAR(10),""),IF(T160&gt;T159," * CCC Sexual Violence Initiated Pep "&amp;$T$20&amp;" "&amp;$T$21&amp;" is more than CCC Sexual Violence Rape Survivors"&amp;CHAR(10),""),IF(U160&gt;U159," * CCC Sexual Violence Initiated Pep "&amp;$T$20&amp;" "&amp;$U$21&amp;" is more than CCC Sexual Violence Rape Survivors"&amp;CHAR(10),""),IF(V160&gt;V159," * CCC Sexual Violence Initiated Pep "&amp;$V$20&amp;" "&amp;$V$21&amp;" is more than CCC Sexual Violence Rape Survivors"&amp;CHAR(10),""),IF(W160&gt;W159," * CCC Sexual Violence Initiated Pep "&amp;$V$20&amp;" "&amp;$W$21&amp;" is more than CCC Sexual Violence Rape Survivors"&amp;CHAR(10),""),IF(X160&gt;X159," * CCC Sexual Violence Initiated Pep "&amp;$X$20&amp;" "&amp;$X$21&amp;" is more than CCC Sexual Violence Rape Survivors"&amp;CHAR(10),""),IF(Y160&gt;Y159," * CCC Sexual Violence Initiated Pep "&amp;$X$20&amp;" "&amp;$Y$21&amp;" is more than CCC Sexual Violence Rape Survivors"&amp;CHAR(10),""),IF(Z160&gt;Z159," * CCC Sexual Violence Initiated Pep "&amp;$Z$20&amp;" "&amp;$Z$21&amp;" is more than CCC Sexual Violence Rape Survivors"&amp;CHAR(10),""),IF(AA160&gt;AA159," * CCC Sexual Violence Initiated Pep "&amp;$Z$20&amp;" "&amp;$AA$21&amp;" is more than CCC Sexual Violence Rape Survivors"&amp;CHAR(10),""))</f>
        <v/>
      </c>
      <c r="AD159" s="752"/>
      <c r="AE159" s="253"/>
      <c r="AF159" s="621"/>
      <c r="AG159" s="480">
        <v>158</v>
      </c>
      <c r="AH159" s="335"/>
    </row>
    <row r="160" spans="1:34" s="226" customFormat="1" x14ac:dyDescent="0.85">
      <c r="A160" s="666"/>
      <c r="B160" s="366" t="s">
        <v>900</v>
      </c>
      <c r="C160" s="355" t="s">
        <v>928</v>
      </c>
      <c r="D160" s="359"/>
      <c r="E160" s="359"/>
      <c r="F160" s="359"/>
      <c r="G160" s="359"/>
      <c r="H160" s="359"/>
      <c r="I160" s="359"/>
      <c r="J160" s="359"/>
      <c r="K160" s="359"/>
      <c r="L160" s="359"/>
      <c r="M160" s="359"/>
      <c r="N160" s="359"/>
      <c r="O160" s="359"/>
      <c r="P160" s="359"/>
      <c r="Q160" s="359"/>
      <c r="R160" s="359"/>
      <c r="S160" s="359"/>
      <c r="T160" s="359"/>
      <c r="U160" s="359"/>
      <c r="V160" s="359"/>
      <c r="W160" s="359"/>
      <c r="X160" s="359"/>
      <c r="Y160" s="359"/>
      <c r="Z160" s="359"/>
      <c r="AA160" s="359"/>
      <c r="AB160" s="370">
        <f t="shared" si="24"/>
        <v>0</v>
      </c>
      <c r="AC160" s="260"/>
      <c r="AD160" s="752"/>
      <c r="AE160" s="253"/>
      <c r="AF160" s="621"/>
      <c r="AG160" s="480">
        <v>159</v>
      </c>
      <c r="AH160" s="335"/>
    </row>
    <row r="161" spans="1:34" s="226" customFormat="1" x14ac:dyDescent="0.85">
      <c r="A161" s="666"/>
      <c r="B161" s="366" t="s">
        <v>901</v>
      </c>
      <c r="C161" s="355" t="s">
        <v>929</v>
      </c>
      <c r="D161" s="379"/>
      <c r="E161" s="379"/>
      <c r="F161" s="379"/>
      <c r="G161" s="379"/>
      <c r="H161" s="379"/>
      <c r="I161" s="379"/>
      <c r="J161" s="379"/>
      <c r="K161" s="379"/>
      <c r="L161" s="379"/>
      <c r="M161" s="379"/>
      <c r="N161" s="379"/>
      <c r="O161" s="379"/>
      <c r="P161" s="379"/>
      <c r="Q161" s="379"/>
      <c r="R161" s="379"/>
      <c r="S161" s="379"/>
      <c r="T161" s="379"/>
      <c r="U161" s="379"/>
      <c r="V161" s="379"/>
      <c r="W161" s="379"/>
      <c r="X161" s="379"/>
      <c r="Y161" s="379"/>
      <c r="Z161" s="379"/>
      <c r="AA161" s="379"/>
      <c r="AB161" s="370">
        <f t="shared" si="24"/>
        <v>0</v>
      </c>
      <c r="AC161" s="252" t="str">
        <f>CONCATENATE(IF(D162&gt;D161," * CCC  Physical Violence Initiated Pep "&amp;$D$20&amp;" "&amp;$D$21&amp;" is more than CCC Physical Violence Rape Survivors"&amp;CHAR(10),""),IF(E162&gt;E161," * CCC  Physical Violence Initiated Pep "&amp;$D$20&amp;" "&amp;$E$21&amp;" is more than CCC Physical Violence Rape Survivors"&amp;CHAR(10),""),IF(F162&gt;F161," * CCC  Physical Violence Initiated Pep "&amp;$F$20&amp;" "&amp;$F$21&amp;" is more than CCC Physical Violence Rape Survivors"&amp;CHAR(10),""),IF(G162&gt;G161," * CCC  Physical Violence Initiated Pep "&amp;$F$20&amp;" "&amp;$G$21&amp;" is more than CCC Physical Violence Rape Survivors"&amp;CHAR(10),""),IF(H162&gt;H161," * CCC  Physical Violence Initiated Pep "&amp;$H$20&amp;" "&amp;$H$21&amp;" is more than CCC Physical Violence Rape Survivors"&amp;CHAR(10),""),IF(I162&gt;I161," * CCC  Physical Violence Initiated Pep "&amp;$H$20&amp;" "&amp;$I$21&amp;" is more than CCC Physical Violence Rape Survivors"&amp;CHAR(10),""),IF(J162&gt;J161," * CCC  Physical Violence Initiated Pep "&amp;$J$20&amp;" "&amp;$J$21&amp;" is more than CCC Physical Violence Rape Survivors"&amp;CHAR(10),""),IF(K162&gt;K161," * CCC  Physical Violence Initiated Pep "&amp;$J$20&amp;" "&amp;$K$21&amp;" is more than CCC Physical Violence Rape Survivors"&amp;CHAR(10),""),IF(L162&gt;L161," * CCC  Physical Violence Initiated Pep "&amp;$L$20&amp;" "&amp;$L$21&amp;" is more than CCC Physical Violence Rape Survivors"&amp;CHAR(10),""),IF(M162&gt;M161," * CCC  Physical Violence Initiated Pep "&amp;$L$20&amp;" "&amp;$M$21&amp;" is more than CCC Physical Violence Rape Survivors"&amp;CHAR(10),""),IF(N162&gt;N161," * CCC  Physical Violence Initiated Pep "&amp;$N$20&amp;" "&amp;$N$21&amp;" is more than CCC Physical Violence Rape Survivors"&amp;CHAR(10),""),IF(O162&gt;O161," * CCC  Physical Violence Initiated Pep "&amp;$N$20&amp;" "&amp;$O$21&amp;" is more than CCC Physical Violence Rape Survivors"&amp;CHAR(10),""),IF(P162&gt;P161," * CCC  Physical Violence Initiated Pep "&amp;$P$20&amp;" "&amp;$P$21&amp;" is more than CCC Physical Violence Rape Survivors"&amp;CHAR(10),""),IF(Q162&gt;Q161," * CCC  Physical Violence Initiated Pep "&amp;$P$20&amp;" "&amp;$Q$21&amp;" is more than CCC Physical Violence Rape Survivors"&amp;CHAR(10),""),IF(R162&gt;R161," * CCC  Physical Violence Initiated Pep "&amp;$R$20&amp;" "&amp;$R$21&amp;" is more than CCC Physical Violence Rape Survivors"&amp;CHAR(10),""),IF(S162&gt;S161," * CCC  Physical Violence Initiated Pep "&amp;$R$20&amp;" "&amp;$S$21&amp;" is more than CCC Physical Violence Rape Survivors"&amp;CHAR(10),""),IF(T162&gt;T161," * CCC  Physical Violence Initiated Pep "&amp;$T$20&amp;" "&amp;$T$21&amp;" is more than CCC Physical Violence Rape Survivors"&amp;CHAR(10),""),IF(U162&gt;U161," * CCC  Physical Violence Initiated Pep "&amp;$T$20&amp;" "&amp;$U$21&amp;" is more than CCC Physical Violence Rape Survivors"&amp;CHAR(10),""),IF(V162&gt;V161," * CCC  Physical Violence Initiated Pep "&amp;$V$20&amp;" "&amp;$V$21&amp;" is more than CCC Physical Violence Rape Survivors"&amp;CHAR(10),""),IF(W162&gt;W161," * CCC  Physical Violence Initiated Pep "&amp;$V$20&amp;" "&amp;$W$21&amp;" is more than CCC Physical Violence Rape Survivors"&amp;CHAR(10),""),IF(X162&gt;X161," * CCC  Physical Violence Initiated Pep "&amp;$X$20&amp;" "&amp;$X$21&amp;" is more than CCC Physical Violence Rape Survivors"&amp;CHAR(10),""),IF(Y162&gt;Y161," * CCC  Physical Violence Initiated Pep "&amp;$X$20&amp;" "&amp;$Y$21&amp;" is more than CCC Physical Violence Rape Survivors"&amp;CHAR(10),""),IF(Z162&gt;Z161," * CCC  Physical Violence Initiated Pep "&amp;$Z$20&amp;" "&amp;$Z$21&amp;" is more than CCC Physical Violence Rape Survivors"&amp;CHAR(10),""),IF(AA162&gt;AA161," * CCC  Physical Violence Initiated Pep "&amp;$Z$20&amp;" "&amp;$AA$21&amp;" is more than CCC Physical Violence Rape Survivors"&amp;CHAR(10),""))</f>
        <v/>
      </c>
      <c r="AD161" s="752"/>
      <c r="AE161" s="253"/>
      <c r="AF161" s="621"/>
      <c r="AG161" s="480">
        <v>160</v>
      </c>
      <c r="AH161" s="335"/>
    </row>
    <row r="162" spans="1:34" s="226" customFormat="1" x14ac:dyDescent="0.85">
      <c r="A162" s="666"/>
      <c r="B162" s="366" t="s">
        <v>902</v>
      </c>
      <c r="C162" s="355" t="s">
        <v>930</v>
      </c>
      <c r="D162" s="359"/>
      <c r="E162" s="359"/>
      <c r="F162" s="359"/>
      <c r="G162" s="359"/>
      <c r="H162" s="359"/>
      <c r="I162" s="359"/>
      <c r="J162" s="359"/>
      <c r="K162" s="359"/>
      <c r="L162" s="359"/>
      <c r="M162" s="359"/>
      <c r="N162" s="359"/>
      <c r="O162" s="359"/>
      <c r="P162" s="359"/>
      <c r="Q162" s="359"/>
      <c r="R162" s="359"/>
      <c r="S162" s="359"/>
      <c r="T162" s="359"/>
      <c r="U162" s="359"/>
      <c r="V162" s="359"/>
      <c r="W162" s="359"/>
      <c r="X162" s="359"/>
      <c r="Y162" s="359"/>
      <c r="Z162" s="359"/>
      <c r="AA162" s="359"/>
      <c r="AB162" s="370">
        <f t="shared" si="24"/>
        <v>0</v>
      </c>
      <c r="AC162" s="260"/>
      <c r="AD162" s="752"/>
      <c r="AE162" s="253"/>
      <c r="AF162" s="621"/>
      <c r="AG162" s="480">
        <v>161</v>
      </c>
      <c r="AH162" s="335"/>
    </row>
    <row r="163" spans="1:34" s="226" customFormat="1" x14ac:dyDescent="0.85">
      <c r="A163" s="666"/>
      <c r="B163" s="366" t="s">
        <v>903</v>
      </c>
      <c r="C163" s="355" t="s">
        <v>931</v>
      </c>
      <c r="D163" s="360"/>
      <c r="E163" s="359"/>
      <c r="F163" s="359"/>
      <c r="G163" s="359"/>
      <c r="H163" s="359"/>
      <c r="I163" s="359"/>
      <c r="J163" s="359"/>
      <c r="K163" s="359"/>
      <c r="L163" s="359"/>
      <c r="M163" s="359"/>
      <c r="N163" s="359"/>
      <c r="O163" s="359"/>
      <c r="P163" s="359"/>
      <c r="Q163" s="359"/>
      <c r="R163" s="359"/>
      <c r="S163" s="359"/>
      <c r="T163" s="359"/>
      <c r="U163" s="359"/>
      <c r="V163" s="359"/>
      <c r="W163" s="359"/>
      <c r="X163" s="359"/>
      <c r="Y163" s="359"/>
      <c r="Z163" s="359"/>
      <c r="AA163" s="368"/>
      <c r="AB163" s="370">
        <f t="shared" si="24"/>
        <v>0</v>
      </c>
      <c r="AC163" s="260"/>
      <c r="AD163" s="752"/>
      <c r="AE163" s="253"/>
      <c r="AF163" s="621"/>
      <c r="AG163" s="480">
        <v>162</v>
      </c>
      <c r="AH163" s="335"/>
    </row>
    <row r="164" spans="1:34" s="226" customFormat="1" ht="31.3" thickBot="1" x14ac:dyDescent="0.9">
      <c r="A164" s="667"/>
      <c r="B164" s="367" t="s">
        <v>938</v>
      </c>
      <c r="C164" s="363" t="s">
        <v>932</v>
      </c>
      <c r="D164" s="361"/>
      <c r="E164" s="362"/>
      <c r="F164" s="362"/>
      <c r="G164" s="362"/>
      <c r="H164" s="362"/>
      <c r="I164" s="362"/>
      <c r="J164" s="362"/>
      <c r="K164" s="362"/>
      <c r="L164" s="362"/>
      <c r="M164" s="362"/>
      <c r="N164" s="362"/>
      <c r="O164" s="362"/>
      <c r="P164" s="362"/>
      <c r="Q164" s="362"/>
      <c r="R164" s="362"/>
      <c r="S164" s="362"/>
      <c r="T164" s="362"/>
      <c r="U164" s="362"/>
      <c r="V164" s="362"/>
      <c r="W164" s="362"/>
      <c r="X164" s="362"/>
      <c r="Y164" s="362"/>
      <c r="Z164" s="362"/>
      <c r="AA164" s="369"/>
      <c r="AB164" s="370">
        <f t="shared" si="24"/>
        <v>0</v>
      </c>
      <c r="AC164" s="260"/>
      <c r="AD164" s="753"/>
      <c r="AE164" s="261"/>
      <c r="AF164" s="621"/>
      <c r="AG164" s="480">
        <v>163</v>
      </c>
      <c r="AH164" s="335"/>
    </row>
    <row r="165" spans="1:34" s="226" customFormat="1" x14ac:dyDescent="0.85">
      <c r="A165" s="665" t="s">
        <v>906</v>
      </c>
      <c r="B165" s="365" t="s">
        <v>952</v>
      </c>
      <c r="C165" s="341" t="s">
        <v>933</v>
      </c>
      <c r="D165" s="381">
        <f>D15</f>
        <v>0</v>
      </c>
      <c r="E165" s="381">
        <f t="shared" ref="E165:AA165" si="71">E15</f>
        <v>0</v>
      </c>
      <c r="F165" s="381">
        <f t="shared" si="71"/>
        <v>0</v>
      </c>
      <c r="G165" s="381">
        <f t="shared" si="71"/>
        <v>0</v>
      </c>
      <c r="H165" s="381">
        <f t="shared" si="71"/>
        <v>0</v>
      </c>
      <c r="I165" s="381">
        <f t="shared" si="71"/>
        <v>0</v>
      </c>
      <c r="J165" s="381">
        <f t="shared" si="71"/>
        <v>0</v>
      </c>
      <c r="K165" s="381">
        <f t="shared" si="71"/>
        <v>0</v>
      </c>
      <c r="L165" s="381">
        <f t="shared" si="71"/>
        <v>0</v>
      </c>
      <c r="M165" s="381">
        <f t="shared" si="71"/>
        <v>0</v>
      </c>
      <c r="N165" s="381">
        <f t="shared" si="71"/>
        <v>0</v>
      </c>
      <c r="O165" s="381">
        <f t="shared" si="71"/>
        <v>0</v>
      </c>
      <c r="P165" s="381">
        <f t="shared" si="71"/>
        <v>0</v>
      </c>
      <c r="Q165" s="381">
        <f t="shared" si="71"/>
        <v>0</v>
      </c>
      <c r="R165" s="381">
        <f t="shared" si="71"/>
        <v>0</v>
      </c>
      <c r="S165" s="381">
        <f t="shared" si="71"/>
        <v>0</v>
      </c>
      <c r="T165" s="381">
        <f t="shared" si="71"/>
        <v>0</v>
      </c>
      <c r="U165" s="381">
        <f t="shared" si="71"/>
        <v>0</v>
      </c>
      <c r="V165" s="381">
        <f t="shared" si="71"/>
        <v>0</v>
      </c>
      <c r="W165" s="381">
        <f t="shared" si="71"/>
        <v>0</v>
      </c>
      <c r="X165" s="381">
        <f t="shared" si="71"/>
        <v>0</v>
      </c>
      <c r="Y165" s="381">
        <f t="shared" si="71"/>
        <v>0</v>
      </c>
      <c r="Z165" s="381">
        <f t="shared" si="71"/>
        <v>0</v>
      </c>
      <c r="AA165" s="381">
        <f t="shared" si="71"/>
        <v>0</v>
      </c>
      <c r="AB165" s="370">
        <f t="shared" si="24"/>
        <v>0</v>
      </c>
      <c r="AC165" s="252" t="str">
        <f>CONCATENATE(IF(D166&gt;D165," * No Screened for GBV "&amp;$D$20&amp;" "&amp;$D$21&amp;" is more than Clients Seen at MCH"&amp;CHAR(10),""),IF(E166&gt;E165," * No Screened For GBV "&amp;$D$20&amp;" "&amp;$E$21&amp;" is more than Clients Seen at MCH"&amp;CHAR(10),""),IF(F166&gt;F165," * No Screened For GBV "&amp;$F$20&amp;" "&amp;$F$21&amp;" is more than Clients Seen at MCH"&amp;CHAR(10),""),IF(G166&gt;G165," * No Screened For GBV "&amp;$F$20&amp;" "&amp;$G$21&amp;" is more than Clients Seen at MCH"&amp;CHAR(10),""),IF(H166&gt;H165," * No Screened For GBV "&amp;$H$20&amp;" "&amp;$H$21&amp;" is more than Clients Seen at MCH"&amp;CHAR(10),""),IF(I166&gt;I165," * No Screened For GBV "&amp;$H$20&amp;" "&amp;$I$21&amp;" is more than Clients Seen at MCH"&amp;CHAR(10),""),IF(J166&gt;J165," * No Screened For GBV "&amp;$J$20&amp;" "&amp;$J$21&amp;" is more than Clients Seen at MCH"&amp;CHAR(10),""),IF(K166&gt;K165," * No Screened For GBV "&amp;$J$20&amp;" "&amp;$K$21&amp;" is more than Clients Seen at MCH"&amp;CHAR(10),""),IF(L166&gt;L165," * No Screened For GBV "&amp;$L$20&amp;" "&amp;$L$21&amp;" is more than Clients Seen at MCH"&amp;CHAR(10),""),IF(M166&gt;M165," * No Screened For GBV "&amp;$L$20&amp;" "&amp;$M$21&amp;" is more than Clients Seen at MCH"&amp;CHAR(10),""),IF(N166&gt;N165," * No Screened For GBV "&amp;$N$20&amp;" "&amp;$N$21&amp;" is more than Clients Seen at MCH"&amp;CHAR(10),""),IF(O166&gt;O165," * No Screened For GBV "&amp;$N$20&amp;" "&amp;$O$21&amp;" is more than Clients Seen at MCH"&amp;CHAR(10),""),IF(P166&gt;P165," * No Screened For GBV "&amp;$P$20&amp;" "&amp;$P$21&amp;" is more than Clients Seen at MCH"&amp;CHAR(10),""),IF(Q166&gt;Q165," * No Screened For GBV "&amp;$P$20&amp;" "&amp;$Q$21&amp;" is more than Clients Seen at MCH"&amp;CHAR(10),""),IF(R166&gt;R165," * No Screened For GBV "&amp;$R$20&amp;" "&amp;$R$21&amp;" is more than Clients Seen at MCH"&amp;CHAR(10),""),IF(S166&gt;S165," * No Screened For GBV "&amp;$R$20&amp;" "&amp;$S$21&amp;" is more than Clients Seen at MCH"&amp;CHAR(10),""),IF(T166&gt;T165," * No Screened For GBV "&amp;$T$20&amp;" "&amp;$T$21&amp;" is more than Clients Seen at MCH"&amp;CHAR(10),""),IF(U166&gt;U165," * No Screened For GBV "&amp;$T$20&amp;" "&amp;$U$21&amp;" is more than Clients Seen at MCH"&amp;CHAR(10),""),IF(V166&gt;V165," * No Screened For GBV "&amp;$V$20&amp;" "&amp;$V$21&amp;" is more than Clients Seen at MCH"&amp;CHAR(10),""),IF(W166&gt;W165," * No Screened For GBV "&amp;$V$20&amp;" "&amp;$W$21&amp;" is more than Clients Seen at MCH"&amp;CHAR(10),""),IF(X166&gt;X165," * No Screened For GBV "&amp;$X$20&amp;" "&amp;$X$21&amp;" is more than Clients Seen at MCH"&amp;CHAR(10),""),IF(Y166&gt;Y165," * No Screened For GBV "&amp;$X$20&amp;" "&amp;$Y$21&amp;" is more than Clients Seen at MCH"&amp;CHAR(10),""),IF(Z166&gt;Z165," * No Screened For GBV "&amp;$Z$20&amp;" "&amp;$Z$21&amp;" is more than Clients Seen at MCH"&amp;CHAR(10),""),IF(AA166&gt;AA165," * No Screened For GBV "&amp;$Z$20&amp;" "&amp;$AA$21&amp;" is more than Clients Seen at MCH"&amp;CHAR(10),""))</f>
        <v/>
      </c>
      <c r="AD165" s="751" t="str">
        <f>CONCATENATE(AC165,AC166,AC167,AC168,AC169,AC170,AC171,AC172,AC173)</f>
        <v/>
      </c>
      <c r="AE165" s="261"/>
      <c r="AF165" s="621"/>
      <c r="AG165" s="480">
        <v>164</v>
      </c>
      <c r="AH165" s="335"/>
    </row>
    <row r="166" spans="1:34" s="226" customFormat="1" x14ac:dyDescent="0.85">
      <c r="A166" s="666"/>
      <c r="B166" s="366" t="s">
        <v>946</v>
      </c>
      <c r="C166" s="355" t="s">
        <v>934</v>
      </c>
      <c r="D166" s="357"/>
      <c r="E166" s="357"/>
      <c r="F166" s="357"/>
      <c r="G166" s="357"/>
      <c r="H166" s="357"/>
      <c r="I166" s="357"/>
      <c r="J166" s="357"/>
      <c r="K166" s="357"/>
      <c r="L166" s="357"/>
      <c r="M166" s="357"/>
      <c r="N166" s="357"/>
      <c r="O166" s="357"/>
      <c r="P166" s="357"/>
      <c r="Q166" s="357"/>
      <c r="R166" s="357"/>
      <c r="S166" s="357"/>
      <c r="T166" s="357"/>
      <c r="U166" s="357"/>
      <c r="V166" s="357"/>
      <c r="W166" s="357"/>
      <c r="X166" s="357"/>
      <c r="Y166" s="357"/>
      <c r="Z166" s="357"/>
      <c r="AA166" s="357"/>
      <c r="AB166" s="370">
        <f t="shared" si="24"/>
        <v>0</v>
      </c>
      <c r="AC166" s="260"/>
      <c r="AD166" s="752"/>
      <c r="AE166" s="253"/>
      <c r="AF166" s="621"/>
      <c r="AG166" s="480">
        <v>165</v>
      </c>
      <c r="AH166" s="335"/>
    </row>
    <row r="167" spans="1:34" s="226" customFormat="1" ht="31.75" x14ac:dyDescent="0.85">
      <c r="A167" s="666"/>
      <c r="B167" s="371" t="s">
        <v>955</v>
      </c>
      <c r="C167" s="355" t="s">
        <v>935</v>
      </c>
      <c r="D167" s="380">
        <f>D168+D170+D172+D173</f>
        <v>0</v>
      </c>
      <c r="E167" s="380">
        <f t="shared" ref="E167" si="72">E168+E170+E172+E173</f>
        <v>0</v>
      </c>
      <c r="F167" s="380">
        <f t="shared" ref="F167" si="73">F168+F170+F172+F173</f>
        <v>0</v>
      </c>
      <c r="G167" s="380">
        <f t="shared" ref="G167" si="74">G168+G170+G172+G173</f>
        <v>0</v>
      </c>
      <c r="H167" s="380">
        <f t="shared" ref="H167" si="75">H168+H170+H172+H173</f>
        <v>0</v>
      </c>
      <c r="I167" s="380">
        <f t="shared" ref="I167" si="76">I168+I170+I172+I173</f>
        <v>0</v>
      </c>
      <c r="J167" s="380">
        <f t="shared" ref="J167" si="77">J168+J170+J172+J173</f>
        <v>0</v>
      </c>
      <c r="K167" s="380">
        <f t="shared" ref="K167" si="78">K168+K170+K172+K173</f>
        <v>0</v>
      </c>
      <c r="L167" s="380">
        <f t="shared" ref="L167" si="79">L168+L170+L172+L173</f>
        <v>0</v>
      </c>
      <c r="M167" s="380">
        <f t="shared" ref="M167" si="80">M168+M170+M172+M173</f>
        <v>0</v>
      </c>
      <c r="N167" s="380">
        <f t="shared" ref="N167" si="81">N168+N170+N172+N173</f>
        <v>0</v>
      </c>
      <c r="O167" s="380">
        <f t="shared" ref="O167" si="82">O168+O170+O172+O173</f>
        <v>0</v>
      </c>
      <c r="P167" s="380">
        <f t="shared" ref="P167" si="83">P168+P170+P172+P173</f>
        <v>0</v>
      </c>
      <c r="Q167" s="380">
        <f t="shared" ref="Q167" si="84">Q168+Q170+Q172+Q173</f>
        <v>0</v>
      </c>
      <c r="R167" s="380">
        <f t="shared" ref="R167" si="85">R168+R170+R172+R173</f>
        <v>0</v>
      </c>
      <c r="S167" s="380">
        <f t="shared" ref="S167" si="86">S168+S170+S172+S173</f>
        <v>0</v>
      </c>
      <c r="T167" s="380">
        <f t="shared" ref="T167" si="87">T168+T170+T172+T173</f>
        <v>0</v>
      </c>
      <c r="U167" s="380">
        <f t="shared" ref="U167" si="88">U168+U170+U172+U173</f>
        <v>0</v>
      </c>
      <c r="V167" s="380">
        <f t="shared" ref="V167" si="89">V168+V170+V172+V173</f>
        <v>0</v>
      </c>
      <c r="W167" s="380">
        <f t="shared" ref="W167" si="90">W168+W170+W172+W173</f>
        <v>0</v>
      </c>
      <c r="X167" s="380">
        <f t="shared" ref="X167" si="91">X168+X170+X172+X173</f>
        <v>0</v>
      </c>
      <c r="Y167" s="380">
        <f t="shared" ref="Y167" si="92">Y168+Y170+Y172+Y173</f>
        <v>0</v>
      </c>
      <c r="Z167" s="380">
        <f t="shared" ref="Z167" si="93">Z168+Z170+Z172+Z173</f>
        <v>0</v>
      </c>
      <c r="AA167" s="380">
        <f t="shared" ref="AA167" si="94">AA168+AA170+AA172+AA173</f>
        <v>0</v>
      </c>
      <c r="AB167" s="370">
        <f t="shared" si="24"/>
        <v>0</v>
      </c>
      <c r="AC167" s="260"/>
      <c r="AD167" s="752"/>
      <c r="AE167" s="253"/>
      <c r="AF167" s="621"/>
      <c r="AG167" s="480">
        <v>166</v>
      </c>
      <c r="AH167" s="335"/>
    </row>
    <row r="168" spans="1:34" s="226" customFormat="1" x14ac:dyDescent="0.85">
      <c r="A168" s="666"/>
      <c r="B168" s="366" t="s">
        <v>899</v>
      </c>
      <c r="C168" s="355" t="s">
        <v>936</v>
      </c>
      <c r="D168" s="379"/>
      <c r="E168" s="379"/>
      <c r="F168" s="379"/>
      <c r="G168" s="379"/>
      <c r="H168" s="379"/>
      <c r="I168" s="379"/>
      <c r="J168" s="379"/>
      <c r="K168" s="379"/>
      <c r="L168" s="379"/>
      <c r="M168" s="379"/>
      <c r="N168" s="379"/>
      <c r="O168" s="379"/>
      <c r="P168" s="379"/>
      <c r="Q168" s="379"/>
      <c r="R168" s="379"/>
      <c r="S168" s="379"/>
      <c r="T168" s="379"/>
      <c r="U168" s="379"/>
      <c r="V168" s="379"/>
      <c r="W168" s="379"/>
      <c r="X168" s="379"/>
      <c r="Y168" s="379"/>
      <c r="Z168" s="379"/>
      <c r="AA168" s="379"/>
      <c r="AB168" s="370">
        <f t="shared" si="24"/>
        <v>0</v>
      </c>
      <c r="AC168" s="252" t="str">
        <f>CONCATENATE(IF(D169&gt;D168," * OPD Sexual Violence Initiated Pep "&amp;$D$20&amp;" "&amp;$D$21&amp;" is more than OPD Sexual Violence Rape Survivors"&amp;CHAR(10),""),IF(E169&gt;E168," * OPD Sexual Violence Initiated Pep "&amp;$D$20&amp;" "&amp;$E$21&amp;" is more than OPD Sexual Violence Rape Survivors"&amp;CHAR(10),""),IF(F169&gt;F168," * OPD Sexual Violence Initiated Pep "&amp;$F$20&amp;" "&amp;$F$21&amp;" is more than OPD Sexual Violence Rape Survivors"&amp;CHAR(10),""),IF(G169&gt;G168," * OPD Sexual Violence Initiated Pep "&amp;$F$20&amp;" "&amp;$G$21&amp;" is more than OPD Sexual Violence Rape Survivors"&amp;CHAR(10),""),IF(H169&gt;H168," * OPD Sexual Violence Initiated Pep "&amp;$H$20&amp;" "&amp;$H$21&amp;" is more than OPD Sexual Violence Rape Survivors"&amp;CHAR(10),""),IF(I169&gt;I168," * OPD Sexual Violence Initiated Pep "&amp;$H$20&amp;" "&amp;$I$21&amp;" is more than OPD Sexual Violence Rape Survivors"&amp;CHAR(10),""),IF(J169&gt;J168," * OPD Sexual Violence Initiated Pep "&amp;$J$20&amp;" "&amp;$J$21&amp;" is more than OPD Sexual Violence Rape Survivors"&amp;CHAR(10),""),IF(K169&gt;K168," * OPD Sexual Violence Initiated Pep "&amp;$J$20&amp;" "&amp;$K$21&amp;" is more than OPD Sexual Violence Rape Survivors"&amp;CHAR(10),""),IF(L169&gt;L168," * OPD Sexual Violence Initiated Pep "&amp;$L$20&amp;" "&amp;$L$21&amp;" is more than OPD Sexual Violence Rape Survivors"&amp;CHAR(10),""),IF(M169&gt;M168," * OPD Sexual Violence Initiated Pep "&amp;$L$20&amp;" "&amp;$M$21&amp;" is more than OPD Sexual Violence Rape Survivors"&amp;CHAR(10),""),IF(N169&gt;N168," * OPD Sexual Violence Initiated Pep "&amp;$N$20&amp;" "&amp;$N$21&amp;" is more than OPD Sexual Violence Rape Survivors"&amp;CHAR(10),""),IF(O169&gt;O168," * OPD Sexual Violence Initiated Pep "&amp;$N$20&amp;" "&amp;$O$21&amp;" is more than OPD Sexual Violence Rape Survivors"&amp;CHAR(10),""),IF(P169&gt;P168," * OPD Sexual Violence Initiated Pep "&amp;$P$20&amp;" "&amp;$P$21&amp;" is more than OPD Sexual Violence Rape Survivors"&amp;CHAR(10),""),IF(Q169&gt;Q168," * OPD Sexual Violence Initiated Pep "&amp;$P$20&amp;" "&amp;$Q$21&amp;" is more than OPD Sexual Violence Rape Survivors"&amp;CHAR(10),""),IF(R169&gt;R168," * OPD Sexual Violence Initiated Pep "&amp;$R$20&amp;" "&amp;$R$21&amp;" is more than OPD Sexual Violence Rape Survivors"&amp;CHAR(10),""),IF(S169&gt;S168," * OPD Sexual Violence Initiated Pep "&amp;$R$20&amp;" "&amp;$S$21&amp;" is more than OPD Sexual Violence Rape Survivors"&amp;CHAR(10),""),IF(T169&gt;T168," * OPD Sexual Violence Initiated Pep "&amp;$T$20&amp;" "&amp;$T$21&amp;" is more than OPD Sexual Violence Rape Survivors"&amp;CHAR(10),""),IF(U169&gt;U168," * OPD Sexual Violence Initiated Pep "&amp;$T$20&amp;" "&amp;$U$21&amp;" is more than OPD Sexual Violence Rape Survivors"&amp;CHAR(10),""),IF(V169&gt;V168," * OPD Sexual Violence Initiated Pep "&amp;$V$20&amp;" "&amp;$V$21&amp;" is more than OPD Sexual Violence Rape Survivors"&amp;CHAR(10),""),IF(W169&gt;W168," * OPD Sexual Violence Initiated Pep "&amp;$V$20&amp;" "&amp;$W$21&amp;" is more than OPD Sexual Violence Rape Survivors"&amp;CHAR(10),""),IF(X169&gt;X168," * OPD Sexual Violence Initiated Pep "&amp;$X$20&amp;" "&amp;$X$21&amp;" is more than OPD Sexual Violence Rape Survivors"&amp;CHAR(10),""),IF(Y169&gt;Y168," * OPD Sexual Violence Initiated Pep "&amp;$X$20&amp;" "&amp;$Y$21&amp;" is more than OPD Sexual Violence Rape Survivors"&amp;CHAR(10),""),IF(Z169&gt;Z168," * OPD Sexual Violence Initiated Pep "&amp;$Z$20&amp;" "&amp;$Z$21&amp;" is more than OPD Sexual Violence Rape Survivors"&amp;CHAR(10),""),IF(AA169&gt;AA168," * OPD Sexual Violence Initiated Pep "&amp;$Z$20&amp;" "&amp;$AA$21&amp;" is more than OPD Sexual Violence Rape Survivors"&amp;CHAR(10),""))</f>
        <v/>
      </c>
      <c r="AD168" s="752"/>
      <c r="AE168" s="253"/>
      <c r="AF168" s="621"/>
      <c r="AG168" s="480">
        <v>167</v>
      </c>
      <c r="AH168" s="335"/>
    </row>
    <row r="169" spans="1:34" s="226" customFormat="1" x14ac:dyDescent="0.85">
      <c r="A169" s="666"/>
      <c r="B169" s="366" t="s">
        <v>900</v>
      </c>
      <c r="C169" s="355" t="s">
        <v>937</v>
      </c>
      <c r="D169" s="359"/>
      <c r="E169" s="359"/>
      <c r="F169" s="359"/>
      <c r="G169" s="359"/>
      <c r="H169" s="359"/>
      <c r="I169" s="359"/>
      <c r="J169" s="359"/>
      <c r="K169" s="359"/>
      <c r="L169" s="359"/>
      <c r="M169" s="359"/>
      <c r="N169" s="359"/>
      <c r="O169" s="359"/>
      <c r="P169" s="359"/>
      <c r="Q169" s="359"/>
      <c r="R169" s="359"/>
      <c r="S169" s="359"/>
      <c r="T169" s="359"/>
      <c r="U169" s="359"/>
      <c r="V169" s="359"/>
      <c r="W169" s="359"/>
      <c r="X169" s="359"/>
      <c r="Y169" s="359"/>
      <c r="Z169" s="359"/>
      <c r="AA169" s="359"/>
      <c r="AB169" s="370">
        <f t="shared" si="24"/>
        <v>0</v>
      </c>
      <c r="AC169" s="260"/>
      <c r="AD169" s="752"/>
      <c r="AE169" s="253"/>
      <c r="AF169" s="621"/>
      <c r="AG169" s="480">
        <v>168</v>
      </c>
      <c r="AH169" s="335"/>
    </row>
    <row r="170" spans="1:34" s="226" customFormat="1" x14ac:dyDescent="0.85">
      <c r="A170" s="666"/>
      <c r="B170" s="366" t="s">
        <v>901</v>
      </c>
      <c r="C170" s="355" t="s">
        <v>939</v>
      </c>
      <c r="D170" s="379"/>
      <c r="E170" s="379"/>
      <c r="F170" s="379"/>
      <c r="G170" s="379"/>
      <c r="H170" s="379"/>
      <c r="I170" s="379"/>
      <c r="J170" s="379"/>
      <c r="K170" s="379"/>
      <c r="L170" s="379"/>
      <c r="M170" s="379"/>
      <c r="N170" s="379"/>
      <c r="O170" s="379"/>
      <c r="P170" s="379"/>
      <c r="Q170" s="379"/>
      <c r="R170" s="379"/>
      <c r="S170" s="379"/>
      <c r="T170" s="379"/>
      <c r="U170" s="379"/>
      <c r="V170" s="379"/>
      <c r="W170" s="379"/>
      <c r="X170" s="379"/>
      <c r="Y170" s="379"/>
      <c r="Z170" s="379"/>
      <c r="AA170" s="379"/>
      <c r="AB170" s="370">
        <f t="shared" si="24"/>
        <v>0</v>
      </c>
      <c r="AC170" s="252" t="str">
        <f>CONCATENATE(IF(D171&gt;D170," * MCH  Physical Violence Initiated Pep "&amp;$D$20&amp;" "&amp;$D$21&amp;" is more than MCH Physical Violence Rape Survivors"&amp;CHAR(10),""),IF(E171&gt;E170," * MCH  Physical Violence Initiated Pep "&amp;$D$20&amp;" "&amp;$E$21&amp;" is more than MCH Physical Violence Rape Survivors"&amp;CHAR(10),""),IF(F171&gt;F170," * MCH  Physical Violence Initiated Pep "&amp;$F$20&amp;" "&amp;$F$21&amp;" is more than MCH Physical Violence Rape Survivors"&amp;CHAR(10),""),IF(G171&gt;G170," * MCH  Physical Violence Initiated Pep "&amp;$F$20&amp;" "&amp;$G$21&amp;" is more than MCH Physical Violence Rape Survivors"&amp;CHAR(10),""),IF(H171&gt;H170," * MCH  Physical Violence Initiated Pep "&amp;$H$20&amp;" "&amp;$H$21&amp;" is more than MCH Physical Violence Rape Survivors"&amp;CHAR(10),""),IF(I171&gt;I170," * MCH  Physical Violence Initiated Pep "&amp;$H$20&amp;" "&amp;$I$21&amp;" is more than MCH Physical Violence Rape Survivors"&amp;CHAR(10),""),IF(J171&gt;J170," * MCH  Physical Violence Initiated Pep "&amp;$J$20&amp;" "&amp;$J$21&amp;" is more than MCH Physical Violence Rape Survivors"&amp;CHAR(10),""),IF(K171&gt;K170," * MCH  Physical Violence Initiated Pep "&amp;$J$20&amp;" "&amp;$K$21&amp;" is more than MCH Physical Violence Rape Survivors"&amp;CHAR(10),""),IF(L171&gt;L170," * MCH  Physical Violence Initiated Pep "&amp;$L$20&amp;" "&amp;$L$21&amp;" is more than MCH Physical Violence Rape Survivors"&amp;CHAR(10),""),IF(M171&gt;M170," * MCH  Physical Violence Initiated Pep "&amp;$L$20&amp;" "&amp;$M$21&amp;" is more than MCH Physical Violence Rape Survivors"&amp;CHAR(10),""),IF(N171&gt;N170," * MCH  Physical Violence Initiated Pep "&amp;$N$20&amp;" "&amp;$N$21&amp;" is more than MCH Physical Violence Rape Survivors"&amp;CHAR(10),""),IF(O171&gt;O170," * MCH  Physical Violence Initiated Pep "&amp;$N$20&amp;" "&amp;$O$21&amp;" is more than MCH Physical Violence Rape Survivors"&amp;CHAR(10),""),IF(P171&gt;P170," * MCH  Physical Violence Initiated Pep "&amp;$P$20&amp;" "&amp;$P$21&amp;" is more than MCH Physical Violence Rape Survivors"&amp;CHAR(10),""),IF(Q171&gt;Q170," * MCH  Physical Violence Initiated Pep "&amp;$P$20&amp;" "&amp;$Q$21&amp;" is more than MCH Physical Violence Rape Survivors"&amp;CHAR(10),""),IF(R171&gt;R170," * MCH  Physical Violence Initiated Pep "&amp;$R$20&amp;" "&amp;$R$21&amp;" is more than MCH Physical Violence Rape Survivors"&amp;CHAR(10),""),IF(S171&gt;S170," * MCH  Physical Violence Initiated Pep "&amp;$R$20&amp;" "&amp;$S$21&amp;" is more than MCH Physical Violence Rape Survivors"&amp;CHAR(10),""),IF(T171&gt;T170," * MCH  Physical Violence Initiated Pep "&amp;$T$20&amp;" "&amp;$T$21&amp;" is more than MCH Physical Violence Rape Survivors"&amp;CHAR(10),""),IF(U171&gt;U170," * MCH  Physical Violence Initiated Pep "&amp;$T$20&amp;" "&amp;$U$21&amp;" is more than MCH Physical Violence Rape Survivors"&amp;CHAR(10),""),IF(V171&gt;V170," * MCH  Physical Violence Initiated Pep "&amp;$V$20&amp;" "&amp;$V$21&amp;" is more than MCH Physical Violence Rape Survivors"&amp;CHAR(10),""),IF(W171&gt;W170," * MCH  Physical Violence Initiated Pep "&amp;$V$20&amp;" "&amp;$W$21&amp;" is more than MCH Physical Violence Rape Survivors"&amp;CHAR(10),""),IF(X171&gt;X170," * MCH  Physical Violence Initiated Pep "&amp;$X$20&amp;" "&amp;$X$21&amp;" is more than MCH Physical Violence Rape Survivors"&amp;CHAR(10),""),IF(Y171&gt;Y170," * MCH  Physical Violence Initiated Pep "&amp;$X$20&amp;" "&amp;$Y$21&amp;" is more than MCH Physical Violence Rape Survivors"&amp;CHAR(10),""),IF(Z171&gt;Z170," * MCH  Physical Violence Initiated Pep "&amp;$Z$20&amp;" "&amp;$Z$21&amp;" is more than MCH Physical Violence Rape Survivors"&amp;CHAR(10),""),IF(AA171&gt;AA170," * MCH  Physical Violence Initiated Pep "&amp;$Z$20&amp;" "&amp;$AA$21&amp;" is more than MCH Physical Violence Rape Survivors"&amp;CHAR(10),""))</f>
        <v/>
      </c>
      <c r="AD170" s="752"/>
      <c r="AE170" s="253"/>
      <c r="AF170" s="621"/>
      <c r="AG170" s="480">
        <v>169</v>
      </c>
      <c r="AH170" s="335"/>
    </row>
    <row r="171" spans="1:34" s="226" customFormat="1" x14ac:dyDescent="0.85">
      <c r="A171" s="666"/>
      <c r="B171" s="366" t="s">
        <v>902</v>
      </c>
      <c r="C171" s="355" t="s">
        <v>940</v>
      </c>
      <c r="D171" s="359"/>
      <c r="E171" s="359"/>
      <c r="F171" s="359"/>
      <c r="G171" s="359"/>
      <c r="H171" s="359"/>
      <c r="I171" s="359"/>
      <c r="J171" s="359"/>
      <c r="K171" s="359"/>
      <c r="L171" s="359"/>
      <c r="M171" s="359"/>
      <c r="N171" s="359"/>
      <c r="O171" s="359"/>
      <c r="P171" s="359"/>
      <c r="Q171" s="359"/>
      <c r="R171" s="359"/>
      <c r="S171" s="359"/>
      <c r="T171" s="359"/>
      <c r="U171" s="359"/>
      <c r="V171" s="359"/>
      <c r="W171" s="359"/>
      <c r="X171" s="359"/>
      <c r="Y171" s="359"/>
      <c r="Z171" s="359"/>
      <c r="AA171" s="359"/>
      <c r="AB171" s="370">
        <f t="shared" si="24"/>
        <v>0</v>
      </c>
      <c r="AC171" s="260"/>
      <c r="AD171" s="752"/>
      <c r="AE171" s="253"/>
      <c r="AF171" s="621"/>
      <c r="AG171" s="480">
        <v>170</v>
      </c>
      <c r="AH171" s="335"/>
    </row>
    <row r="172" spans="1:34" s="226" customFormat="1" x14ac:dyDescent="0.85">
      <c r="A172" s="666"/>
      <c r="B172" s="366" t="s">
        <v>903</v>
      </c>
      <c r="C172" s="355" t="s">
        <v>941</v>
      </c>
      <c r="D172" s="360"/>
      <c r="E172" s="359"/>
      <c r="F172" s="359"/>
      <c r="G172" s="359"/>
      <c r="H172" s="359"/>
      <c r="I172" s="359"/>
      <c r="J172" s="359"/>
      <c r="K172" s="359"/>
      <c r="L172" s="359"/>
      <c r="M172" s="359"/>
      <c r="N172" s="359"/>
      <c r="O172" s="359"/>
      <c r="P172" s="359"/>
      <c r="Q172" s="359"/>
      <c r="R172" s="359"/>
      <c r="S172" s="359"/>
      <c r="T172" s="359"/>
      <c r="U172" s="359"/>
      <c r="V172" s="359"/>
      <c r="W172" s="359"/>
      <c r="X172" s="359"/>
      <c r="Y172" s="359"/>
      <c r="Z172" s="359"/>
      <c r="AA172" s="368"/>
      <c r="AB172" s="370">
        <f t="shared" si="24"/>
        <v>0</v>
      </c>
      <c r="AC172" s="260"/>
      <c r="AD172" s="752"/>
      <c r="AE172" s="253"/>
      <c r="AF172" s="621"/>
      <c r="AG172" s="480">
        <v>171</v>
      </c>
      <c r="AH172" s="335"/>
    </row>
    <row r="173" spans="1:34" s="226" customFormat="1" ht="31.3" thickBot="1" x14ac:dyDescent="0.9">
      <c r="A173" s="667"/>
      <c r="B173" s="375" t="s">
        <v>938</v>
      </c>
      <c r="C173" s="355" t="s">
        <v>942</v>
      </c>
      <c r="D173" s="361"/>
      <c r="E173" s="362"/>
      <c r="F173" s="362"/>
      <c r="G173" s="362"/>
      <c r="H173" s="362"/>
      <c r="I173" s="362"/>
      <c r="J173" s="362"/>
      <c r="K173" s="362"/>
      <c r="L173" s="362"/>
      <c r="M173" s="362"/>
      <c r="N173" s="362"/>
      <c r="O173" s="362"/>
      <c r="P173" s="362"/>
      <c r="Q173" s="362"/>
      <c r="R173" s="362"/>
      <c r="S173" s="362"/>
      <c r="T173" s="362"/>
      <c r="U173" s="362"/>
      <c r="V173" s="362"/>
      <c r="W173" s="362"/>
      <c r="X173" s="362"/>
      <c r="Y173" s="362"/>
      <c r="Z173" s="362"/>
      <c r="AA173" s="369"/>
      <c r="AB173" s="221">
        <f t="shared" si="24"/>
        <v>0</v>
      </c>
      <c r="AC173" s="260"/>
      <c r="AD173" s="753"/>
      <c r="AE173" s="253"/>
      <c r="AF173" s="621"/>
      <c r="AG173" s="480">
        <v>172</v>
      </c>
      <c r="AH173" s="335"/>
    </row>
    <row r="174" spans="1:34" ht="31.75" x14ac:dyDescent="0.85">
      <c r="A174" s="695" t="s">
        <v>958</v>
      </c>
      <c r="B174" s="376" t="s">
        <v>956</v>
      </c>
      <c r="C174" s="283" t="s">
        <v>186</v>
      </c>
      <c r="D174" s="374">
        <f t="shared" ref="D174:AA174" si="95">SUM(D168,D159,D150,D141)</f>
        <v>0</v>
      </c>
      <c r="E174" s="374">
        <f t="shared" si="95"/>
        <v>0</v>
      </c>
      <c r="F174" s="374">
        <f t="shared" si="95"/>
        <v>0</v>
      </c>
      <c r="G174" s="374">
        <f t="shared" si="95"/>
        <v>0</v>
      </c>
      <c r="H174" s="374">
        <f t="shared" si="95"/>
        <v>0</v>
      </c>
      <c r="I174" s="374">
        <f t="shared" si="95"/>
        <v>0</v>
      </c>
      <c r="J174" s="374">
        <f t="shared" si="95"/>
        <v>0</v>
      </c>
      <c r="K174" s="374">
        <f t="shared" si="95"/>
        <v>0</v>
      </c>
      <c r="L174" s="374">
        <f t="shared" si="95"/>
        <v>0</v>
      </c>
      <c r="M174" s="374">
        <f t="shared" si="95"/>
        <v>0</v>
      </c>
      <c r="N174" s="374">
        <f t="shared" si="95"/>
        <v>0</v>
      </c>
      <c r="O174" s="374">
        <f t="shared" si="95"/>
        <v>0</v>
      </c>
      <c r="P174" s="374">
        <f t="shared" si="95"/>
        <v>0</v>
      </c>
      <c r="Q174" s="374">
        <f t="shared" si="95"/>
        <v>0</v>
      </c>
      <c r="R174" s="374">
        <f t="shared" si="95"/>
        <v>0</v>
      </c>
      <c r="S174" s="374">
        <f t="shared" si="95"/>
        <v>0</v>
      </c>
      <c r="T174" s="374">
        <f t="shared" si="95"/>
        <v>0</v>
      </c>
      <c r="U174" s="374">
        <f t="shared" si="95"/>
        <v>0</v>
      </c>
      <c r="V174" s="374">
        <f t="shared" si="95"/>
        <v>0</v>
      </c>
      <c r="W174" s="374">
        <f t="shared" si="95"/>
        <v>0</v>
      </c>
      <c r="X174" s="374">
        <f t="shared" si="95"/>
        <v>0</v>
      </c>
      <c r="Y174" s="374">
        <f t="shared" si="95"/>
        <v>0</v>
      </c>
      <c r="Z174" s="374">
        <f t="shared" si="95"/>
        <v>0</v>
      </c>
      <c r="AA174" s="374">
        <f t="shared" si="95"/>
        <v>0</v>
      </c>
      <c r="AB174" s="348">
        <f>SUM(D174:AA174)</f>
        <v>0</v>
      </c>
      <c r="AC174" s="260" t="str">
        <f>CONCATENATE(IF(D175&gt;D174," * Initiated Pep for Age "&amp;D20&amp;" "&amp;D21&amp;" is more than Rape survivors"&amp;CHAR(10),""),IF(E175&gt;E174," * Initiated Pep for Age "&amp;D20&amp;" "&amp;E21&amp;" is more than Rape survivors"&amp;CHAR(10),""),IF(F175&gt;F174," * Initiated Pep for Age "&amp;F20&amp;" "&amp;F21&amp;" is more than Rape survivors"&amp;CHAR(10),""),IF(G175&gt;G174," * Initiated Pep for Age "&amp;F20&amp;" "&amp;G21&amp;" is more than Rape survivors"&amp;CHAR(10),""),IF(H175&gt;H174," * Initiated Pep for Age "&amp;H20&amp;" "&amp;H21&amp;" is more than Rape survivors"&amp;CHAR(10),""),IF(I175&gt;I174," * Initiated Pep for Age "&amp;H20&amp;" "&amp;I21&amp;" is more than Rape survivors"&amp;CHAR(10),""),IF(J175&gt;J174," * Initiated Pep for Age "&amp;J20&amp;" "&amp;J21&amp;" is more than Rape survivors"&amp;CHAR(10),""),IF(K175&gt;K174," * Initiated Pep for Age "&amp;J20&amp;" "&amp;K21&amp;" is more than Rape survivors"&amp;CHAR(10),""),IF(L175&gt;L174," * Initiated Pep for Age "&amp;L20&amp;" "&amp;L21&amp;" is more than Rape survivors"&amp;CHAR(10),""),IF(M175&gt;M174," * Initiated Pep for Age "&amp;L20&amp;" "&amp;M21&amp;" is more than Rape survivors"&amp;CHAR(10),""),IF(N175&gt;N174," * Initiated Pep for Age "&amp;N20&amp;" "&amp;N21&amp;" is more than Rape survivors"&amp;CHAR(10),""),IF(O175&gt;O174," * Initiated Pep for Age "&amp;N20&amp;" "&amp;O21&amp;" is more than Rape survivors"&amp;CHAR(10),""),IF(P175&gt;P174," * Initiated Pep for Age "&amp;P20&amp;" "&amp;P21&amp;" is more than Rape survivors"&amp;CHAR(10),""),IF(Q175&gt;Q174," * Initiated Pep for Age "&amp;P20&amp;" "&amp;Q21&amp;" is more than Rape survivors"&amp;CHAR(10),""),IF(R175&gt;R174," * Initiated Pep for Age "&amp;R20&amp;" "&amp;R21&amp;" is more than Rape survivors"&amp;CHAR(10),""),IF(S175&gt;S174," * Initiated Pep for Age "&amp;R20&amp;" "&amp;S21&amp;" is more than Rape survivors"&amp;CHAR(10),""),IF(T175&gt;T174," * Initiated Pep for Age "&amp;T20&amp;" "&amp;T21&amp;" is more than Rape survivors"&amp;CHAR(10),""),IF(U175&gt;U174," * Initiated Pep for Age "&amp;T20&amp;" "&amp;U21&amp;" is more than Rape survivors"&amp;CHAR(10),""),IF(V175&gt;V174," * Initiated Pep for Age "&amp;V20&amp;" "&amp;V21&amp;" is more than Rape survivors"&amp;CHAR(10),""),IF(W175&gt;W174," * Initiated Pep for Age "&amp;V20&amp;" "&amp;W21&amp;" is more than Rape survivors"&amp;CHAR(10),""),IF(X175&gt;X174," * Initiated Pep for Age "&amp;X20&amp;" "&amp;X21&amp;" is more than Rape survivors"&amp;CHAR(10),""),IF(Y175&gt;Y174," * Initiated Pep for Age "&amp;X20&amp;" "&amp;Y21&amp;" is more than Rape survivors"&amp;CHAR(10),""),IF(Z175&gt;Z174," * Initiated Pep for Age "&amp;Z20&amp;" "&amp;Z21&amp;" is more than Rape survivors"&amp;CHAR(10),""),IF(AA175&gt;AA174," * Initiated Pep for Age "&amp;Z20&amp;" "&amp;AA21&amp;" is more than Rape survivors"&amp;CHAR(10),""))</f>
        <v/>
      </c>
      <c r="AD174" s="754" t="str">
        <f>CONCATENATE(AC138,AC176,AC177,AC178,AC179,AC181,AC183,AC185,AC187,AC188,AC175,AC180,AC174)</f>
        <v/>
      </c>
      <c r="AE174" s="83"/>
      <c r="AF174" s="621"/>
      <c r="AG174" s="480">
        <v>173</v>
      </c>
    </row>
    <row r="175" spans="1:34" ht="32.15" thickBot="1" x14ac:dyDescent="0.9">
      <c r="A175" s="696"/>
      <c r="B175" s="377" t="s">
        <v>957</v>
      </c>
      <c r="C175" s="294" t="s">
        <v>185</v>
      </c>
      <c r="D175" s="380">
        <f>SUM(D169,D160,D151,D142)</f>
        <v>0</v>
      </c>
      <c r="E175" s="374">
        <f t="shared" ref="E175:AA175" si="96">SUM(E169,E160,E151,E142)</f>
        <v>0</v>
      </c>
      <c r="F175" s="374">
        <f t="shared" si="96"/>
        <v>0</v>
      </c>
      <c r="G175" s="374">
        <f t="shared" si="96"/>
        <v>0</v>
      </c>
      <c r="H175" s="374">
        <f t="shared" si="96"/>
        <v>0</v>
      </c>
      <c r="I175" s="374">
        <f t="shared" si="96"/>
        <v>0</v>
      </c>
      <c r="J175" s="374">
        <f t="shared" si="96"/>
        <v>0</v>
      </c>
      <c r="K175" s="374">
        <f t="shared" si="96"/>
        <v>0</v>
      </c>
      <c r="L175" s="374">
        <f t="shared" si="96"/>
        <v>0</v>
      </c>
      <c r="M175" s="374">
        <f t="shared" si="96"/>
        <v>0</v>
      </c>
      <c r="N175" s="374">
        <f t="shared" si="96"/>
        <v>0</v>
      </c>
      <c r="O175" s="374">
        <f t="shared" si="96"/>
        <v>0</v>
      </c>
      <c r="P175" s="374">
        <f t="shared" si="96"/>
        <v>0</v>
      </c>
      <c r="Q175" s="374">
        <f t="shared" si="96"/>
        <v>0</v>
      </c>
      <c r="R175" s="374">
        <f t="shared" si="96"/>
        <v>0</v>
      </c>
      <c r="S175" s="374">
        <f t="shared" si="96"/>
        <v>0</v>
      </c>
      <c r="T175" s="374">
        <f t="shared" si="96"/>
        <v>0</v>
      </c>
      <c r="U175" s="374">
        <f t="shared" si="96"/>
        <v>0</v>
      </c>
      <c r="V175" s="374">
        <f t="shared" si="96"/>
        <v>0</v>
      </c>
      <c r="W175" s="374">
        <f t="shared" si="96"/>
        <v>0</v>
      </c>
      <c r="X175" s="374">
        <f t="shared" si="96"/>
        <v>0</v>
      </c>
      <c r="Y175" s="374">
        <f t="shared" si="96"/>
        <v>0</v>
      </c>
      <c r="Z175" s="374">
        <f t="shared" si="96"/>
        <v>0</v>
      </c>
      <c r="AA175" s="374">
        <f t="shared" si="96"/>
        <v>0</v>
      </c>
      <c r="AB175" s="222">
        <f t="shared" ref="AB175:AB188" si="97">SUM(D175:AA175)</f>
        <v>0</v>
      </c>
      <c r="AC175" s="260"/>
      <c r="AD175" s="752"/>
      <c r="AE175" s="83"/>
      <c r="AF175" s="621"/>
      <c r="AG175" s="480">
        <v>174</v>
      </c>
    </row>
    <row r="176" spans="1:34" ht="31.75" x14ac:dyDescent="0.85">
      <c r="A176" s="555" t="s">
        <v>959</v>
      </c>
      <c r="B176" s="376" t="s">
        <v>691</v>
      </c>
      <c r="C176" s="294" t="s">
        <v>252</v>
      </c>
      <c r="D176" s="391">
        <f>SUM(D170,D172,D161,D163,D152,D154,D143,D145)</f>
        <v>0</v>
      </c>
      <c r="E176" s="389">
        <f t="shared" ref="E176:AA176" si="98">SUM(E170,E172,E161,E163,E152,E154,E143,E145)</f>
        <v>0</v>
      </c>
      <c r="F176" s="389">
        <f t="shared" si="98"/>
        <v>0</v>
      </c>
      <c r="G176" s="389">
        <f t="shared" si="98"/>
        <v>0</v>
      </c>
      <c r="H176" s="389">
        <f t="shared" si="98"/>
        <v>0</v>
      </c>
      <c r="I176" s="389">
        <f t="shared" si="98"/>
        <v>0</v>
      </c>
      <c r="J176" s="389">
        <f t="shared" si="98"/>
        <v>0</v>
      </c>
      <c r="K176" s="389">
        <f t="shared" si="98"/>
        <v>0</v>
      </c>
      <c r="L176" s="389">
        <f t="shared" si="98"/>
        <v>0</v>
      </c>
      <c r="M176" s="389">
        <f t="shared" si="98"/>
        <v>0</v>
      </c>
      <c r="N176" s="389">
        <f t="shared" si="98"/>
        <v>0</v>
      </c>
      <c r="O176" s="389">
        <f t="shared" si="98"/>
        <v>0</v>
      </c>
      <c r="P176" s="389">
        <f t="shared" si="98"/>
        <v>0</v>
      </c>
      <c r="Q176" s="389">
        <f t="shared" si="98"/>
        <v>0</v>
      </c>
      <c r="R176" s="389">
        <f t="shared" si="98"/>
        <v>0</v>
      </c>
      <c r="S176" s="389">
        <f t="shared" si="98"/>
        <v>0</v>
      </c>
      <c r="T176" s="389">
        <f t="shared" si="98"/>
        <v>0</v>
      </c>
      <c r="U176" s="389">
        <f t="shared" si="98"/>
        <v>0</v>
      </c>
      <c r="V176" s="389">
        <f t="shared" si="98"/>
        <v>0</v>
      </c>
      <c r="W176" s="389">
        <f t="shared" si="98"/>
        <v>0</v>
      </c>
      <c r="X176" s="389">
        <f t="shared" si="98"/>
        <v>0</v>
      </c>
      <c r="Y176" s="389">
        <f t="shared" si="98"/>
        <v>0</v>
      </c>
      <c r="Z176" s="389">
        <f t="shared" si="98"/>
        <v>0</v>
      </c>
      <c r="AA176" s="389">
        <f t="shared" si="98"/>
        <v>0</v>
      </c>
      <c r="AB176" s="387">
        <f>SUM(D176:AA176)</f>
        <v>0</v>
      </c>
      <c r="AC176" s="85" t="str">
        <f>CONCATENATE(IF(D177&gt;D176," * Initiated Pep for Age "&amp;D19&amp;" "&amp;D20&amp;" is more than No of Clients"&amp;CHAR(10),""),IF(E177&gt;E176," * Initiated Pep for Age "&amp;D19&amp;" "&amp;E20&amp;" is more than No of Clients"&amp;CHAR(10),""),IF(F177&gt;F176," * Initiated Pep for Age "&amp;F19&amp;" "&amp;F20&amp;" is more than No of Clients"&amp;CHAR(10),""),IF(G177&gt;G176," * Initiated Pep for Age "&amp;F19&amp;" "&amp;G20&amp;" is more than No of Clients"&amp;CHAR(10),""),IF(H177&gt;H176," * Initiated Pep for Age "&amp;H19&amp;" "&amp;H20&amp;" is more than No of Clients"&amp;CHAR(10),""),IF(I177&gt;I176," * Initiated Pep for Age "&amp;H19&amp;" "&amp;I20&amp;" is more than No of Clients"&amp;CHAR(10),""),IF(J177&gt;J176," * Initiated Pep for Age "&amp;J19&amp;" "&amp;J20&amp;" is more than No of Clients"&amp;CHAR(10),""),IF(K177&gt;K176," * Initiated Pep for Age "&amp;J19&amp;" "&amp;K20&amp;" is more than No of Clients"&amp;CHAR(10),""),IF(L177&gt;L176," * Initiated Pep for Age "&amp;L19&amp;" "&amp;L20&amp;" is more than No of Clients"&amp;CHAR(10),""),IF(M177&gt;M176," * Initiated Pep for Age "&amp;L19&amp;" "&amp;M20&amp;" is more than No of Clients"&amp;CHAR(10),""),IF(N177&gt;N176," * Initiated Pep for Age "&amp;N19&amp;" "&amp;N20&amp;" is more than No of Clients"&amp;CHAR(10),""),IF(O177&gt;O176," * Initiated Pep for Age "&amp;N19&amp;" "&amp;O20&amp;" is more than No of Clients"&amp;CHAR(10),""),IF(P177&gt;P176," * Initiated Pep for Age "&amp;P19&amp;" "&amp;P20&amp;" is more than No of Clients"&amp;CHAR(10),""),IF(Q177&gt;Q176," * Initiated Pep for Age "&amp;P19&amp;" "&amp;Q20&amp;" is more than No of Clients"&amp;CHAR(10),""),IF(R177&gt;R176," * Initiated Pep for Age "&amp;R19&amp;" "&amp;R20&amp;" is more than No of Clients"&amp;CHAR(10),""),IF(S177&gt;S176," * Initiated Pep for Age "&amp;R19&amp;" "&amp;S20&amp;" is more than No of Clients"&amp;CHAR(10),""),IF(T177&gt;T176," * Initiated Pep for Age "&amp;T19&amp;" "&amp;T20&amp;" is more than No of Clients"&amp;CHAR(10),""),IF(U177&gt;U176," * Initiated Pep for Age "&amp;T19&amp;" "&amp;U20&amp;" is more than No of Clients"&amp;CHAR(10),""),IF(V177&gt;V176," * Initiated Pep for Age "&amp;V19&amp;" "&amp;V20&amp;" is more than No of Clients"&amp;CHAR(10),""),IF(W177&gt;W176," * Initiated Pep for Age "&amp;V19&amp;" "&amp;W20&amp;" is more than No of Clients"&amp;CHAR(10),""),IF(X177&gt;X176," * Initiated Pep for Age "&amp;X19&amp;" "&amp;X20&amp;" is more than No of Clients"&amp;CHAR(10),""),IF(Y177&gt;Y176," * Initiated Pep for Age "&amp;X19&amp;" "&amp;Y20&amp;" is more than No of Clients"&amp;CHAR(10),""),IF(Z177&gt;Z176," * Initiated Pep for Age "&amp;Z19&amp;" "&amp;Z20&amp;" is more than No of Clients"&amp;CHAR(10),""),IF(AA177&gt;AA176," * Initiated Pep for Age "&amp;Z19&amp;" "&amp;AA20&amp;" is more than No of Clients"&amp;CHAR(10),""))</f>
        <v/>
      </c>
      <c r="AD176" s="752"/>
      <c r="AE176" s="83"/>
      <c r="AF176" s="621"/>
      <c r="AG176" s="480">
        <v>175</v>
      </c>
    </row>
    <row r="177" spans="1:34" ht="32.15" thickBot="1" x14ac:dyDescent="0.9">
      <c r="A177" s="557"/>
      <c r="B177" s="377" t="s">
        <v>690</v>
      </c>
      <c r="C177" s="364" t="s">
        <v>256</v>
      </c>
      <c r="D177" s="392">
        <f>SUM(D171,D162,D153,D144)</f>
        <v>0</v>
      </c>
      <c r="E177" s="388">
        <f t="shared" ref="E177:AA177" si="99">SUM(E171,E162,E153,E144)</f>
        <v>0</v>
      </c>
      <c r="F177" s="388">
        <f t="shared" si="99"/>
        <v>0</v>
      </c>
      <c r="G177" s="388">
        <f t="shared" si="99"/>
        <v>0</v>
      </c>
      <c r="H177" s="388">
        <f t="shared" si="99"/>
        <v>0</v>
      </c>
      <c r="I177" s="388">
        <f t="shared" si="99"/>
        <v>0</v>
      </c>
      <c r="J177" s="388">
        <f t="shared" si="99"/>
        <v>0</v>
      </c>
      <c r="K177" s="388">
        <f t="shared" si="99"/>
        <v>0</v>
      </c>
      <c r="L177" s="388">
        <f t="shared" si="99"/>
        <v>0</v>
      </c>
      <c r="M177" s="388">
        <f t="shared" si="99"/>
        <v>0</v>
      </c>
      <c r="N177" s="388">
        <f t="shared" si="99"/>
        <v>0</v>
      </c>
      <c r="O177" s="388">
        <f t="shared" si="99"/>
        <v>0</v>
      </c>
      <c r="P177" s="388">
        <f t="shared" si="99"/>
        <v>0</v>
      </c>
      <c r="Q177" s="388">
        <f t="shared" si="99"/>
        <v>0</v>
      </c>
      <c r="R177" s="388">
        <f t="shared" si="99"/>
        <v>0</v>
      </c>
      <c r="S177" s="388">
        <f t="shared" si="99"/>
        <v>0</v>
      </c>
      <c r="T177" s="388">
        <f t="shared" si="99"/>
        <v>0</v>
      </c>
      <c r="U177" s="388">
        <f t="shared" si="99"/>
        <v>0</v>
      </c>
      <c r="V177" s="388">
        <f t="shared" si="99"/>
        <v>0</v>
      </c>
      <c r="W177" s="388">
        <f t="shared" si="99"/>
        <v>0</v>
      </c>
      <c r="X177" s="388">
        <f t="shared" si="99"/>
        <v>0</v>
      </c>
      <c r="Y177" s="388">
        <f t="shared" si="99"/>
        <v>0</v>
      </c>
      <c r="Z177" s="388">
        <f t="shared" si="99"/>
        <v>0</v>
      </c>
      <c r="AA177" s="388">
        <f t="shared" si="99"/>
        <v>0</v>
      </c>
      <c r="AB177" s="222">
        <f t="shared" si="97"/>
        <v>0</v>
      </c>
      <c r="AC177" s="85"/>
      <c r="AD177" s="752"/>
      <c r="AE177" s="83"/>
      <c r="AF177" s="621"/>
      <c r="AG177" s="480">
        <v>176</v>
      </c>
    </row>
    <row r="178" spans="1:34" s="7" customFormat="1" x14ac:dyDescent="0.85">
      <c r="A178" s="563" t="s">
        <v>26</v>
      </c>
      <c r="B178" s="292" t="s">
        <v>692</v>
      </c>
      <c r="C178" s="294" t="s">
        <v>257</v>
      </c>
      <c r="D178" s="358"/>
      <c r="E178" s="358"/>
      <c r="F178" s="358"/>
      <c r="G178" s="358"/>
      <c r="H178" s="358"/>
      <c r="I178" s="358"/>
      <c r="J178" s="358"/>
      <c r="K178" s="358"/>
      <c r="L178" s="358"/>
      <c r="M178" s="358"/>
      <c r="N178" s="358"/>
      <c r="O178" s="358"/>
      <c r="P178" s="358"/>
      <c r="Q178" s="358"/>
      <c r="R178" s="358"/>
      <c r="S178" s="358"/>
      <c r="T178" s="358"/>
      <c r="U178" s="358"/>
      <c r="V178" s="358"/>
      <c r="W178" s="358"/>
      <c r="X178" s="358"/>
      <c r="Y178" s="358"/>
      <c r="Z178" s="358"/>
      <c r="AA178" s="358"/>
      <c r="AB178" s="257">
        <f t="shared" si="97"/>
        <v>0</v>
      </c>
      <c r="AC178" s="85" t="str">
        <f>CONCATENATE(IF(D178&gt;D174," * Total Rape Survivors for Age "&amp;D20&amp;" "&amp;D21&amp;" is less than Screened For STI"&amp;CHAR(10),""),IF(E178&gt;E174," * Total Rape Survivors for Age "&amp;D20&amp;" "&amp;E21&amp;" is less than Screened For STI"&amp;CHAR(10),""),IF(F178&gt;F174," * Total Rape Survivors for Age "&amp;F20&amp;" "&amp;F21&amp;" is less than Screened For STI"&amp;CHAR(10),""),IF(G178&gt;G174," * Total Rape Survivors for Age "&amp;F20&amp;" "&amp;G21&amp;" is less than Screened For STI"&amp;CHAR(10),""),IF(H178&gt;H174," * Total Rape Survivors for Age "&amp;H20&amp;" "&amp;H21&amp;" is less than Screened For STI"&amp;CHAR(10),""),IF(I178&gt;I174," * Total Rape Survivors for Age "&amp;H20&amp;" "&amp;I21&amp;" is less than Screened For STI"&amp;CHAR(10),""),IF(J178&gt;J174," * Total Rape Survivors for Age "&amp;J20&amp;" "&amp;J21&amp;" is less than Screened For STI"&amp;CHAR(10),""),IF(K178&gt;K174," * Total Rape Survivors for Age "&amp;J20&amp;" "&amp;K21&amp;" is less than Screened For STI"&amp;CHAR(10),""),IF(L178&gt;L174," * Total Rape Survivors for Age "&amp;L20&amp;" "&amp;L21&amp;" is less than Screened For STI"&amp;CHAR(10),""),IF(M178&gt;M174," * Total Rape Survivors for Age "&amp;L20&amp;" "&amp;M21&amp;" is less than Screened For STI"&amp;CHAR(10),""),IF(N178&gt;N174," * Total Rape Survivors for Age "&amp;N20&amp;" "&amp;N21&amp;" is less than Screened For STI"&amp;CHAR(10),""),IF(O178&gt;O174," * Total Rape Survivors for Age "&amp;N20&amp;" "&amp;O21&amp;" is less than Screened For STI"&amp;CHAR(10),""),IF(P178&gt;P174," * Total Rape Survivors for Age "&amp;P20&amp;" "&amp;P21&amp;" is less than Screened For STI"&amp;CHAR(10),""),IF(Q178&gt;Q174," * Total Rape Survivors for Age "&amp;P20&amp;" "&amp;Q21&amp;" is less than Screened For STI"&amp;CHAR(10),""),IF(R178&gt;R174," * Total Rape Survivors for Age "&amp;R20&amp;" "&amp;R21&amp;" is less than Screened For STI"&amp;CHAR(10),""),IF(S178&gt;S174," * Total Rape Survivors for Age "&amp;R20&amp;" "&amp;S21&amp;" is less than Screened For STI"&amp;CHAR(10),""),IF(T178&gt;T174," * Total Rape Survivors for Age "&amp;T20&amp;" "&amp;T21&amp;" is less than Screened For STI"&amp;CHAR(10),""),IF(U178&gt;U174," * Total Rape Survivors for Age "&amp;T20&amp;" "&amp;U21&amp;" is less than Screened For STI"&amp;CHAR(10),""),IF(V178&gt;V174," * Total Rape Survivors for Age "&amp;V20&amp;" "&amp;V21&amp;" is less than Screened For STI"&amp;CHAR(10),""),IF(W178&gt;W174," * Total Rape Survivors for Age "&amp;V20&amp;" "&amp;W21&amp;" is less than Screened For STI"&amp;CHAR(10),""),IF(X178&gt;X174," * Total Rape Survivors for Age "&amp;X20&amp;" "&amp;X21&amp;" is less than Screened For STI"&amp;CHAR(10),""),IF(Y178&gt;Y174," * Total Rape Survivors for Age "&amp;X20&amp;" "&amp;Y21&amp;" is less than Screened For STI"&amp;CHAR(10),""),IF(Z178&gt;Z174," * Total Rape Survivors for Age "&amp;Z20&amp;" "&amp;Z21&amp;" is less than Screened For STI"&amp;CHAR(10),""),IF(AA178&gt;AA174," * Total Rape Survivors for Age "&amp;Z20&amp;" "&amp;AA21&amp;" is less than Screened For STI"&amp;CHAR(10),""),IF(AB178&gt;AB174," * Total Total Rape Survivors is less than Total Screened For STI"&amp;CHAR(10),""))</f>
        <v/>
      </c>
      <c r="AD178" s="752"/>
      <c r="AE178" s="83"/>
      <c r="AF178" s="621"/>
      <c r="AG178" s="480">
        <v>177</v>
      </c>
      <c r="AH178" s="335"/>
    </row>
    <row r="179" spans="1:34" s="7" customFormat="1" x14ac:dyDescent="0.85">
      <c r="A179" s="564"/>
      <c r="B179" s="300" t="s">
        <v>693</v>
      </c>
      <c r="C179" s="136" t="s">
        <v>258</v>
      </c>
      <c r="D179" s="162"/>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37">
        <f t="shared" si="97"/>
        <v>0</v>
      </c>
      <c r="AC179" s="260" t="str">
        <f>CONCATENATE(IF(D179&gt;D178," * Screened For STI for Age "&amp;D20&amp;" "&amp;D21&amp;" is more than Tested For STI"&amp;CHAR(10),""),IF(E179&gt;E178," * Screened For STI for Age "&amp;D20&amp;" "&amp;E21&amp;" is more than Tested For STI"&amp;CHAR(10),""),IF(F179&gt;F178," * Screened For STI for Age "&amp;F20&amp;" "&amp;F21&amp;" is more than Tested For STI"&amp;CHAR(10),""),IF(G179&gt;G178," * Screened For STI for Age "&amp;F20&amp;" "&amp;G21&amp;" is more than Tested For STI"&amp;CHAR(10),""),IF(H179&gt;H178," * Screened For STI for Age "&amp;H20&amp;" "&amp;H21&amp;" is more than Tested For STI"&amp;CHAR(10),""),IF(I179&gt;I178," * Screened For STI for Age "&amp;H20&amp;" "&amp;I21&amp;" is more than Tested For STI"&amp;CHAR(10),""),IF(J179&gt;J178," * Screened For STI for Age "&amp;J20&amp;" "&amp;J21&amp;" is more than Tested For STI"&amp;CHAR(10),""),IF(K179&gt;K178," * Screened For STI for Age "&amp;J20&amp;" "&amp;K21&amp;" is more than Tested For STI"&amp;CHAR(10),""),IF(L179&gt;L178," * Screened For STI for Age "&amp;L20&amp;" "&amp;L21&amp;" is more than Tested For STI"&amp;CHAR(10),""),IF(M179&gt;M178," * Screened For STI for Age "&amp;L20&amp;" "&amp;M21&amp;" is more than Tested For STI"&amp;CHAR(10),""),IF(N179&gt;N178," * Screened For STI for Age "&amp;N20&amp;" "&amp;N21&amp;" is more than Tested For STI"&amp;CHAR(10),""),IF(O179&gt;O178," * Screened For STI for Age "&amp;N20&amp;" "&amp;O21&amp;" is more than Tested For STI"&amp;CHAR(10),""),IF(P179&gt;P178," * Screened For STI for Age "&amp;P20&amp;" "&amp;P21&amp;" is more than Tested For STI"&amp;CHAR(10),""),IF(Q179&gt;Q178," * Screened For STI for Age "&amp;P20&amp;" "&amp;Q21&amp;" is more than Tested For STI"&amp;CHAR(10),""),IF(R179&gt;R178," * Screened For STI for Age "&amp;R20&amp;" "&amp;R21&amp;" is more than Tested For STI"&amp;CHAR(10),""),IF(S179&gt;S178," * Screened For STI for Age "&amp;R20&amp;" "&amp;S21&amp;" is more than Tested For STI"&amp;CHAR(10),""),IF(T179&gt;T178," * Screened For STI for Age "&amp;T20&amp;" "&amp;T21&amp;" is more than Tested For STI"&amp;CHAR(10),""),IF(U179&gt;U178," * Screened For STI for Age "&amp;T20&amp;" "&amp;U21&amp;" is more than Tested For STI"&amp;CHAR(10),""),IF(V179&gt;V178," * Screened For STI for Age "&amp;V20&amp;" "&amp;V21&amp;" is more than Tested For STI"&amp;CHAR(10),""),IF(W179&gt;W178," * Screened For STI for Age "&amp;V20&amp;" "&amp;W21&amp;" is more than Tested For STI"&amp;CHAR(10),""),IF(X179&gt;X178," * Screened For STI for Age "&amp;X20&amp;" "&amp;X21&amp;" is more than Tested For STI"&amp;CHAR(10),""),IF(Y179&gt;Y178," * Screened For STI for Age "&amp;X20&amp;" "&amp;Y21&amp;" is more than Tested For STI"&amp;CHAR(10),""),IF(Z179&gt;Z178," * Screened For STI for Age "&amp;Z20&amp;" "&amp;Z21&amp;" is more than Tested For STI"&amp;CHAR(10),""),IF(AA179&gt;AA178," * Screened For STI for Age "&amp;AA20&amp;" "&amp;AA21&amp;" is more than Tested For STI"&amp;CHAR(10),""))</f>
        <v/>
      </c>
      <c r="AD179" s="752"/>
      <c r="AE179" s="83"/>
      <c r="AF179" s="621"/>
      <c r="AG179" s="480">
        <v>178</v>
      </c>
      <c r="AH179" s="335"/>
    </row>
    <row r="180" spans="1:34" s="7" customFormat="1" x14ac:dyDescent="0.85">
      <c r="A180" s="564"/>
      <c r="B180" s="300" t="s">
        <v>694</v>
      </c>
      <c r="C180" s="136" t="s">
        <v>259</v>
      </c>
      <c r="D180" s="163"/>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37">
        <f t="shared" si="97"/>
        <v>0</v>
      </c>
      <c r="AC180" s="260" t="str">
        <f>CONCATENATE(IF(D180&gt;D179," * F05-07 for Age "&amp;D20&amp;" "&amp;D21&amp;" is more than F05-06"&amp;CHAR(10),""),IF(E180&gt;E179," * F05-07 for Age "&amp;D20&amp;" "&amp;E21&amp;" is more than F05-06"&amp;CHAR(10),""),IF(F180&gt;F179," * F05-07 for Age "&amp;F20&amp;" "&amp;F21&amp;" is more than F05-06"&amp;CHAR(10),""),IF(G180&gt;G179," * F05-07 for Age "&amp;F20&amp;" "&amp;G21&amp;" is more than F05-06"&amp;CHAR(10),""),IF(H180&gt;H179," * F05-07 for Age "&amp;H20&amp;" "&amp;H21&amp;" is more than F05-06"&amp;CHAR(10),""),IF(I180&gt;I179," * F05-07 for Age "&amp;H20&amp;" "&amp;I21&amp;" is more than F05-06"&amp;CHAR(10),""),IF(J180&gt;J179," * F05-07 for Age "&amp;J20&amp;" "&amp;J21&amp;" is more than F05-06"&amp;CHAR(10),""),IF(K180&gt;K179," * F05-07 for Age "&amp;J20&amp;" "&amp;K21&amp;" is more than F05-06"&amp;CHAR(10),""),IF(L180&gt;L179," * F05-07 for Age "&amp;L20&amp;" "&amp;L21&amp;" is more than F05-06"&amp;CHAR(10),""),IF(M180&gt;M179," * F05-07 for Age "&amp;L20&amp;" "&amp;M21&amp;" is more than F05-06"&amp;CHAR(10),""),IF(N180&gt;N179," * F05-07 for Age "&amp;N20&amp;" "&amp;N21&amp;" is more than F05-06"&amp;CHAR(10),""),IF(O180&gt;O179," * F05-07 for Age "&amp;N20&amp;" "&amp;O21&amp;" is more than F05-06"&amp;CHAR(10),""),IF(P180&gt;P179," * F05-07 for Age "&amp;P20&amp;" "&amp;P21&amp;" is more than F05-06"&amp;CHAR(10),""),IF(Q180&gt;Q179," * F05-07 for Age "&amp;P20&amp;" "&amp;Q21&amp;" is more than F05-06"&amp;CHAR(10),""),IF(R180&gt;R179," * F05-07 for Age "&amp;R20&amp;" "&amp;R21&amp;" is more than F05-06"&amp;CHAR(10),""),IF(S180&gt;S179," * F05-07 for Age "&amp;R20&amp;" "&amp;S21&amp;" is more than F05-06"&amp;CHAR(10),""),IF(T180&gt;T179," * F05-07 for Age "&amp;T20&amp;" "&amp;T21&amp;" is more than F05-06"&amp;CHAR(10),""),IF(U180&gt;U179," * F05-07 for Age "&amp;T20&amp;" "&amp;U21&amp;" is more than F05-06"&amp;CHAR(10),""),IF(V180&gt;V179," * F05-07 for Age "&amp;V20&amp;" "&amp;V21&amp;" is more than F05-06"&amp;CHAR(10),""),IF(W180&gt;W179," * F05-07 for Age "&amp;V20&amp;" "&amp;W21&amp;" is more than F05-06"&amp;CHAR(10),""),IF(X180&gt;X179," * F05-07 for Age "&amp;X20&amp;" "&amp;X21&amp;" is more than F05-06"&amp;CHAR(10),""),IF(Y180&gt;Y179," * F05-07 for Age "&amp;X20&amp;" "&amp;Y21&amp;" is more than F05-06"&amp;CHAR(10),""),IF(Z180&gt;Z179," * F05-07 for Age "&amp;Z20&amp;" "&amp;Z21&amp;" is more than F05-06"&amp;CHAR(10),""),IF(AA180&gt;AA179," * F05-07 for Age "&amp;Z20&amp;" "&amp;AA21&amp;" is more than F05-06"&amp;CHAR(10),""),IF(AB180&gt;AB179," * Total F05-07 is more than Total F05-06"&amp;CHAR(10),""))</f>
        <v/>
      </c>
      <c r="AD180" s="752"/>
      <c r="AE180" s="83"/>
      <c r="AF180" s="621"/>
      <c r="AG180" s="480">
        <v>179</v>
      </c>
      <c r="AH180" s="335"/>
    </row>
    <row r="181" spans="1:34" s="7" customFormat="1" x14ac:dyDescent="0.85">
      <c r="A181" s="564"/>
      <c r="B181" s="300" t="s">
        <v>695</v>
      </c>
      <c r="C181" s="136" t="s">
        <v>260</v>
      </c>
      <c r="D181" s="247"/>
      <c r="E181" s="247"/>
      <c r="F181" s="247"/>
      <c r="G181" s="247"/>
      <c r="H181" s="247"/>
      <c r="I181" s="247"/>
      <c r="J181" s="247"/>
      <c r="K181" s="234"/>
      <c r="L181" s="247"/>
      <c r="M181" s="234"/>
      <c r="N181" s="247"/>
      <c r="O181" s="234"/>
      <c r="P181" s="247"/>
      <c r="Q181" s="234"/>
      <c r="R181" s="247"/>
      <c r="S181" s="234"/>
      <c r="T181" s="247"/>
      <c r="U181" s="234"/>
      <c r="V181" s="247"/>
      <c r="W181" s="234"/>
      <c r="X181" s="247"/>
      <c r="Y181" s="234"/>
      <c r="Z181" s="247"/>
      <c r="AA181" s="234"/>
      <c r="AB181" s="37">
        <f t="shared" si="97"/>
        <v>0</v>
      </c>
      <c r="AC181" s="260" t="str">
        <f>CONCATENATE(IF(D181&gt;D174," * Given Emergency Contraceptive Pill for Age "&amp;D20&amp;" "&amp;D21&amp;" is more than Sexual Violence Rape Survivors"&amp;CHAR(10),""),IF(E181&gt;E174," * Given Emergency Contraceptive Pill for Age "&amp;D20&amp;" "&amp;E21&amp;" is more than Sexual Violence Rape Survivors"&amp;CHAR(10),""),IF(F181&gt;F174," * Given Emergency Contraceptive Pill for Age "&amp;F20&amp;" "&amp;F21&amp;" is more than Sexual Violence Rape Survivors"&amp;CHAR(10),""),IF(G181&gt;G174," * Given Emergency Contraceptive Pill for Age "&amp;F20&amp;" "&amp;G21&amp;" is more than Sexual Violence Rape Survivors"&amp;CHAR(10),""),IF(H181&gt;H174," * Given Emergency Contraceptive Pill for Age "&amp;H20&amp;" "&amp;H21&amp;" is more than Sexual Violence Rape Survivors"&amp;CHAR(10),""),IF(I181&gt;I174," * Given Emergency Contraceptive Pill for Age "&amp;H20&amp;" "&amp;I21&amp;" is more than Sexual Violence Rape Survivors"&amp;CHAR(10),""),IF(J181&gt;J174," * Given Emergency Contraceptive Pill for Age "&amp;J20&amp;" "&amp;J21&amp;" is more than Sexual Violence Rape Survivors"&amp;CHAR(10),""),IF(K181&gt;K174," * Given Emergency Contraceptive Pill for Age "&amp;J20&amp;" "&amp;K21&amp;" is more than Sexual Violence Rape Survivors"&amp;CHAR(10),""),IF(L181&gt;L174," * Given Emergency Contraceptive Pill for Age "&amp;L20&amp;" "&amp;L21&amp;" is more than Sexual Violence Rape Survivors"&amp;CHAR(10),""),IF(M181&gt;M174," * Given Emergency Contraceptive Pill for Age "&amp;L20&amp;" "&amp;M21&amp;" is more than Sexual Violence Rape Survivors"&amp;CHAR(10),""),IF(N181&gt;N174," * Given Emergency Contraceptive Pill for Age "&amp;N20&amp;" "&amp;N21&amp;" is more than Sexual Violence Rape Survivors"&amp;CHAR(10),""),IF(O181&gt;O174," * Given Emergency Contraceptive Pill for Age "&amp;N20&amp;" "&amp;O21&amp;" is more than Sexual Violence Rape Survivors"&amp;CHAR(10),""),IF(P181&gt;P174," * Given Emergency Contraceptive Pill for Age "&amp;P20&amp;" "&amp;P21&amp;" is more than Sexual Violence Rape Survivors"&amp;CHAR(10),""),IF(Q181&gt;Q174," * Given Emergency Contraceptive Pill for Age "&amp;P20&amp;" "&amp;Q21&amp;" is more than Sexual Violence Rape Survivors"&amp;CHAR(10),""),IF(R181&gt;R174," * Given Emergency Contraceptive Pill for Age "&amp;R20&amp;" "&amp;R21&amp;" is more than Sexual Violence Rape Survivors"&amp;CHAR(10),""),IF(S181&gt;S174," * Given Emergency Contraceptive Pill for Age "&amp;R20&amp;" "&amp;S21&amp;" is more than Sexual Violence Rape Survivors"&amp;CHAR(10),""),IF(T181&gt;T174," * Given Emergency Contraceptive Pill for Age "&amp;T20&amp;" "&amp;T21&amp;" is more than Sexual Violence Rape Survivors"&amp;CHAR(10),""),IF(U181&gt;U174," * Given Emergency Contraceptive Pill for Age "&amp;T20&amp;" "&amp;U21&amp;" is more than Sexual Violence Rape Survivors"&amp;CHAR(10),""),IF(V181&gt;V174," * Given Emergency Contraceptive Pill for Age "&amp;V20&amp;" "&amp;V21&amp;" is more than Sexual Violence Rape Survivors"&amp;CHAR(10),""),IF(W181&gt;W174," * Given Emergency Contraceptive Pill for Age "&amp;V20&amp;" "&amp;W21&amp;" is more than Sexual Violence Rape Survivors"&amp;CHAR(10),""),IF(X181&gt;X174," * Given Emergency Contraceptive Pill for Age "&amp;X20&amp;" "&amp;X21&amp;" is more than Sexual Violence Rape Survivors"&amp;CHAR(10),""),IF(Y181&gt;Y174," * Given Emergency Contraceptive Pill for Age "&amp;X20&amp;" "&amp;Y21&amp;" is more than Sexual Violence Rape Survivors"&amp;CHAR(10),""),IF(Z181&gt;Z174," * Given Emergency Contraceptive Pill for Age "&amp;Z20&amp;" "&amp;Z21&amp;" is more than Sexual Violence Rape Survivors"&amp;CHAR(10),""),IF(AA181&gt;AA174," * Given Emergency Contraceptive Pill for Age "&amp;Z20&amp;" "&amp;AA21&amp;" is more than Sexual Violence Rape Survivors"&amp;CHAR(10),""))</f>
        <v/>
      </c>
      <c r="AD181" s="752"/>
      <c r="AE181" s="83"/>
      <c r="AF181" s="621"/>
      <c r="AG181" s="480">
        <v>180</v>
      </c>
      <c r="AH181" s="335"/>
    </row>
    <row r="182" spans="1:34" s="7" customFormat="1" x14ac:dyDescent="0.85">
      <c r="A182" s="564"/>
      <c r="B182" s="300" t="s">
        <v>696</v>
      </c>
      <c r="C182" s="136" t="s">
        <v>261</v>
      </c>
      <c r="D182" s="247"/>
      <c r="E182" s="247"/>
      <c r="F182" s="247"/>
      <c r="G182" s="247"/>
      <c r="H182" s="247"/>
      <c r="I182" s="247"/>
      <c r="J182" s="247"/>
      <c r="K182" s="302"/>
      <c r="L182" s="247"/>
      <c r="M182" s="302"/>
      <c r="N182" s="247"/>
      <c r="O182" s="302"/>
      <c r="P182" s="247"/>
      <c r="Q182" s="302"/>
      <c r="R182" s="247"/>
      <c r="S182" s="302"/>
      <c r="T182" s="247"/>
      <c r="U182" s="302"/>
      <c r="V182" s="247"/>
      <c r="W182" s="302"/>
      <c r="X182" s="247"/>
      <c r="Y182" s="302"/>
      <c r="Z182" s="247"/>
      <c r="AA182" s="302"/>
      <c r="AB182" s="37">
        <f t="shared" si="97"/>
        <v>0</v>
      </c>
      <c r="AC182" s="260" t="str">
        <f>CONCATENATE(IF(D182&gt;D181," * Given Emergency Contraceptive Pill for Age "&amp;D20&amp;" "&amp;D21&amp;" is more than Eligible for Emergency Contraceptive Pill"&amp;CHAR(10),""),IF(E182&gt;E181," * Given Emergency Contraceptive Pill for Age "&amp;D20&amp;" "&amp;E21&amp;" is more than Eligible for Emergency Contraceptive Pill"&amp;CHAR(10),""),IF(F182&gt;F181," * Given Emergency Contraceptive Pill for Age "&amp;F20&amp;" "&amp;F21&amp;" is more than Eligible for Emergency Contraceptive Pill"&amp;CHAR(10),""),IF(G182&gt;G181," * Given Emergency Contraceptive Pill for Age "&amp;F20&amp;" "&amp;G21&amp;" is more than Eligible for Emergency Contraceptive Pill"&amp;CHAR(10),""),IF(H182&gt;H181," * Given Emergency Contraceptive Pill for Age "&amp;H20&amp;" "&amp;H21&amp;" is more than Eligible for Emergency Contraceptive Pill"&amp;CHAR(10),""),IF(I182&gt;I181," * Given Emergency Contraceptive Pill for Age "&amp;H20&amp;" "&amp;I21&amp;" is more than Eligible for Emergency Contraceptive Pill"&amp;CHAR(10),""),IF(J182&gt;J181," * Given Emergency Contraceptive Pill for Age "&amp;J20&amp;" "&amp;J21&amp;" is more than Eligible for Emergency Contraceptive Pill"&amp;CHAR(10),""),IF(K182&gt;K181," * Given Emergency Contraceptive Pill for Age "&amp;J20&amp;" "&amp;K21&amp;" is more than Eligible for Emergency Contraceptive Pill"&amp;CHAR(10),""),IF(L182&gt;L181," * Given Emergency Contraceptive Pill for Age "&amp;L20&amp;" "&amp;L21&amp;" is more than Eligible for Emergency Contraceptive Pill"&amp;CHAR(10),""),IF(M182&gt;M181," * Given Emergency Contraceptive Pill for Age "&amp;L20&amp;" "&amp;M21&amp;" is more than Eligible for Emergency Contraceptive Pill"&amp;CHAR(10),""),IF(N182&gt;N181," * Given Emergency Contraceptive Pill for Age "&amp;N20&amp;" "&amp;N21&amp;" is more than Eligible for Emergency Contraceptive Pill"&amp;CHAR(10),""),IF(O182&gt;O181," * Given Emergency Contraceptive Pill for Age "&amp;N20&amp;" "&amp;O21&amp;" is more than Eligible for Emergency Contraceptive Pill"&amp;CHAR(10),""),IF(P182&gt;P181," * Given Emergency Contraceptive Pill for Age "&amp;P20&amp;" "&amp;P21&amp;" is more than Eligible for Emergency Contraceptive Pill"&amp;CHAR(10),""),IF(Q182&gt;Q181," * Given Emergency Contraceptive Pill for Age "&amp;P20&amp;" "&amp;Q21&amp;" is more than Eligible for Emergency Contraceptive Pill"&amp;CHAR(10),""),IF(R182&gt;R181," * Given Emergency Contraceptive Pill for Age "&amp;R20&amp;" "&amp;R21&amp;" is more than Eligible for Emergency Contraceptive Pill"&amp;CHAR(10),""),IF(S182&gt;S181," * Given Emergency Contraceptive Pill for Age "&amp;R20&amp;" "&amp;S21&amp;" is more than Eligible for Emergency Contraceptive Pill"&amp;CHAR(10),""),IF(T182&gt;T181," * Given Emergency Contraceptive Pill for Age "&amp;T20&amp;" "&amp;T21&amp;" is more than Eligible for Emergency Contraceptive Pill"&amp;CHAR(10),""),IF(U182&gt;U181," * Given Emergency Contraceptive Pill for Age "&amp;T20&amp;" "&amp;U21&amp;" is more than Eligible for Emergency Contraceptive Pill"&amp;CHAR(10),""),IF(V182&gt;V181," * Given Emergency Contraceptive Pill for Age "&amp;V20&amp;" "&amp;V21&amp;" is more than Eligible for Emergency Contraceptive Pill"&amp;CHAR(10),""),IF(W182&gt;W181," * Given Emergency Contraceptive Pill for Age "&amp;V20&amp;" "&amp;W21&amp;" is more than Eligible for Emergency Contraceptive Pill"&amp;CHAR(10),""),IF(X182&gt;X181," * Given Emergency Contraceptive Pill for Age "&amp;X20&amp;" "&amp;X21&amp;" is more than Eligible for Emergency Contraceptive Pill"&amp;CHAR(10),""),IF(Y182&gt;Y181," * Given Emergency Contraceptive Pill for Age "&amp;X20&amp;" "&amp;Y21&amp;" is more than Eligible for Emergency Contraceptive Pill"&amp;CHAR(10),""),IF(Z182&gt;Z181," * Given Emergency Contraceptive Pill for Age "&amp;Z20&amp;" "&amp;Z21&amp;" is more than Eligible for Emergency Contraceptive Pill"&amp;CHAR(10),""),IF(AA182&gt;AA181," * Given Emergency Contraceptive Pill for Age "&amp;Z20&amp;" "&amp;AA21&amp;" is more than Eligible for Emergency Contraceptive Pill"&amp;CHAR(10),""))</f>
        <v/>
      </c>
      <c r="AD182" s="752"/>
      <c r="AE182" s="83"/>
      <c r="AF182" s="621"/>
      <c r="AG182" s="480">
        <v>181</v>
      </c>
      <c r="AH182" s="335"/>
    </row>
    <row r="183" spans="1:34" s="7" customFormat="1" x14ac:dyDescent="0.85">
      <c r="A183" s="564"/>
      <c r="B183" s="300" t="s">
        <v>697</v>
      </c>
      <c r="C183" s="136" t="s">
        <v>262</v>
      </c>
      <c r="D183" s="162"/>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37">
        <f t="shared" si="97"/>
        <v>0</v>
      </c>
      <c r="AC183" s="623" t="str">
        <f>CONCATENATE(IF(D184&gt;D183," * F05-11 for Age "&amp;D20&amp;" "&amp;D21&amp;" is more than F05-10"&amp;CHAR(10),""),IF(E184&gt;E183," * F05-11 for Age "&amp;D20&amp;" "&amp;E21&amp;" is more than F05-10"&amp;CHAR(10),""),IF(F184&gt;F183," * F05-11 for Age "&amp;F20&amp;" "&amp;F21&amp;" is more than F05-10"&amp;CHAR(10),""),IF(G184&gt;G183," * F05-11 for Age "&amp;F20&amp;" "&amp;G21&amp;" is more than F05-10"&amp;CHAR(10),""),IF(H184&gt;H183," * F05-11 for Age "&amp;H20&amp;" "&amp;H21&amp;" is more than F05-10"&amp;CHAR(10),""),IF(I184&gt;I183," * F05-11 for Age "&amp;H20&amp;" "&amp;I21&amp;" is more than F05-10"&amp;CHAR(10),""),IF(J184&gt;J183," * F05-11 for Age "&amp;J20&amp;" "&amp;J21&amp;" is more than F05-10"&amp;CHAR(10),""),IF(K184&gt;K183," * F05-11 for Age "&amp;J20&amp;" "&amp;K21&amp;" is more than F05-10"&amp;CHAR(10),""),IF(L184&gt;L183," * F05-11 for Age "&amp;L20&amp;" "&amp;L21&amp;" is more than F05-10"&amp;CHAR(10),""),IF(M184&gt;M183," * F05-11 for Age "&amp;L20&amp;" "&amp;M21&amp;" is more than F05-10"&amp;CHAR(10),""),IF(N184&gt;N183," * F05-11 for Age "&amp;N20&amp;" "&amp;N21&amp;" is more than F05-10"&amp;CHAR(10),""),IF(O184&gt;O183," * F05-11 for Age "&amp;N20&amp;" "&amp;O21&amp;" is more than F05-10"&amp;CHAR(10),""),IF(P184&gt;P183," * F05-11 for Age "&amp;P20&amp;" "&amp;P21&amp;" is more than F05-10"&amp;CHAR(10),""),IF(Q184&gt;Q183," * F05-11 for Age "&amp;P20&amp;" "&amp;Q21&amp;" is more than F05-10"&amp;CHAR(10),""),IF(R184&gt;R183," * F05-11 for Age "&amp;R20&amp;" "&amp;R21&amp;" is more than F05-10"&amp;CHAR(10),""),IF(S184&gt;S183," * F05-11 for Age "&amp;R20&amp;" "&amp;S21&amp;" is more than F05-10"&amp;CHAR(10),""),IF(T184&gt;T183," * F05-11 for Age "&amp;T20&amp;" "&amp;T21&amp;" is more than F05-10"&amp;CHAR(10),""),IF(U184&gt;U183," * F05-11 for Age "&amp;T20&amp;" "&amp;U21&amp;" is more than F05-10"&amp;CHAR(10),""),IF(V184&gt;V183," * F05-11 for Age "&amp;V20&amp;" "&amp;V21&amp;" is more than F05-10"&amp;CHAR(10),""),IF(W184&gt;W183," * F05-11 for Age "&amp;V20&amp;" "&amp;W21&amp;" is more than F05-10"&amp;CHAR(10),""),IF(X184&gt;X183," * F05-11 for Age "&amp;X20&amp;" "&amp;X21&amp;" is more than F05-10"&amp;CHAR(10),""),IF(Y184&gt;Y183," * F05-11 for Age "&amp;X20&amp;" "&amp;Y21&amp;" is more than F05-10"&amp;CHAR(10),""),IF(Z184&gt;Z183," * F05-11 for Age "&amp;Z20&amp;" "&amp;Z21&amp;" is more than F05-10"&amp;CHAR(10),""),IF(AA184&gt;AA183," * F05-11 for Age "&amp;Z20&amp;" "&amp;AA21&amp;" is more than F05-10"&amp;CHAR(10),""),IF(AB184&gt;AB183," * Total F05-11 is more than Total F05-10"&amp;CHAR(10),""))</f>
        <v/>
      </c>
      <c r="AD183" s="752"/>
      <c r="AE183" s="83"/>
      <c r="AF183" s="621"/>
      <c r="AG183" s="480">
        <v>182</v>
      </c>
      <c r="AH183" s="335"/>
    </row>
    <row r="184" spans="1:34" s="7" customFormat="1" ht="35.6" thickBot="1" x14ac:dyDescent="0.9">
      <c r="A184" s="565"/>
      <c r="B184" s="301" t="s">
        <v>698</v>
      </c>
      <c r="C184" s="138" t="s">
        <v>263</v>
      </c>
      <c r="D184" s="155"/>
      <c r="E184" s="299"/>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40">
        <f t="shared" si="97"/>
        <v>0</v>
      </c>
      <c r="AC184" s="623"/>
      <c r="AD184" s="752"/>
      <c r="AE184" s="83"/>
      <c r="AF184" s="621"/>
      <c r="AG184" s="480">
        <v>183</v>
      </c>
      <c r="AH184" s="335"/>
    </row>
    <row r="185" spans="1:34" s="7" customFormat="1" x14ac:dyDescent="0.85">
      <c r="A185" s="563" t="s">
        <v>111</v>
      </c>
      <c r="B185" s="292" t="s">
        <v>699</v>
      </c>
      <c r="C185" s="134" t="s">
        <v>264</v>
      </c>
      <c r="D185" s="152"/>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36">
        <f t="shared" si="97"/>
        <v>0</v>
      </c>
      <c r="AC185" s="623" t="str">
        <f>CONCATENATE(IF(D186&gt;D185," * F05-13 for Age "&amp;D20&amp;" "&amp;D21&amp;" is more than F05-12"&amp;CHAR(10),""),IF(E186&gt;E185," * F05-13 for Age "&amp;D20&amp;" "&amp;E21&amp;" is more than F05-12"&amp;CHAR(10),""),IF(F186&gt;F185," * F05-13 for Age "&amp;F20&amp;" "&amp;F21&amp;" is more than F05-12"&amp;CHAR(10),""),IF(G186&gt;G185," * F05-13 for Age "&amp;F20&amp;" "&amp;G21&amp;" is more than F05-12"&amp;CHAR(10),""),IF(H186&gt;H185," * F05-13 for Age "&amp;H20&amp;" "&amp;H21&amp;" is more than F05-12"&amp;CHAR(10),""),IF(I186&gt;I185," * F05-13 for Age "&amp;H20&amp;" "&amp;I21&amp;" is more than F05-12"&amp;CHAR(10),""),IF(J186&gt;J185," * F05-13 for Age "&amp;J20&amp;" "&amp;J21&amp;" is more than F05-12"&amp;CHAR(10),""),IF(K186&gt;K185," * F05-13 for Age "&amp;J20&amp;" "&amp;K21&amp;" is more than F05-12"&amp;CHAR(10),""),IF(L186&gt;L185," * F05-13 for Age "&amp;L20&amp;" "&amp;L21&amp;" is more than F05-12"&amp;CHAR(10),""),IF(M186&gt;M185," * F05-13 for Age "&amp;L20&amp;" "&amp;M21&amp;" is more than F05-12"&amp;CHAR(10),""),IF(N186&gt;N185," * F05-13 for Age "&amp;N20&amp;" "&amp;N21&amp;" is more than F05-12"&amp;CHAR(10),""),IF(O186&gt;O185," * F05-13 for Age "&amp;N20&amp;" "&amp;O21&amp;" is more than F05-12"&amp;CHAR(10),""),IF(P186&gt;P185," * F05-13 for Age "&amp;P20&amp;" "&amp;P21&amp;" is more than F05-12"&amp;CHAR(10),""),IF(Q186&gt;Q185," * F05-13 for Age "&amp;P20&amp;" "&amp;Q21&amp;" is more than F05-12"&amp;CHAR(10),""),IF(R186&gt;R185," * F05-13 for Age "&amp;R20&amp;" "&amp;R21&amp;" is more than F05-12"&amp;CHAR(10),""),IF(S186&gt;S185," * F05-13 for Age "&amp;R20&amp;" "&amp;S21&amp;" is more than F05-12"&amp;CHAR(10),""),IF(T186&gt;T185," * F05-13 for Age "&amp;T20&amp;" "&amp;T21&amp;" is more than F05-12"&amp;CHAR(10),""),IF(U186&gt;U185," * F05-13 for Age "&amp;T20&amp;" "&amp;U21&amp;" is more than F05-12"&amp;CHAR(10),""),IF(V186&gt;V185," * F05-13 for Age "&amp;V20&amp;" "&amp;V21&amp;" is more than F05-12"&amp;CHAR(10),""),IF(W186&gt;W185," * F05-13 for Age "&amp;V20&amp;" "&amp;W21&amp;" is more than F05-12"&amp;CHAR(10),""),IF(X186&gt;X185," * F05-13 for Age "&amp;X20&amp;" "&amp;X21&amp;" is more than F05-12"&amp;CHAR(10),""),IF(Y186&gt;Y185," * F05-13 for Age "&amp;X20&amp;" "&amp;Y21&amp;" is more than F05-12"&amp;CHAR(10),""),IF(Z186&gt;Z185," * F05-13 for Age "&amp;Z20&amp;" "&amp;Z21&amp;" is more than F05-12"&amp;CHAR(10),""),IF(AA186&gt;AA185," * F05-13 for Age "&amp;Z20&amp;" "&amp;AA21&amp;" is more than F05-12"&amp;CHAR(10),""),IF(AB186&gt;AB185," * Total F05-13 is more than Total F05-12"&amp;CHAR(10),""))</f>
        <v/>
      </c>
      <c r="AD185" s="752"/>
      <c r="AE185" s="83"/>
      <c r="AF185" s="621"/>
      <c r="AG185" s="480">
        <v>184</v>
      </c>
      <c r="AH185" s="335"/>
    </row>
    <row r="186" spans="1:34" s="7" customFormat="1" x14ac:dyDescent="0.85">
      <c r="A186" s="564"/>
      <c r="B186" s="300" t="s">
        <v>700</v>
      </c>
      <c r="C186" s="136" t="s">
        <v>265</v>
      </c>
      <c r="D186" s="162"/>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37">
        <f t="shared" si="97"/>
        <v>0</v>
      </c>
      <c r="AC186" s="623"/>
      <c r="AD186" s="752"/>
      <c r="AE186" s="83"/>
      <c r="AF186" s="621"/>
      <c r="AG186" s="480">
        <v>185</v>
      </c>
      <c r="AH186" s="335"/>
    </row>
    <row r="187" spans="1:34" s="7" customFormat="1" x14ac:dyDescent="0.85">
      <c r="A187" s="564"/>
      <c r="B187" s="300" t="s">
        <v>701</v>
      </c>
      <c r="C187" s="136" t="s">
        <v>322</v>
      </c>
      <c r="D187" s="163"/>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37">
        <f t="shared" si="97"/>
        <v>0</v>
      </c>
      <c r="AC187" s="85" t="str">
        <f>CONCATENATE(IF(D187&gt;D185," * F05-14 for Age "&amp;D20&amp;" "&amp;D21&amp;" is more than F05-12"&amp;CHAR(10),""),IF(E187&gt;E185," * F05-14 for Age "&amp;D20&amp;" "&amp;E21&amp;" is more than F05-12"&amp;CHAR(10),""),IF(F187&gt;F185," * F05-14 for Age "&amp;F20&amp;" "&amp;F21&amp;" is more than F05-12"&amp;CHAR(10),""),IF(G187&gt;G185," * F05-14 for Age "&amp;F20&amp;" "&amp;G21&amp;" is more than F05-12"&amp;CHAR(10),""),IF(H187&gt;H185," * F05-14 for Age "&amp;H20&amp;" "&amp;H21&amp;" is more than F05-12"&amp;CHAR(10),""),IF(I187&gt;I185," * F05-14 for Age "&amp;H20&amp;" "&amp;I21&amp;" is more than F05-12"&amp;CHAR(10),""),IF(J187&gt;J185," * F05-14 for Age "&amp;J20&amp;" "&amp;J21&amp;" is more than F05-12"&amp;CHAR(10),""),IF(K187&gt;K185," * F05-14 for Age "&amp;J20&amp;" "&amp;K21&amp;" is more than F05-12"&amp;CHAR(10),""),IF(L187&gt;L185," * F05-14 for Age "&amp;L20&amp;" "&amp;L21&amp;" is more than F05-12"&amp;CHAR(10),""),IF(M187&gt;M185," * F05-14 for Age "&amp;L20&amp;" "&amp;M21&amp;" is more than F05-12"&amp;CHAR(10),""),IF(N187&gt;N185," * F05-14 for Age "&amp;N20&amp;" "&amp;N21&amp;" is more than F05-12"&amp;CHAR(10),""),IF(O187&gt;O185," * F05-14 for Age "&amp;N20&amp;" "&amp;O21&amp;" is more than F05-12"&amp;CHAR(10),""),IF(P187&gt;P185," * F05-14 for Age "&amp;P20&amp;" "&amp;P21&amp;" is more than F05-12"&amp;CHAR(10),""),IF(Q187&gt;Q185," * F05-14 for Age "&amp;P20&amp;" "&amp;Q21&amp;" is more than F05-12"&amp;CHAR(10),""),IF(R187&gt;R185," * F05-14 for Age "&amp;R20&amp;" "&amp;R21&amp;" is more than F05-12"&amp;CHAR(10),""),IF(S187&gt;S185," * F05-14 for Age "&amp;R20&amp;" "&amp;S21&amp;" is more than F05-12"&amp;CHAR(10),""),IF(T187&gt;T185," * F05-14 for Age "&amp;T20&amp;" "&amp;T21&amp;" is more than F05-12"&amp;CHAR(10),""),IF(U187&gt;U185," * F05-14 for Age "&amp;T20&amp;" "&amp;U21&amp;" is more than F05-12"&amp;CHAR(10),""),IF(V187&gt;V185," * F05-14 for Age "&amp;V20&amp;" "&amp;V21&amp;" is more than F05-12"&amp;CHAR(10),""),IF(W187&gt;W185," * F05-14 for Age "&amp;V20&amp;" "&amp;W21&amp;" is more than F05-12"&amp;CHAR(10),""),IF(X187&gt;X185," * F05-14 for Age "&amp;X20&amp;" "&amp;X21&amp;" is more than F05-12"&amp;CHAR(10),""),IF(Y187&gt;Y185," * F05-14 for Age "&amp;X20&amp;" "&amp;Y21&amp;" is more than F05-12"&amp;CHAR(10),""),IF(Z187&gt;Z185," * F05-14 for Age "&amp;Z20&amp;" "&amp;Z21&amp;" is more than F05-12"&amp;CHAR(10),""),IF(AA187&gt;AA185," * F05-14 for Age "&amp;Z20&amp;" "&amp;AA21&amp;" is more than F05-12"&amp;CHAR(10),""),IF(AB187&gt;AB185," * Total F05-14 is more than Total F05-12"&amp;CHAR(10),""))</f>
        <v/>
      </c>
      <c r="AD187" s="752"/>
      <c r="AE187" s="83"/>
      <c r="AF187" s="621"/>
      <c r="AG187" s="480">
        <v>186</v>
      </c>
      <c r="AH187" s="335"/>
    </row>
    <row r="188" spans="1:34" s="7" customFormat="1" ht="31.3" thickBot="1" x14ac:dyDescent="0.9">
      <c r="A188" s="765"/>
      <c r="B188" s="293" t="s">
        <v>702</v>
      </c>
      <c r="C188" s="138" t="s">
        <v>323</v>
      </c>
      <c r="D188" s="279"/>
      <c r="E188" s="247"/>
      <c r="F188" s="247"/>
      <c r="G188" s="247"/>
      <c r="H188" s="247"/>
      <c r="I188" s="247"/>
      <c r="J188" s="247"/>
      <c r="K188" s="233"/>
      <c r="L188" s="247"/>
      <c r="M188" s="233"/>
      <c r="N188" s="247"/>
      <c r="O188" s="233"/>
      <c r="P188" s="247"/>
      <c r="Q188" s="233"/>
      <c r="R188" s="247"/>
      <c r="S188" s="233"/>
      <c r="T188" s="247"/>
      <c r="U188" s="233"/>
      <c r="V188" s="247"/>
      <c r="W188" s="233"/>
      <c r="X188" s="247"/>
      <c r="Y188" s="233"/>
      <c r="Z188" s="247"/>
      <c r="AA188" s="233"/>
      <c r="AB188" s="91">
        <f t="shared" si="97"/>
        <v>0</v>
      </c>
      <c r="AC188" s="194" t="str">
        <f>CONCATENATE(IF(D188&gt;D185," * F05-15 for Age "&amp;D20&amp;" "&amp;D21&amp;" is more than F05-12"&amp;CHAR(10),""),IF(E188&gt;E185," * F05-15 for Age "&amp;D20&amp;" "&amp;E21&amp;" is more than F05-12"&amp;CHAR(10),""),IF(F188&gt;F185," * F05-15 for Age "&amp;F20&amp;" "&amp;F21&amp;" is more than F05-12"&amp;CHAR(10),""),IF(G188&gt;G185," * F05-15 for Age "&amp;F20&amp;" "&amp;G21&amp;" is more than F05-12"&amp;CHAR(10),""),IF(H188&gt;H185," * F05-15 for Age "&amp;H20&amp;" "&amp;H21&amp;" is more than F05-12"&amp;CHAR(10),""),IF(I188&gt;I185," * F05-15 for Age "&amp;H20&amp;" "&amp;I21&amp;" is more than F05-12"&amp;CHAR(10),""),IF(J188&gt;J185," * F05-15 for Age "&amp;J20&amp;" "&amp;J21&amp;" is more than F05-12"&amp;CHAR(10),""),IF(K188&gt;K185," * F05-15 for Age "&amp;J20&amp;" "&amp;K21&amp;" is more than F05-12"&amp;CHAR(10),""),IF(L188&gt;L185," * F05-15 for Age "&amp;L20&amp;" "&amp;L21&amp;" is more than F05-12"&amp;CHAR(10),""),IF(M188&gt;M185," * F05-15 for Age "&amp;L20&amp;" "&amp;M21&amp;" is more than F05-12"&amp;CHAR(10),""),IF(N188&gt;N185," * F05-15 for Age "&amp;N20&amp;" "&amp;N21&amp;" is more than F05-12"&amp;CHAR(10),""),IF(O188&gt;O185," * F05-15 for Age "&amp;N20&amp;" "&amp;O21&amp;" is more than F05-12"&amp;CHAR(10),""),IF(P188&gt;P185," * F05-15 for Age "&amp;P20&amp;" "&amp;P21&amp;" is more than F05-12"&amp;CHAR(10),""),IF(Q188&gt;Q185," * F05-15 for Age "&amp;P20&amp;" "&amp;Q21&amp;" is more than F05-12"&amp;CHAR(10),""),IF(R188&gt;R185," * F05-15 for Age "&amp;R20&amp;" "&amp;R21&amp;" is more than F05-12"&amp;CHAR(10),""),IF(S188&gt;S185," * F05-15 for Age "&amp;R20&amp;" "&amp;S21&amp;" is more than F05-12"&amp;CHAR(10),""),IF(T188&gt;T185," * F05-15 for Age "&amp;T20&amp;" "&amp;T21&amp;" is more than F05-12"&amp;CHAR(10),""),IF(U188&gt;U185," * F05-15 for Age "&amp;T20&amp;" "&amp;U21&amp;" is more than F05-12"&amp;CHAR(10),""),IF(V188&gt;V185," * F05-15 for Age "&amp;V20&amp;" "&amp;V21&amp;" is more than F05-12"&amp;CHAR(10),""),IF(W188&gt;W185," * F05-15 for Age "&amp;V20&amp;" "&amp;W21&amp;" is more than F05-12"&amp;CHAR(10),""),IF(X188&gt;X185," * F05-15 for Age "&amp;X20&amp;" "&amp;X21&amp;" is more than F05-12"&amp;CHAR(10),""),IF(Y188&gt;Y185," * F05-15 for Age "&amp;X20&amp;" "&amp;Y21&amp;" is more than F05-12"&amp;CHAR(10),""),IF(Z188&gt;Z185," * F05-15 for Age "&amp;Z20&amp;" "&amp;Z21&amp;" is more than F05-12"&amp;CHAR(10),""),IF(AA188&gt;AA185," * F05-15 for Age "&amp;Z20&amp;" "&amp;AA21&amp;" is more than F05-12"&amp;CHAR(10),""),IF(AB188&gt;AB185," * Total F05-12 is more than Total F05-12"&amp;CHAR(10),""))</f>
        <v/>
      </c>
      <c r="AD188" s="755"/>
      <c r="AE188" s="97"/>
      <c r="AF188" s="622"/>
      <c r="AG188" s="480">
        <v>187</v>
      </c>
      <c r="AH188" s="335"/>
    </row>
    <row r="189" spans="1:34" ht="35.15" thickBot="1" x14ac:dyDescent="0.9">
      <c r="A189" s="568" t="s">
        <v>130</v>
      </c>
      <c r="B189" s="569"/>
      <c r="C189" s="569"/>
      <c r="D189" s="569"/>
      <c r="E189" s="569"/>
      <c r="F189" s="569"/>
      <c r="G189" s="569"/>
      <c r="H189" s="569"/>
      <c r="I189" s="569"/>
      <c r="J189" s="569"/>
      <c r="K189" s="569"/>
      <c r="L189" s="569"/>
      <c r="M189" s="569"/>
      <c r="N189" s="569"/>
      <c r="O189" s="569"/>
      <c r="P189" s="569"/>
      <c r="Q189" s="569"/>
      <c r="R189" s="569"/>
      <c r="S189" s="569"/>
      <c r="T189" s="569"/>
      <c r="U189" s="569"/>
      <c r="V189" s="569"/>
      <c r="W189" s="569"/>
      <c r="X189" s="569"/>
      <c r="Y189" s="569"/>
      <c r="Z189" s="569"/>
      <c r="AA189" s="569"/>
      <c r="AB189" s="569"/>
      <c r="AC189" s="569"/>
      <c r="AD189" s="569"/>
      <c r="AE189" s="569"/>
      <c r="AF189" s="570"/>
      <c r="AG189" s="480">
        <v>188</v>
      </c>
    </row>
    <row r="190" spans="1:34" ht="26.25" customHeight="1" x14ac:dyDescent="0.85">
      <c r="A190" s="578" t="s">
        <v>37</v>
      </c>
      <c r="B190" s="580" t="s">
        <v>347</v>
      </c>
      <c r="C190" s="655" t="s">
        <v>328</v>
      </c>
      <c r="D190" s="593" t="s">
        <v>0</v>
      </c>
      <c r="E190" s="592"/>
      <c r="F190" s="592" t="s">
        <v>1</v>
      </c>
      <c r="G190" s="592"/>
      <c r="H190" s="592" t="s">
        <v>2</v>
      </c>
      <c r="I190" s="592"/>
      <c r="J190" s="592" t="s">
        <v>3</v>
      </c>
      <c r="K190" s="592"/>
      <c r="L190" s="592" t="s">
        <v>4</v>
      </c>
      <c r="M190" s="592"/>
      <c r="N190" s="592" t="s">
        <v>5</v>
      </c>
      <c r="O190" s="592"/>
      <c r="P190" s="592" t="s">
        <v>6</v>
      </c>
      <c r="Q190" s="592"/>
      <c r="R190" s="592" t="s">
        <v>7</v>
      </c>
      <c r="S190" s="592"/>
      <c r="T190" s="592" t="s">
        <v>8</v>
      </c>
      <c r="U190" s="592"/>
      <c r="V190" s="592" t="s">
        <v>23</v>
      </c>
      <c r="W190" s="592"/>
      <c r="X190" s="592" t="s">
        <v>24</v>
      </c>
      <c r="Y190" s="592"/>
      <c r="Z190" s="592" t="s">
        <v>9</v>
      </c>
      <c r="AA190" s="592"/>
      <c r="AB190" s="638" t="s">
        <v>19</v>
      </c>
      <c r="AC190" s="626" t="s">
        <v>381</v>
      </c>
      <c r="AD190" s="573" t="s">
        <v>387</v>
      </c>
      <c r="AE190" s="572" t="s">
        <v>388</v>
      </c>
      <c r="AF190" s="619" t="s">
        <v>388</v>
      </c>
      <c r="AG190" s="480">
        <v>189</v>
      </c>
    </row>
    <row r="191" spans="1:34" ht="27" customHeight="1" thickBot="1" x14ac:dyDescent="0.9">
      <c r="A191" s="579"/>
      <c r="B191" s="581"/>
      <c r="C191" s="656"/>
      <c r="D191" s="116" t="s">
        <v>10</v>
      </c>
      <c r="E191" s="81" t="s">
        <v>11</v>
      </c>
      <c r="F191" s="81" t="s">
        <v>10</v>
      </c>
      <c r="G191" s="81" t="s">
        <v>11</v>
      </c>
      <c r="H191" s="81" t="s">
        <v>10</v>
      </c>
      <c r="I191" s="81" t="s">
        <v>11</v>
      </c>
      <c r="J191" s="81" t="s">
        <v>10</v>
      </c>
      <c r="K191" s="81" t="s">
        <v>11</v>
      </c>
      <c r="L191" s="81" t="s">
        <v>10</v>
      </c>
      <c r="M191" s="81" t="s">
        <v>11</v>
      </c>
      <c r="N191" s="81" t="s">
        <v>10</v>
      </c>
      <c r="O191" s="81" t="s">
        <v>11</v>
      </c>
      <c r="P191" s="81" t="s">
        <v>10</v>
      </c>
      <c r="Q191" s="81" t="s">
        <v>11</v>
      </c>
      <c r="R191" s="81" t="s">
        <v>10</v>
      </c>
      <c r="S191" s="81" t="s">
        <v>11</v>
      </c>
      <c r="T191" s="81" t="s">
        <v>10</v>
      </c>
      <c r="U191" s="81" t="s">
        <v>11</v>
      </c>
      <c r="V191" s="81" t="s">
        <v>10</v>
      </c>
      <c r="W191" s="81" t="s">
        <v>11</v>
      </c>
      <c r="X191" s="81" t="s">
        <v>10</v>
      </c>
      <c r="Y191" s="81" t="s">
        <v>11</v>
      </c>
      <c r="Z191" s="81" t="s">
        <v>10</v>
      </c>
      <c r="AA191" s="81" t="s">
        <v>11</v>
      </c>
      <c r="AB191" s="639"/>
      <c r="AC191" s="627"/>
      <c r="AD191" s="574"/>
      <c r="AE191" s="572"/>
      <c r="AF191" s="567"/>
      <c r="AG191" s="480">
        <v>190</v>
      </c>
    </row>
    <row r="192" spans="1:34" ht="31.2" customHeight="1" x14ac:dyDescent="0.85">
      <c r="A192" s="615" t="s">
        <v>115</v>
      </c>
      <c r="B192" s="303" t="s">
        <v>703</v>
      </c>
      <c r="C192" s="165" t="s">
        <v>369</v>
      </c>
      <c r="D192" s="126"/>
      <c r="E192" s="32"/>
      <c r="F192" s="32"/>
      <c r="G192" s="32"/>
      <c r="H192" s="32"/>
      <c r="I192" s="32"/>
      <c r="J192" s="32"/>
      <c r="K192" s="33"/>
      <c r="L192" s="32"/>
      <c r="M192" s="33"/>
      <c r="N192" s="32"/>
      <c r="O192" s="33"/>
      <c r="P192" s="32"/>
      <c r="Q192" s="33"/>
      <c r="R192" s="32"/>
      <c r="S192" s="33"/>
      <c r="T192" s="32"/>
      <c r="U192" s="33"/>
      <c r="V192" s="32"/>
      <c r="W192" s="33"/>
      <c r="X192" s="32"/>
      <c r="Y192" s="33"/>
      <c r="Z192" s="32"/>
      <c r="AA192" s="32"/>
      <c r="AB192" s="105">
        <f>SUM(D192:AA192)</f>
        <v>0</v>
      </c>
      <c r="AC192" s="102" t="str">
        <f>CONCATENATE(IF(D192&lt;SUM(D193,D194)," * Sum of (KP at ANC1 and initial test at ANC1) for Age "&amp;D20&amp;" "&amp;D21&amp;" is more than New 1st ANC Clients"&amp;CHAR(10),""),IF(E192&lt;SUM(E193,E194,E134)," * Sum of (KP at ANC1 and initial test at ANC1) for Age "&amp;D20&amp;" "&amp;E21&amp;" is more than New 1st ANC Clients"&amp;CHAR(10),""),IF(F192&lt;SUM(F193,F194)," * Sum of (KP at ANC1 and initial test at ANC1) for Age "&amp;F20&amp;" "&amp;F21&amp;" is more than New 1st ANC Clients"&amp;CHAR(10),""),IF(G192&lt;SUM(G193,G194,G134)," * Sum of (KP at ANC1 and initial test at ANC1) for Age "&amp;F20&amp;" "&amp;G21&amp;" is more than New 1st ANC Clients"&amp;CHAR(10),""),IF(H192&lt;SUM(H193,H194)," * Sum of (KP at ANC1 and initial test at ANC1) for Age "&amp;H20&amp;" "&amp;H21&amp;" is more than New 1st ANC Clients"&amp;CHAR(10),""),IF(I192&lt;SUM(I193,I194,I134)," * Sum of (KP at ANC1 and initial test at ANC1) for Age "&amp;H20&amp;" "&amp;I21&amp;" is more than New 1st ANC Clients"&amp;CHAR(10),""),IF(J192&lt;SUM(J193,J194)," * Sum of (KP at ANC1 and initial test at ANC1) for Age "&amp;J20&amp;" "&amp;J21&amp;" is more than New 1st ANC Clients"&amp;CHAR(10),""),IF(K192&lt;SUM(K193,K194,K134)," * Sum of (KP at ANC1 and initial test at ANC1) for Age "&amp;J20&amp;" "&amp;K21&amp;" is more than New 1st ANC Clients"&amp;CHAR(10),""),IF(L192&lt;SUM(L193,L194)," * Sum of (KP at ANC1 and initial test at ANC1) for Age "&amp;L20&amp;" "&amp;L21&amp;" is more than New 1st ANC Clients"&amp;CHAR(10),""),IF(M192&lt;SUM(M193,M194,M134)," * Sum of (KP at ANC1 and initial test at ANC1) for Age "&amp;L20&amp;" "&amp;M21&amp;" is more than New 1st ANC Clients"&amp;CHAR(10),""),IF(N192&lt;SUM(N193,N194)," * Sum of (KP at ANC1 and initial test at ANC1) for Age "&amp;N20&amp;" "&amp;N21&amp;" is more than New 1st ANC Clients"&amp;CHAR(10),""),IF(O192&lt;SUM(O193,O194,O134)," * Sum of (KP at ANC1 and initial test at ANC1) for Age "&amp;N20&amp;" "&amp;O21&amp;" is more than New 1st ANC Clients"&amp;CHAR(10),""),IF(P192&lt;SUM(P193,P194)," * Sum of (KP at ANC1 and initial test at ANC1) for Age "&amp;P20&amp;" "&amp;P21&amp;" is more than New 1st ANC Clients"&amp;CHAR(10),""),IF(Q192&lt;SUM(Q193,Q194,Q134)," * Sum of (KP at ANC1 and initial test at ANC1) for Age "&amp;P20&amp;" "&amp;Q21&amp;" is more than New 1st ANC Clients"&amp;CHAR(10),""),IF(R192&lt;SUM(R193,R194)," * Sum of (KP at ANC1 and initial test at ANC1) for Age "&amp;R20&amp;" "&amp;R21&amp;" is more than New 1st ANC Clients"&amp;CHAR(10),""),IF(S192&lt;SUM(S193,S194,S134)," * Sum of (KP at ANC1 and initial test at ANC1) for Age "&amp;R20&amp;" "&amp;S21&amp;" is more than New 1st ANC Clients"&amp;CHAR(10),""),IF(T192&lt;SUM(T193,T194)," * Sum of (KP at ANC1 and initial test at ANC1) for Age "&amp;T20&amp;" "&amp;T21&amp;" is more than New 1st ANC Clients"&amp;CHAR(10),""),IF(U192&lt;SUM(U193,U194,U134)," * Sum of (KP at ANC1 and initial test at ANC1) for Age "&amp;T20&amp;" "&amp;U21&amp;" is more than New 1st ANC Clients"&amp;CHAR(10),""),IF(V192&lt;SUM(V193,V194)," * Sum of (KP at ANC1 and initial test at ANC1) for Age "&amp;V20&amp;" "&amp;V21&amp;" is more than New 1st ANC Clients"&amp;CHAR(10),""),IF(W192&lt;SUM(W193,W194,W134)," * Sum of (KP at ANC1 and initial test at ANC1) for Age "&amp;V20&amp;" "&amp;W21&amp;" is more than New 1st ANC Clients"&amp;CHAR(10),""),IF(X192&lt;SUM(X193,X194)," * Sum of (KP at ANC1 and initial test at ANC1) for Age "&amp;X20&amp;" "&amp;X21&amp;" is more than New 1st ANC Clients"&amp;CHAR(10),""),IF(Y192&lt;SUM(Y193,Y194,Y134)," * Sum of (KP at ANC1 and initial test at ANC1) for Age "&amp;X20&amp;" "&amp;Y21&amp;" is more than New 1st ANC Clients"&amp;CHAR(10),""),IF(Z192&lt;SUM(Z193,Z194)," * Sum of (KP at ANC1 and initial test at ANC1) for Age "&amp;Z20&amp;" "&amp;Z21&amp;" is more than New 1st ANC Clients"&amp;CHAR(10),""),IF(AA192&lt;SUM(AA193,AA194,AA134)," * Sum of (KP at ANC1 and initial test at ANC1) for Age "&amp;Z20&amp;" "&amp;AA21&amp;" is more than New 1st ANC Clients"&amp;CHAR(10),""),IF(AB192&lt;SUM(AB193,AB194)," * Total Sum of (KP at ANC1 and initial test at ANC1) is more than New 1st ANC Clients"&amp;CHAR(10),""))</f>
        <v/>
      </c>
      <c r="AD192" s="760" t="str">
        <f>CONCATENATE(AC192,AC193,AC194,AC195,AC198,AC202,AC206,AC212,AC205,AC204,AC196,AC197,AC201,AC208,AC209,AC210,AC211)</f>
        <v/>
      </c>
      <c r="AE192" s="106"/>
      <c r="AF192" s="758" t="str">
        <f>CONCATENATE(AE192,AE193,AE194,AE195,AE198,AE199,AE202,AE203,AE206,AE207,AE212,AE213,AE196,AE197,AE200,AE201,AE204,AE205,AE208,AE209,AE210,AE211)</f>
        <v/>
      </c>
      <c r="AG192" s="480">
        <v>191</v>
      </c>
    </row>
    <row r="193" spans="1:34" ht="31.2" customHeight="1" x14ac:dyDescent="0.85">
      <c r="A193" s="598"/>
      <c r="B193" s="304" t="s">
        <v>704</v>
      </c>
      <c r="C193" s="166" t="s">
        <v>276</v>
      </c>
      <c r="D193" s="127"/>
      <c r="E193" s="18"/>
      <c r="F193" s="18"/>
      <c r="G193" s="18"/>
      <c r="H193" s="18"/>
      <c r="I193" s="18"/>
      <c r="J193" s="18"/>
      <c r="K193" s="201"/>
      <c r="L193" s="203"/>
      <c r="M193" s="201"/>
      <c r="N193" s="203"/>
      <c r="O193" s="201"/>
      <c r="P193" s="203"/>
      <c r="Q193" s="201"/>
      <c r="R193" s="203"/>
      <c r="S193" s="201"/>
      <c r="T193" s="203"/>
      <c r="U193" s="201"/>
      <c r="V193" s="203"/>
      <c r="W193" s="201"/>
      <c r="X193" s="203"/>
      <c r="Y193" s="201"/>
      <c r="Z193" s="18"/>
      <c r="AA193" s="18"/>
      <c r="AB193" s="59">
        <f t="shared" ref="AB193:AB221" si="100">SUM(D193:AA193)</f>
        <v>0</v>
      </c>
      <c r="AC193" s="85" t="str">
        <f>CONCATENATE(IF(D226&gt;D193," * ON HAART at 1st ANC for Age "&amp;D20&amp;" "&amp;D21&amp;" is more than KP at 1st ANC "&amp;CHAR(10),""),IF(E226&gt;E193," * ON HAART at 1st ANC for Age "&amp;D20&amp;" "&amp;E21&amp;" is more than KP at 1st ANC "&amp;CHAR(10),""),IF(F226&gt;F193," * ON HAART at 1st ANC for Age "&amp;F20&amp;" "&amp;F21&amp;" is more than KP at 1st ANC "&amp;CHAR(10),""),IF(G226&gt;G193," * ON HAART at 1st ANC for Age "&amp;F20&amp;" "&amp;G21&amp;" is more than KP at 1st ANC "&amp;CHAR(10),""),IF(H226&gt;H193," * ON HAART at 1st ANC for Age "&amp;H20&amp;" "&amp;H21&amp;" is more than KP at 1st ANC "&amp;CHAR(10),""),IF(I226&gt;I193," * ON HAART at 1st ANC for Age "&amp;H20&amp;" "&amp;I21&amp;" is more than KP at 1st ANC "&amp;CHAR(10),""),IF(J226&gt;J193," * ON HAART at 1st ANC for Age "&amp;J20&amp;" "&amp;J21&amp;" is more than KP at 1st ANC "&amp;CHAR(10),""),IF(K226&gt;K193," * ON HAART at 1st ANC for Age "&amp;J20&amp;" "&amp;K21&amp;" is more than KP at 1st ANC "&amp;CHAR(10),""),IF(L226&gt;L193," * ON HAART at 1st ANC for Age "&amp;L20&amp;" "&amp;L21&amp;" is more than KP at 1st ANC "&amp;CHAR(10),""),IF(M226&gt;M193," * ON HAART at 1st ANC for Age "&amp;L20&amp;" "&amp;M21&amp;" is more than KP at 1st ANC "&amp;CHAR(10),""),IF(N226&gt;N193," * ON HAART at 1st ANC for Age "&amp;N20&amp;" "&amp;N21&amp;" is more than KP at 1st ANC "&amp;CHAR(10),""),IF(O226&gt;O193," * ON HAART at 1st ANC for Age "&amp;N20&amp;" "&amp;O21&amp;" is more than KP at 1st ANC "&amp;CHAR(10),""),IF(P226&gt;P193," * ON HAART at 1st ANC for Age "&amp;P20&amp;" "&amp;P21&amp;" is more than KP at 1st ANC "&amp;CHAR(10),""),IF(Q226&gt;Q193," * ON HAART at 1st ANC for Age "&amp;P20&amp;" "&amp;Q21&amp;" is more than KP at 1st ANC "&amp;CHAR(10),""),IF(R226&gt;R193," * ON HAART at 1st ANC for Age "&amp;R20&amp;" "&amp;R21&amp;" is more than KP at 1st ANC "&amp;CHAR(10),""),IF(S226&gt;S193," * ON HAART at 1st ANC for Age "&amp;R20&amp;" "&amp;S21&amp;" is more than KP at 1st ANC "&amp;CHAR(10),""),IF(T226&gt;T193," * ON HAART at 1st ANC for Age "&amp;T20&amp;" "&amp;T21&amp;" is more than KP at 1st ANC "&amp;CHAR(10),""),IF(U226&gt;U193," * ON HAART at 1st ANC for Age "&amp;T20&amp;" "&amp;U21&amp;" is more than KP at 1st ANC "&amp;CHAR(10),""),IF(V226&gt;V193," * ON HAART at 1st ANC for Age "&amp;V20&amp;" "&amp;V21&amp;" is more than KP at 1st ANC "&amp;CHAR(10),""),IF(W226&gt;W193," * ON HAART at 1st ANC for Age "&amp;V20&amp;" "&amp;W21&amp;" is more than KP at 1st ANC "&amp;CHAR(10),""),IF(X226&gt;X193," * ON HAART at 1st ANC for Age "&amp;X20&amp;" "&amp;X21&amp;" is more than KP at 1st ANC "&amp;CHAR(10),""),IF(Y226&gt;Y193," * ON HAART at 1st ANC for Age "&amp;X20&amp;" "&amp;Y21&amp;" is more than KP at 1st ANC "&amp;CHAR(10),""),IF(Z226&gt;Z193," * ON HAART at 1st ANC for Age "&amp;Z20&amp;" "&amp;Z21&amp;" is more than KP at 1st ANC "&amp;CHAR(10),""),IF(AA226&gt;AA193," * ON HAART at 1st ANC for Age "&amp;Z20&amp;" "&amp;AA21&amp;" is more than KP at 1st ANC "&amp;CHAR(10),""))</f>
        <v/>
      </c>
      <c r="AD193" s="761"/>
      <c r="AE193" s="95" t="str">
        <f>CONCATENATE(IF(D192&gt;SUM(D193,D194)," * Sum of (KP at ANC1 and initial test at ANC1) for Age "&amp;D20&amp;" "&amp;D21&amp;" is less than New 1st ANC Clients"&amp;CHAR(10),""),IF(E192&gt;SUM(E193,E194,E134)," * Sum of (KP at ANC1 and initial test at ANC1) for Age "&amp;D20&amp;" "&amp;E21&amp;" is less than New 1st ANC Clients"&amp;CHAR(10),""),IF(F192&gt;SUM(F193,F194)," * Sum of (KP at ANC1 and initial test at ANC1) for Age "&amp;F20&amp;" "&amp;F21&amp;" is less than New 1st ANC Clients"&amp;CHAR(10),""),IF(G192&gt;SUM(G193,G194,G134)," * Sum of (KP at ANC1 and initial test at ANC1) for Age "&amp;F20&amp;" "&amp;G21&amp;" is less than New 1st ANC Clients"&amp;CHAR(10),""),IF(H192&gt;SUM(H193,H194)," * Sum of (KP at ANC1 and initial test at ANC1) for Age "&amp;H20&amp;" "&amp;H21&amp;" is less than New 1st ANC Clients"&amp;CHAR(10),""),IF(I192&gt;SUM(I193,I194,I134)," * Sum of (KP at ANC1 and initial test at ANC1) for Age "&amp;H20&amp;" "&amp;I21&amp;" is less than New 1st ANC Clients"&amp;CHAR(10),""),IF(J192&gt;SUM(J193,J194)," * Sum of (KP at ANC1 and initial test at ANC1) for Age "&amp;J20&amp;" "&amp;J21&amp;" is less than New 1st ANC Clients"&amp;CHAR(10),""),IF(K192&gt;SUM(K193,K194,K134)," * Sum of (KP at ANC1 and initial test at ANC1) for Age "&amp;J20&amp;" "&amp;K21&amp;" is less than New 1st ANC Clients"&amp;CHAR(10),""),IF(L192&gt;SUM(L193,L194)," * Sum of (KP at ANC1 and initial test at ANC1) for Age "&amp;L20&amp;" "&amp;L21&amp;" is less than New 1st ANC Clients"&amp;CHAR(10),""),IF(M192&gt;SUM(M193,M194,M134)," * Sum of (KP at ANC1 and initial test at ANC1) for Age "&amp;L20&amp;" "&amp;M21&amp;" is less than New 1st ANC Clients"&amp;CHAR(10),""),IF(N192&gt;SUM(N193,N194)," * Sum of (KP at ANC1 and initial test at ANC1) for Age "&amp;N20&amp;" "&amp;N21&amp;" is less than New 1st ANC Clients"&amp;CHAR(10),""),IF(O192&gt;SUM(O193,O194,O134)," * Sum of (KP at ANC1 and initial test at ANC1) for Age "&amp;N20&amp;" "&amp;O21&amp;" is less than New 1st ANC Clients"&amp;CHAR(10),""),IF(P192&gt;SUM(P193,P194)," * Sum of (KP at ANC1 and initial test at ANC1) for Age "&amp;P20&amp;" "&amp;P21&amp;" is less than New 1st ANC Clients"&amp;CHAR(10),""),IF(Q192&gt;SUM(Q193,Q194,Q134)," * Sum of (KP at ANC1 and initial test at ANC1) for Age "&amp;P20&amp;" "&amp;Q21&amp;" is less than New 1st ANC Clients"&amp;CHAR(10),""),IF(R192&gt;SUM(R193,R194)," * Sum of (KP at ANC1 and initial test at ANC1) for Age "&amp;R20&amp;" "&amp;R21&amp;" is less than New 1st ANC Clients"&amp;CHAR(10),""),IF(S192&gt;SUM(S193,S194,S134)," * Sum of (KP at ANC1 and initial test at ANC1) for Age "&amp;R20&amp;" "&amp;S21&amp;" is less than New 1st ANC Clients"&amp;CHAR(10),""),IF(T192&gt;SUM(T193,T194)," * Sum of (KP at ANC1 and initial test at ANC1) for Age "&amp;T20&amp;" "&amp;T21&amp;" is less than New 1st ANC Clients"&amp;CHAR(10),""),IF(U192&gt;SUM(U193,U194,U134)," * Sum of (KP at ANC1 and initial test at ANC1) for Age "&amp;T20&amp;" "&amp;U21&amp;" is less than New 1st ANC Clients"&amp;CHAR(10),""),IF(V192&gt;SUM(V193,V194)," * Sum of (KP at ANC1 and initial test at ANC1) for Age "&amp;V20&amp;" "&amp;V21&amp;" is less than New 1st ANC Clients"&amp;CHAR(10),""),IF(W192&gt;SUM(W193,W194,W134)," * Sum of (KP at ANC1 and initial test at ANC1) for Age "&amp;V20&amp;" "&amp;W21&amp;" is less than New 1st ANC Clients"&amp;CHAR(10),""),IF(X192&gt;SUM(X193,X194)," * Sum of (KP at ANC1 and initial test at ANC1) for Age "&amp;X20&amp;" "&amp;X21&amp;" is less than New 1st ANC Clients"&amp;CHAR(10),""),IF(Y192&gt;SUM(Y193,Y194,Y134)," * Sum of (KP at ANC1 and initial test at ANC1) for Age "&amp;X20&amp;" "&amp;Y21&amp;" is less than New 1st ANC Clients"&amp;CHAR(10),""),IF(Z192&gt;SUM(Z193,Z194)," * Sum of (KP at ANC1 and initial test at ANC1) for Age "&amp;Z20&amp;" "&amp;Z21&amp;" is less than New 1st ANC Clients"&amp;CHAR(10),""),IF(AA192&gt;SUM(AA193,AA194,AA134)," * Sum of (KP at ANC1 and initial test at ANC1) for Age "&amp;Z20&amp;" "&amp;AA21&amp;" is less than New 1st ANC Clients"&amp;CHAR(10),""))</f>
        <v/>
      </c>
      <c r="AF193" s="611"/>
      <c r="AG193" s="480">
        <v>192</v>
      </c>
    </row>
    <row r="194" spans="1:34" x14ac:dyDescent="0.85">
      <c r="A194" s="598"/>
      <c r="B194" s="305" t="s">
        <v>705</v>
      </c>
      <c r="C194" s="136" t="s">
        <v>277</v>
      </c>
      <c r="D194" s="127"/>
      <c r="E194" s="18"/>
      <c r="F194" s="18"/>
      <c r="G194" s="18"/>
      <c r="H194" s="18"/>
      <c r="I194" s="18"/>
      <c r="J194" s="18"/>
      <c r="K194" s="19"/>
      <c r="L194" s="18"/>
      <c r="M194" s="19"/>
      <c r="N194" s="18"/>
      <c r="O194" s="19"/>
      <c r="P194" s="18"/>
      <c r="Q194" s="19"/>
      <c r="R194" s="18"/>
      <c r="S194" s="19"/>
      <c r="T194" s="18"/>
      <c r="U194" s="19"/>
      <c r="V194" s="18"/>
      <c r="W194" s="19"/>
      <c r="X194" s="18"/>
      <c r="Y194" s="19"/>
      <c r="Z194" s="18"/>
      <c r="AA194" s="18"/>
      <c r="AB194" s="59">
        <f t="shared" si="100"/>
        <v>0</v>
      </c>
      <c r="AC194" s="85" t="str">
        <f>CONCATENATE(IF(D194&gt;D192," * F06-03 for Age "&amp;D20&amp;" "&amp;D21&amp;" is more than F06-01"&amp;CHAR(10),""),IF(E194&gt;E192," * F06-03 for Age "&amp;D20&amp;" "&amp;E21&amp;" is more than F06-01"&amp;CHAR(10),""),IF(F194&gt;F192," * F06-03 for Age "&amp;F20&amp;" "&amp;F21&amp;" is more than F06-01"&amp;CHAR(10),""),IF(G194&gt;G192," * F06-03 for Age "&amp;F20&amp;" "&amp;G21&amp;" is more than F06-01"&amp;CHAR(10),""),IF(H194&gt;H192," * F06-03 for Age "&amp;H20&amp;" "&amp;H21&amp;" is more than F06-01"&amp;CHAR(10),""),IF(I194&gt;I192," * F06-03 for Age "&amp;H20&amp;" "&amp;I21&amp;" is more than F06-01"&amp;CHAR(10),""),IF(J194&gt;J192," * F06-03 for Age "&amp;J20&amp;" "&amp;J21&amp;" is more than F06-01"&amp;CHAR(10),""),IF(K194&gt;K192," * F06-03 for Age "&amp;J20&amp;" "&amp;K21&amp;" is more than F06-01"&amp;CHAR(10),""),IF(L194&gt;L192," * F06-03 for Age "&amp;L20&amp;" "&amp;L21&amp;" is more than F06-01"&amp;CHAR(10),""),IF(M194&gt;M192," * F06-03 for Age "&amp;L20&amp;" "&amp;M21&amp;" is more than F06-01"&amp;CHAR(10),""),IF(N194&gt;N192," * F06-03 for Age "&amp;N20&amp;" "&amp;N21&amp;" is more than F06-01"&amp;CHAR(10),""),IF(O194&gt;O192," * F06-03 for Age "&amp;N20&amp;" "&amp;O21&amp;" is more than F06-01"&amp;CHAR(10),""),IF(P194&gt;P192," * F06-03 for Age "&amp;P20&amp;" "&amp;P21&amp;" is more than F06-01"&amp;CHAR(10),""),IF(Q194&gt;Q192," * F06-03 for Age "&amp;P20&amp;" "&amp;Q21&amp;" is more than F06-01"&amp;CHAR(10),""),IF(R194&gt;R192," * F06-03 for Age "&amp;R20&amp;" "&amp;R21&amp;" is more than F06-01"&amp;CHAR(10),""),IF(S194&gt;S192," * F06-03 for Age "&amp;R20&amp;" "&amp;S21&amp;" is more than F06-01"&amp;CHAR(10),""),IF(T194&gt;T192," * F06-03 for Age "&amp;T20&amp;" "&amp;T21&amp;" is more than F06-01"&amp;CHAR(10),""),IF(U194&gt;U192," * F06-03 for Age "&amp;T20&amp;" "&amp;U21&amp;" is more than F06-01"&amp;CHAR(10),""),IF(V194&gt;V192," * F06-03 for Age "&amp;V20&amp;" "&amp;V21&amp;" is more than F06-01"&amp;CHAR(10),""),IF(W194&gt;W192," * F06-03 for Age "&amp;V20&amp;" "&amp;W21&amp;" is more than F06-01"&amp;CHAR(10),""),IF(X194&gt;X192," * F06-03 for Age "&amp;X20&amp;" "&amp;X21&amp;" is more than F06-01"&amp;CHAR(10),""),IF(Y194&gt;Y192," * F06-03 for Age "&amp;X20&amp;" "&amp;Y21&amp;" is more than F06-01"&amp;CHAR(10),""),IF(Z194&gt;Z192," * F06-03 for Age "&amp;Z20&amp;" "&amp;Z21&amp;" is more than F06-01"&amp;CHAR(10),""),IF(AA194&gt;AA192," * F06-03 for Age "&amp;Z20&amp;" "&amp;AA21&amp;" is more than F06-01"&amp;CHAR(10),""),IF(AB194&gt;AB192," * Total F06-03 is more than Total F06-01"&amp;CHAR(10),""))</f>
        <v/>
      </c>
      <c r="AD194" s="761"/>
      <c r="AE194" s="83"/>
      <c r="AF194" s="611"/>
      <c r="AG194" s="480">
        <v>193</v>
      </c>
    </row>
    <row r="195" spans="1:34" ht="31.75" x14ac:dyDescent="0.85">
      <c r="A195" s="598"/>
      <c r="B195" s="329" t="s">
        <v>706</v>
      </c>
      <c r="C195" s="166" t="s">
        <v>370</v>
      </c>
      <c r="D195" s="127"/>
      <c r="E195" s="18"/>
      <c r="F195" s="18"/>
      <c r="G195" s="18"/>
      <c r="H195" s="18"/>
      <c r="I195" s="18"/>
      <c r="J195" s="18"/>
      <c r="K195" s="201"/>
      <c r="L195" s="18"/>
      <c r="M195" s="201"/>
      <c r="N195" s="18"/>
      <c r="O195" s="201"/>
      <c r="P195" s="18"/>
      <c r="Q195" s="201"/>
      <c r="R195" s="18"/>
      <c r="S195" s="201"/>
      <c r="T195" s="18"/>
      <c r="U195" s="201"/>
      <c r="V195" s="18"/>
      <c r="W195" s="201"/>
      <c r="X195" s="18"/>
      <c r="Y195" s="201"/>
      <c r="Z195" s="18"/>
      <c r="AA195" s="18"/>
      <c r="AB195" s="59">
        <f t="shared" si="100"/>
        <v>0</v>
      </c>
      <c r="AC195" s="85" t="str">
        <f>CONCATENATE(IF(D195&gt;D194," * New positive at ANC1 for Age "&amp;D20&amp;" "&amp;D21&amp;" is more than initial test at ANC1"&amp;CHAR(10),""),IF(E195&gt;E194," * New positive at ANC1 for Age "&amp;D20&amp;" "&amp;E21&amp;" is more than initial test at ANC1"&amp;CHAR(10),""),IF(F195&gt;F194," * New positive at ANC1 for Age "&amp;F20&amp;" "&amp;F21&amp;" is more than initial test at ANC1"&amp;CHAR(10),""),IF(G195&gt;G194," * New positive at ANC1 for Age "&amp;F20&amp;" "&amp;G21&amp;" is more than initial test at ANC1"&amp;CHAR(10),""),IF(H195&gt;H194," * New positive at ANC1 for Age "&amp;H20&amp;" "&amp;H21&amp;" is more than initial test at ANC1"&amp;CHAR(10),""),IF(I195&gt;I194," * New positive at ANC1 for Age "&amp;H20&amp;" "&amp;I21&amp;" is more than initial test at ANC1"&amp;CHAR(10),""),IF(J195&gt;J194," * New positive at ANC1 for Age "&amp;J20&amp;" "&amp;J21&amp;" is more than initial test at ANC1"&amp;CHAR(10),""),IF(K195&gt;K194," * New positive at ANC1 for Age "&amp;J20&amp;" "&amp;K21&amp;" is more than initial test at ANC1"&amp;CHAR(10),""),IF(L195&gt;L194," * New positive at ANC1 for Age "&amp;L20&amp;" "&amp;L21&amp;" is more than initial test at ANC1"&amp;CHAR(10),""),IF(M195&gt;M194," * New positive at ANC1 for Age "&amp;L20&amp;" "&amp;M21&amp;" is more than initial test at ANC1"&amp;CHAR(10),""),IF(N195&gt;N194," * New positive at ANC1 for Age "&amp;N20&amp;" "&amp;N21&amp;" is more than initial test at ANC1"&amp;CHAR(10),""),IF(O195&gt;O194," * New positive at ANC1 for Age "&amp;N20&amp;" "&amp;O21&amp;" is more than initial test at ANC1"&amp;CHAR(10),""),IF(P195&gt;P194," * New positive at ANC1 for Age "&amp;P20&amp;" "&amp;P21&amp;" is more than initial test at ANC1"&amp;CHAR(10),""),IF(Q195&gt;Q194," * New positive at ANC1 for Age "&amp;P20&amp;" "&amp;Q21&amp;" is more than initial test at ANC1"&amp;CHAR(10),""),IF(R195&gt;R194," * New positive at ANC1 for Age "&amp;R20&amp;" "&amp;R21&amp;" is more than initial test at ANC1"&amp;CHAR(10),""),IF(S195&gt;S194," * New positive at ANC1 for Age "&amp;R20&amp;" "&amp;S21&amp;" is more than initial test at ANC1"&amp;CHAR(10),""),IF(T195&gt;T194," * New positive at ANC1 for Age "&amp;T20&amp;" "&amp;T21&amp;" is more than initial test at ANC1"&amp;CHAR(10),""),IF(U195&gt;U194," * New positive at ANC1 for Age "&amp;T20&amp;" "&amp;U21&amp;" is more than initial test at ANC1"&amp;CHAR(10),""),IF(V195&gt;V194," * New positive at ANC1 for Age "&amp;V20&amp;" "&amp;V21&amp;" is more than initial test at ANC1"&amp;CHAR(10),""),IF(W195&gt;W194," * New positive at ANC1 for Age "&amp;V20&amp;" "&amp;W21&amp;" is more than initial test at ANC1"&amp;CHAR(10),""),IF(X195&gt;X194," * New positive at ANC1 for Age "&amp;X20&amp;" "&amp;X21&amp;" is more than initial test at ANC1"&amp;CHAR(10),""),IF(Y195&gt;Y194," * New positive at ANC1 for Age "&amp;X20&amp;" "&amp;Y21&amp;" is more than initial test at ANC1"&amp;CHAR(10),""),IF(Z195&gt;Z194," * New positive at ANC1 for Age "&amp;Z20&amp;" "&amp;Z21&amp;" is more than initial test at ANC1"&amp;CHAR(10),""),IF(AA195&gt;AA194," * New positive at ANC1 for Age "&amp;Z20&amp;" "&amp;AA21&amp;" is more than initial test at ANC1"&amp;CHAR(10),""),IF(AB195&gt;AB194," * Total New positive at ANC1 is more than Total initial test at ANC1"&amp;CHAR(10),""))</f>
        <v/>
      </c>
      <c r="AD195" s="761"/>
      <c r="AE195" s="83"/>
      <c r="AF195" s="611"/>
      <c r="AG195" s="480">
        <v>194</v>
      </c>
    </row>
    <row r="196" spans="1:34" ht="28.3" x14ac:dyDescent="0.85">
      <c r="A196" s="598"/>
      <c r="B196" s="486" t="s">
        <v>477</v>
      </c>
      <c r="C196" s="146" t="s">
        <v>481</v>
      </c>
      <c r="D196" s="127"/>
      <c r="E196" s="18"/>
      <c r="F196" s="18"/>
      <c r="G196" s="18"/>
      <c r="H196" s="18"/>
      <c r="I196" s="18"/>
      <c r="J196" s="18"/>
      <c r="K196" s="27">
        <f>K194+K193</f>
        <v>0</v>
      </c>
      <c r="L196" s="18"/>
      <c r="M196" s="27">
        <f>M194+M193</f>
        <v>0</v>
      </c>
      <c r="N196" s="18"/>
      <c r="O196" s="27">
        <f>O194+O193</f>
        <v>0</v>
      </c>
      <c r="P196" s="18"/>
      <c r="Q196" s="27">
        <f>Q194+Q193</f>
        <v>0</v>
      </c>
      <c r="R196" s="18"/>
      <c r="S196" s="27">
        <f>S194+S193</f>
        <v>0</v>
      </c>
      <c r="T196" s="18"/>
      <c r="U196" s="27">
        <f>U194+U193</f>
        <v>0</v>
      </c>
      <c r="V196" s="18"/>
      <c r="W196" s="27">
        <f>W194+W193</f>
        <v>0</v>
      </c>
      <c r="X196" s="18"/>
      <c r="Y196" s="27">
        <f>Y194+Y193</f>
        <v>0</v>
      </c>
      <c r="Z196" s="18"/>
      <c r="AA196" s="18"/>
      <c r="AB196" s="59">
        <f t="shared" si="100"/>
        <v>0</v>
      </c>
      <c r="AC196" s="85"/>
      <c r="AD196" s="761"/>
      <c r="AE196" s="83"/>
      <c r="AF196" s="611"/>
      <c r="AG196" s="480">
        <v>195</v>
      </c>
    </row>
    <row r="197" spans="1:34" ht="28.75" thickBot="1" x14ac:dyDescent="0.9">
      <c r="A197" s="599"/>
      <c r="B197" s="487" t="s">
        <v>482</v>
      </c>
      <c r="C197" s="147" t="s">
        <v>498</v>
      </c>
      <c r="D197" s="143"/>
      <c r="E197" s="38"/>
      <c r="F197" s="38"/>
      <c r="G197" s="38"/>
      <c r="H197" s="38"/>
      <c r="I197" s="38"/>
      <c r="J197" s="38"/>
      <c r="K197" s="60">
        <f>K195+K193</f>
        <v>0</v>
      </c>
      <c r="L197" s="38"/>
      <c r="M197" s="60">
        <f>M195+M193</f>
        <v>0</v>
      </c>
      <c r="N197" s="38"/>
      <c r="O197" s="60">
        <f>O195+O193</f>
        <v>0</v>
      </c>
      <c r="P197" s="38"/>
      <c r="Q197" s="60">
        <f>Q195+Q193</f>
        <v>0</v>
      </c>
      <c r="R197" s="38"/>
      <c r="S197" s="60">
        <f>S195+S193</f>
        <v>0</v>
      </c>
      <c r="T197" s="38"/>
      <c r="U197" s="60">
        <f>U195+U193</f>
        <v>0</v>
      </c>
      <c r="V197" s="38"/>
      <c r="W197" s="60">
        <f>W195+W193</f>
        <v>0</v>
      </c>
      <c r="X197" s="38"/>
      <c r="Y197" s="60">
        <f>Y195+Y193</f>
        <v>0</v>
      </c>
      <c r="Z197" s="38"/>
      <c r="AA197" s="38"/>
      <c r="AB197" s="61">
        <f t="shared" si="100"/>
        <v>0</v>
      </c>
      <c r="AC197" s="85"/>
      <c r="AD197" s="761"/>
      <c r="AE197" s="83"/>
      <c r="AF197" s="611"/>
      <c r="AG197" s="480">
        <v>196</v>
      </c>
    </row>
    <row r="198" spans="1:34" x14ac:dyDescent="1.05">
      <c r="A198" s="555" t="s">
        <v>1034</v>
      </c>
      <c r="B198" s="306" t="s">
        <v>707</v>
      </c>
      <c r="C198" s="164" t="s">
        <v>282</v>
      </c>
      <c r="D198" s="141"/>
      <c r="E198" s="34"/>
      <c r="F198" s="34"/>
      <c r="G198" s="34"/>
      <c r="H198" s="34"/>
      <c r="I198" s="34"/>
      <c r="J198" s="34"/>
      <c r="K198" s="35"/>
      <c r="L198" s="34"/>
      <c r="M198" s="35"/>
      <c r="N198" s="34"/>
      <c r="O198" s="35"/>
      <c r="P198" s="34"/>
      <c r="Q198" s="35"/>
      <c r="R198" s="34"/>
      <c r="S198" s="35"/>
      <c r="T198" s="34"/>
      <c r="U198" s="35"/>
      <c r="V198" s="34"/>
      <c r="W198" s="35"/>
      <c r="X198" s="34"/>
      <c r="Y198" s="35"/>
      <c r="Z198" s="34"/>
      <c r="AA198" s="34"/>
      <c r="AB198" s="62">
        <f t="shared" si="100"/>
        <v>0</v>
      </c>
      <c r="AC198" s="623" t="str">
        <f>CONCATENATE(IF(D199&gt;D198," * Initial positive results at ANC 2 and above for Age "&amp;D20&amp;" "&amp;D21&amp;" is more than Initial test at ANC 2 and above"&amp;CHAR(10),""),IF(E199&gt;E198," * Initial positive results at ANC 2 and above for Age "&amp;D20&amp;" "&amp;E21&amp;" is more than Initial test at ANC 2 and above"&amp;CHAR(10),""),IF(F199&gt;F198," * Initial positive results at ANC 2 and above for Age "&amp;F20&amp;" "&amp;F21&amp;" is more than Initial test at ANC 2 and above"&amp;CHAR(10),""),IF(G199&gt;G198," * Initial positive results at ANC 2 and above for Age "&amp;F20&amp;" "&amp;G21&amp;" is more than Initial test at ANC 2 and above"&amp;CHAR(10),""),IF(H199&gt;H198," * Initial positive results at ANC 2 and above for Age "&amp;H20&amp;" "&amp;H21&amp;" is more than Initial test at ANC 2 and above"&amp;CHAR(10),""),IF(I199&gt;I198," * Initial positive results at ANC 2 and above for Age "&amp;H20&amp;" "&amp;I21&amp;" is more than Initial test at ANC 2 and above"&amp;CHAR(10),""),IF(J199&gt;J198," * Initial positive results at ANC 2 and above for Age "&amp;J20&amp;" "&amp;J21&amp;" is more than Initial test at ANC 2 and above"&amp;CHAR(10),""),IF(K199&gt;K198," * Initial positive results at ANC 2 and above for Age "&amp;J20&amp;" "&amp;K21&amp;" is more than Initial test at ANC 2 and above"&amp;CHAR(10),""),IF(L199&gt;L198," * Initial positive results at ANC 2 and above for Age "&amp;L20&amp;" "&amp;L21&amp;" is more than Initial test at ANC 2 and above"&amp;CHAR(10),""),IF(M199&gt;M198," * Initial positive results at ANC 2 and above for Age "&amp;L20&amp;" "&amp;M21&amp;" is more than Initial test at ANC 2 and above"&amp;CHAR(10),""),IF(N199&gt;N198," * Initial positive results at ANC 2 and above for Age "&amp;N20&amp;" "&amp;N21&amp;" is more than Initial test at ANC 2 and above"&amp;CHAR(10),""),IF(O199&gt;O198," * Initial positive results at ANC 2 and above for Age "&amp;N20&amp;" "&amp;O21&amp;" is more than Initial test at ANC 2 and above"&amp;CHAR(10),""),IF(P199&gt;P198," * Initial positive results at ANC 2 and above for Age "&amp;P20&amp;" "&amp;P21&amp;" is more than Initial test at ANC 2 and above"&amp;CHAR(10),""),IF(Q199&gt;Q198," * Initial positive results at ANC 2 and above for Age "&amp;P20&amp;" "&amp;Q21&amp;" is more than Initial test at ANC 2 and above"&amp;CHAR(10),""),IF(R199&gt;R198," * Initial positive results at ANC 2 and above for Age "&amp;R20&amp;" "&amp;R21&amp;" is more than Initial test at ANC 2 and above"&amp;CHAR(10),""),IF(S199&gt;S198," * Initial positive results at ANC 2 and above for Age "&amp;R20&amp;" "&amp;S21&amp;" is more than Initial test at ANC 2 and above"&amp;CHAR(10),""),IF(T199&gt;T198," * Initial positive results at ANC 2 and above for Age "&amp;T20&amp;" "&amp;T21&amp;" is more than Initial test at ANC 2 and above"&amp;CHAR(10),""),IF(U199&gt;U198," * Initial positive results at ANC 2 and above for Age "&amp;T20&amp;" "&amp;U21&amp;" is more than Initial test at ANC 2 and above"&amp;CHAR(10),""),IF(V199&gt;V198," * Initial positive results at ANC 2 and above for Age "&amp;V20&amp;" "&amp;V21&amp;" is more than Initial test at ANC 2 and above"&amp;CHAR(10),""),IF(W199&gt;W198," * Initial positive results at ANC 2 and above for Age "&amp;V20&amp;" "&amp;W21&amp;" is more than Initial test at ANC 2 and above"&amp;CHAR(10),""),IF(X199&gt;X198," * Initial positive results at ANC 2 and above for Age "&amp;X20&amp;" "&amp;X21&amp;" is more than Initial test at ANC 2 and above"&amp;CHAR(10),""),IF(Y199&gt;Y198," * Initial positive results at ANC 2 and above for Age "&amp;X20&amp;" "&amp;Y21&amp;" is more than Initial test at ANC 2 and above"&amp;CHAR(10),""),IF(Z199&gt;Z198," * Initial positive results at ANC 2 and above for Age "&amp;Z20&amp;" "&amp;Z21&amp;" is more than Initial test at ANC 2 and above"&amp;CHAR(10),""),IF(AA199&gt;AA198," * Initial positive results at ANC 2 and above for Age "&amp;Z20&amp;" "&amp;AA21&amp;" is more than Initial test at ANC 2 and above"&amp;CHAR(10),""))</f>
        <v/>
      </c>
      <c r="AD198" s="761"/>
      <c r="AE198" s="83"/>
      <c r="AF198" s="611"/>
      <c r="AG198" s="480">
        <v>197</v>
      </c>
    </row>
    <row r="199" spans="1:34" ht="31.75" x14ac:dyDescent="0.85">
      <c r="A199" s="556"/>
      <c r="B199" s="330" t="s">
        <v>479</v>
      </c>
      <c r="C199" s="166" t="s">
        <v>283</v>
      </c>
      <c r="D199" s="127"/>
      <c r="E199" s="18"/>
      <c r="F199" s="18"/>
      <c r="G199" s="18"/>
      <c r="H199" s="18"/>
      <c r="I199" s="18"/>
      <c r="J199" s="18"/>
      <c r="K199" s="200"/>
      <c r="L199" s="202"/>
      <c r="M199" s="200"/>
      <c r="N199" s="202"/>
      <c r="O199" s="200"/>
      <c r="P199" s="202"/>
      <c r="Q199" s="200"/>
      <c r="R199" s="202"/>
      <c r="S199" s="200"/>
      <c r="T199" s="202"/>
      <c r="U199" s="200"/>
      <c r="V199" s="202"/>
      <c r="W199" s="200"/>
      <c r="X199" s="202"/>
      <c r="Y199" s="200"/>
      <c r="Z199" s="18"/>
      <c r="AA199" s="18"/>
      <c r="AB199" s="59">
        <f t="shared" si="100"/>
        <v>0</v>
      </c>
      <c r="AC199" s="623"/>
      <c r="AD199" s="761"/>
      <c r="AE199" s="83"/>
      <c r="AF199" s="611"/>
      <c r="AG199" s="480">
        <v>198</v>
      </c>
    </row>
    <row r="200" spans="1:34" ht="31.2" customHeight="1" x14ac:dyDescent="0.85">
      <c r="A200" s="556"/>
      <c r="B200" s="305" t="s">
        <v>484</v>
      </c>
      <c r="C200" s="146" t="s">
        <v>486</v>
      </c>
      <c r="D200" s="127"/>
      <c r="E200" s="18"/>
      <c r="F200" s="18"/>
      <c r="G200" s="18"/>
      <c r="H200" s="18"/>
      <c r="I200" s="18"/>
      <c r="J200" s="18"/>
      <c r="K200" s="19"/>
      <c r="L200" s="18"/>
      <c r="M200" s="19"/>
      <c r="N200" s="18"/>
      <c r="O200" s="19"/>
      <c r="P200" s="18"/>
      <c r="Q200" s="19"/>
      <c r="R200" s="18"/>
      <c r="S200" s="19"/>
      <c r="T200" s="18"/>
      <c r="U200" s="19"/>
      <c r="V200" s="18"/>
      <c r="W200" s="19"/>
      <c r="X200" s="18"/>
      <c r="Y200" s="19"/>
      <c r="Z200" s="18"/>
      <c r="AA200" s="18"/>
      <c r="AB200" s="59">
        <f t="shared" si="100"/>
        <v>0</v>
      </c>
      <c r="AC200" s="82" t="str">
        <f>CONCATENATE(IF(D201&gt;D200," * Retesting at ANC 2 and above For age "&amp;$D$20&amp;" "&amp;$D$21&amp;" is less than  than Retesting positive result at ANC 2 and above"&amp;CHAR(10),""),IF(E201&gt;E200," * Retesting at ANC 2 and above For age "&amp;$D$20&amp;" "&amp;$E$21&amp;" is less than  than Retesting positive result at ANC 2 and above"&amp;CHAR(10),""),IF(F201&gt;F200," * Retesting at ANC 2 and above For age "&amp;$F$20&amp;" "&amp;$F$21&amp;" is less than  than Retesting positive result at ANC 2 and above"&amp;CHAR(10),""),IF(G201&gt;G200," * Retesting at ANC 2 and above For age "&amp;$F$20&amp;" "&amp;$G$21&amp;" is less than  than Retesting positive result at ANC 2 and above"&amp;CHAR(10),""),IF(H201&gt;H200," * Retesting at ANC 2 and above For age "&amp;$H$20&amp;" "&amp;$H$21&amp;" is less than  than Retesting positive result at ANC 2 and above"&amp;CHAR(10),""),IF(I201&gt;I200," * Retesting at ANC 2 and above For age "&amp;$H$20&amp;" "&amp;$I$21&amp;" is less than  than Retesting positive result at ANC 2 and above"&amp;CHAR(10),""),IF(J201&gt;J200," * Retesting at ANC 2 and above For age "&amp;$J$20&amp;" "&amp;$J$21&amp;" is less than  than Retesting positive result at ANC 2 and above"&amp;CHAR(10),""),IF(K201&gt;K200," * Retesting at ANC 2 and above For age "&amp;$J$20&amp;" "&amp;$K$21&amp;" is less than  than Retesting positive result at ANC 2 and above"&amp;CHAR(10),""),IF(L201&gt;L200," * Retesting at ANC 2 and above For age "&amp;$L$20&amp;" "&amp;$L$21&amp;" is less than  than Retesting positive result at ANC 2 and above"&amp;CHAR(10),""),IF(M201&gt;M200," * Retesting at ANC 2 and above For age "&amp;$L$20&amp;" "&amp;$M$21&amp;" is less than  than Retesting positive result at ANC 2 and above"&amp;CHAR(10),""),IF(N201&gt;N200," * Retesting at ANC 2 and above For age "&amp;$N$20&amp;" "&amp;$N$21&amp;" is less than  than Retesting positive result at ANC 2 and above"&amp;CHAR(10),""),IF(O201&gt;O200," * Retesting at ANC 2 and above For age "&amp;$N$20&amp;" "&amp;$O$21&amp;" is less than  than Retesting positive result at ANC 2 and above"&amp;CHAR(10),""),IF(P201&gt;P200," * Retesting at ANC 2 and above For age "&amp;$P$20&amp;" "&amp;$P$21&amp;" is less than  than Retesting positive result at ANC 2 and above"&amp;CHAR(10),""),IF(Q201&gt;Q200," * Retesting at ANC 2 and above For age "&amp;$P$20&amp;" "&amp;$Q$21&amp;" is less than  than Retesting positive result at ANC 2 and above"&amp;CHAR(10),""),IF(R201&gt;R200," * Retesting at ANC 2 and above For age "&amp;$R$20&amp;" "&amp;$R$21&amp;" is less than  than Retesting positive result at ANC 2 and above"&amp;CHAR(10),""),IF(S201&gt;S200," * Retesting at ANC 2 and above For age "&amp;$R$20&amp;" "&amp;$S$21&amp;" is less than  than Retesting positive result at ANC 2 and above"&amp;CHAR(10),""),IF(T201&gt;T200," * Retesting at ANC 2 and above For age "&amp;$T$20&amp;" "&amp;$T$21&amp;" is less than  than Retesting positive result at ANC 2 and above"&amp;CHAR(10),""),IF(U201&gt;U200," * Retesting at ANC 2 and above For age "&amp;$T$20&amp;" "&amp;$U$21&amp;" is less than  than Retesting positive result at ANC 2 and above"&amp;CHAR(10),""),IF(V201&gt;V200," * Retesting at ANC 2 and above For age "&amp;$V$20&amp;" "&amp;$V$21&amp;" is less than  than Retesting positive result at ANC 2 and above"&amp;CHAR(10),""),IF(W201&gt;W200," * Retesting at ANC 2 and above For age "&amp;$V$20&amp;" "&amp;$W$21&amp;" is less than  than Retesting positive result at ANC 2 and above"&amp;CHAR(10),""),IF(X201&gt;X200," * Retesting at ANC 2 and above For age "&amp;$X$20&amp;" "&amp;$X$21&amp;" is less than  than Retesting positive result at ANC 2 and above"&amp;CHAR(10),""),IF(Y201&gt;Y200," * Retesting at ANC 2 and above For age "&amp;$X$20&amp;" "&amp;$Y$21&amp;" is less than  than Retesting positive result at ANC 2 and above"&amp;CHAR(10),""),IF(Z201&gt;Z200," * Retesting at ANC 2 and above For age "&amp;$Z$20&amp;" "&amp;$Z$21&amp;" is less than  than Retesting positive result at ANC 2 and above"&amp;CHAR(10),""),IF(AA201&gt;AA200," * Retesting at ANC 2 and above For age "&amp;$Z$20&amp;" "&amp;$AA$21&amp;" is less than  than Retesting positive result at ANC 2 and above"&amp;CHAR(10),""))</f>
        <v/>
      </c>
      <c r="AD200" s="761"/>
      <c r="AE200" s="83"/>
      <c r="AF200" s="611"/>
      <c r="AG200" s="480">
        <v>199</v>
      </c>
    </row>
    <row r="201" spans="1:34" ht="32.15" thickBot="1" x14ac:dyDescent="0.9">
      <c r="A201" s="557"/>
      <c r="B201" s="331" t="s">
        <v>485</v>
      </c>
      <c r="C201" s="147" t="s">
        <v>487</v>
      </c>
      <c r="D201" s="143"/>
      <c r="E201" s="38"/>
      <c r="F201" s="38"/>
      <c r="G201" s="38"/>
      <c r="H201" s="38"/>
      <c r="I201" s="38"/>
      <c r="J201" s="206"/>
      <c r="K201" s="207"/>
      <c r="L201" s="206"/>
      <c r="M201" s="207"/>
      <c r="N201" s="206"/>
      <c r="O201" s="207"/>
      <c r="P201" s="206"/>
      <c r="Q201" s="207"/>
      <c r="R201" s="206"/>
      <c r="S201" s="207"/>
      <c r="T201" s="206"/>
      <c r="U201" s="207"/>
      <c r="V201" s="206"/>
      <c r="W201" s="207"/>
      <c r="X201" s="206"/>
      <c r="Y201" s="207"/>
      <c r="Z201" s="38"/>
      <c r="AA201" s="38"/>
      <c r="AB201" s="61">
        <f t="shared" si="100"/>
        <v>0</v>
      </c>
      <c r="AC201" s="94"/>
      <c r="AD201" s="761"/>
      <c r="AE201" s="83"/>
      <c r="AF201" s="611"/>
      <c r="AG201" s="480">
        <v>200</v>
      </c>
    </row>
    <row r="202" spans="1:34" x14ac:dyDescent="0.85">
      <c r="A202" s="594" t="s">
        <v>488</v>
      </c>
      <c r="B202" s="308" t="s">
        <v>708</v>
      </c>
      <c r="C202" s="134" t="s">
        <v>371</v>
      </c>
      <c r="D202" s="141"/>
      <c r="E202" s="34"/>
      <c r="F202" s="34"/>
      <c r="G202" s="34"/>
      <c r="H202" s="34"/>
      <c r="I202" s="34"/>
      <c r="J202" s="34"/>
      <c r="K202" s="35"/>
      <c r="L202" s="34"/>
      <c r="M202" s="35"/>
      <c r="N202" s="34"/>
      <c r="O202" s="35"/>
      <c r="P202" s="34"/>
      <c r="Q202" s="35"/>
      <c r="R202" s="34"/>
      <c r="S202" s="35"/>
      <c r="T202" s="34"/>
      <c r="U202" s="35"/>
      <c r="V202" s="34"/>
      <c r="W202" s="35"/>
      <c r="X202" s="34"/>
      <c r="Y202" s="35"/>
      <c r="Z202" s="34"/>
      <c r="AA202" s="34"/>
      <c r="AB202" s="62">
        <f t="shared" si="100"/>
        <v>0</v>
      </c>
      <c r="AC202" s="623" t="str">
        <f>CONCATENATE(IF(D203&gt;D202," * F06-08 for Age "&amp;D20&amp;" "&amp;D21&amp;" is more than F06-07"&amp;CHAR(10),""),IF(E203&gt;E202," * F06-08 for Age "&amp;D20&amp;" "&amp;E21&amp;" is more than F06-07"&amp;CHAR(10),""),IF(F203&gt;F202," * F06-08 for Age "&amp;F20&amp;" "&amp;F21&amp;" is more than F06-07"&amp;CHAR(10),""),IF(G203&gt;G202," * F06-08 for Age "&amp;F20&amp;" "&amp;G21&amp;" is more than F06-07"&amp;CHAR(10),""),IF(H203&gt;H202," * F06-08 for Age "&amp;H20&amp;" "&amp;H21&amp;" is more than F06-07"&amp;CHAR(10),""),IF(I203&gt;I202," * F06-08 for Age "&amp;H20&amp;" "&amp;I21&amp;" is more than F06-07"&amp;CHAR(10),""),IF(J203&gt;J202," * F06-08 for Age "&amp;J20&amp;" "&amp;J21&amp;" is more than F06-07"&amp;CHAR(10),""),IF(K203&gt;K202," * F06-08 for Age "&amp;J20&amp;" "&amp;K21&amp;" is more than F06-07"&amp;CHAR(10),""),IF(L203&gt;L202," * F06-08 for Age "&amp;L20&amp;" "&amp;L21&amp;" is more than F06-07"&amp;CHAR(10),""),IF(M203&gt;M202," * F06-08 for Age "&amp;L20&amp;" "&amp;M21&amp;" is more than F06-07"&amp;CHAR(10),""),IF(N203&gt;N202," * F06-08 for Age "&amp;N20&amp;" "&amp;N21&amp;" is more than F06-07"&amp;CHAR(10),""),IF(O203&gt;O202," * F06-08 for Age "&amp;N20&amp;" "&amp;O21&amp;" is more than F06-07"&amp;CHAR(10),""),IF(P203&gt;P202," * F06-08 for Age "&amp;P20&amp;" "&amp;P21&amp;" is more than F06-07"&amp;CHAR(10),""),IF(Q203&gt;Q202," * F06-08 for Age "&amp;P20&amp;" "&amp;Q21&amp;" is more than F06-07"&amp;CHAR(10),""),IF(R203&gt;R202," * F06-08 for Age "&amp;R20&amp;" "&amp;R21&amp;" is more than F06-07"&amp;CHAR(10),""),IF(S203&gt;S202," * F06-08 for Age "&amp;R20&amp;" "&amp;S21&amp;" is more than F06-07"&amp;CHAR(10),""),IF(T203&gt;T202," * F06-08 for Age "&amp;T20&amp;" "&amp;T21&amp;" is more than F06-07"&amp;CHAR(10),""),IF(U203&gt;U202," * F06-08 for Age "&amp;T20&amp;" "&amp;U21&amp;" is more than F06-07"&amp;CHAR(10),""),IF(V203&gt;V202," * F06-08 for Age "&amp;V20&amp;" "&amp;V21&amp;" is more than F06-07"&amp;CHAR(10),""),IF(W203&gt;W202," * F06-08 for Age "&amp;V20&amp;" "&amp;W21&amp;" is more than F06-07"&amp;CHAR(10),""),IF(X203&gt;X202," * F06-08 for Age "&amp;X20&amp;" "&amp;X21&amp;" is more than F06-07"&amp;CHAR(10),""),IF(Y203&gt;Y202," * F06-08 for Age "&amp;X20&amp;" "&amp;Y21&amp;" is more than F06-07"&amp;CHAR(10),""),IF(Z203&gt;Z202," * F06-08 for Age "&amp;Z20&amp;" "&amp;Z21&amp;" is more than F06-07"&amp;CHAR(10),""),IF(AA203&gt;AA202," * F06-08 for Age "&amp;Z20&amp;" "&amp;AA21&amp;" is more than F06-07"&amp;CHAR(10),""),IF(AB203&gt;AB202," * Total F06-08 is more than Total F06-07"&amp;CHAR(10),""))</f>
        <v/>
      </c>
      <c r="AD202" s="761"/>
      <c r="AE202" s="83"/>
      <c r="AF202" s="611"/>
      <c r="AG202" s="480">
        <v>201</v>
      </c>
    </row>
    <row r="203" spans="1:34" ht="31.75" x14ac:dyDescent="0.85">
      <c r="A203" s="595"/>
      <c r="B203" s="330" t="s">
        <v>709</v>
      </c>
      <c r="C203" s="166" t="s">
        <v>372</v>
      </c>
      <c r="D203" s="127"/>
      <c r="E203" s="18"/>
      <c r="F203" s="18"/>
      <c r="G203" s="18"/>
      <c r="H203" s="18"/>
      <c r="I203" s="18"/>
      <c r="J203" s="18"/>
      <c r="K203" s="201"/>
      <c r="L203" s="203"/>
      <c r="M203" s="201"/>
      <c r="N203" s="203"/>
      <c r="O203" s="201"/>
      <c r="P203" s="203"/>
      <c r="Q203" s="201"/>
      <c r="R203" s="203"/>
      <c r="S203" s="201"/>
      <c r="T203" s="203"/>
      <c r="U203" s="201"/>
      <c r="V203" s="203"/>
      <c r="W203" s="201"/>
      <c r="X203" s="203"/>
      <c r="Y203" s="201"/>
      <c r="Z203" s="203"/>
      <c r="AA203" s="18"/>
      <c r="AB203" s="59">
        <f t="shared" si="100"/>
        <v>0</v>
      </c>
      <c r="AC203" s="623"/>
      <c r="AD203" s="761"/>
      <c r="AE203" s="83"/>
      <c r="AF203" s="611"/>
      <c r="AG203" s="480">
        <v>202</v>
      </c>
    </row>
    <row r="204" spans="1:34" x14ac:dyDescent="0.85">
      <c r="A204" s="595"/>
      <c r="B204" s="305" t="s">
        <v>710</v>
      </c>
      <c r="C204" s="146" t="s">
        <v>652</v>
      </c>
      <c r="D204" s="127"/>
      <c r="E204" s="18"/>
      <c r="F204" s="18"/>
      <c r="G204" s="18"/>
      <c r="H204" s="18"/>
      <c r="I204" s="18"/>
      <c r="J204" s="18"/>
      <c r="K204" s="19"/>
      <c r="L204" s="18"/>
      <c r="M204" s="19"/>
      <c r="N204" s="18"/>
      <c r="O204" s="19"/>
      <c r="P204" s="18"/>
      <c r="Q204" s="19"/>
      <c r="R204" s="18"/>
      <c r="S204" s="19"/>
      <c r="T204" s="18"/>
      <c r="U204" s="19"/>
      <c r="V204" s="18"/>
      <c r="W204" s="19"/>
      <c r="X204" s="18"/>
      <c r="Y204" s="19"/>
      <c r="Z204" s="18"/>
      <c r="AA204" s="18"/>
      <c r="AB204" s="250">
        <f t="shared" si="100"/>
        <v>0</v>
      </c>
      <c r="AC204" s="82" t="str">
        <f>CONCATENATE(IF(D205&gt;D204," * Retesting at L&amp;D For age "&amp;$D$20&amp;" "&amp;$D$21&amp;" is less than  than Retesting positive result at L&amp;D"&amp;CHAR(10),""),IF(E205&gt;E204," * Retesting at L&amp;D For age "&amp;$D$20&amp;" "&amp;$E$21&amp;" is less than  than Retesting positive result at L&amp;D"&amp;CHAR(10),""),IF(F205&gt;F204," * Retesting at L&amp;D For age "&amp;$F$20&amp;" "&amp;$F$21&amp;" is less than  than Retesting positive result at L&amp;D"&amp;CHAR(10),""),IF(G205&gt;G204," * Retesting at L&amp;D For age "&amp;$F$20&amp;" "&amp;$G$21&amp;" is less than  than Retesting positive result at L&amp;D"&amp;CHAR(10),""),IF(H205&gt;H204," * Retesting at L&amp;D For age "&amp;$H$20&amp;" "&amp;$H$21&amp;" is less than  than Retesting positive result at L&amp;D"&amp;CHAR(10),""),IF(I205&gt;I204," * Retesting at L&amp;D For age "&amp;$H$20&amp;" "&amp;$I$21&amp;" is less than  than Retesting positive result at L&amp;D"&amp;CHAR(10),""),IF(J205&gt;J204," * Retesting at L&amp;D For age "&amp;$J$20&amp;" "&amp;$J$21&amp;" is less than  than Retesting positive result at L&amp;D"&amp;CHAR(10),""),IF(K205&gt;K204," * Retesting at L&amp;D For age "&amp;$J$20&amp;" "&amp;$K$21&amp;" is less than  than Retesting positive result at L&amp;D"&amp;CHAR(10),""),IF(L205&gt;L204," * Retesting at L&amp;D For age "&amp;$L$20&amp;" "&amp;$L$21&amp;" is less than  than Retesting positive result at L&amp;D"&amp;CHAR(10),""),IF(M205&gt;M204," * Retesting at L&amp;D For age "&amp;$L$20&amp;" "&amp;$M$21&amp;" is less than  than Retesting positive result at L&amp;D"&amp;CHAR(10),""),IF(N205&gt;N204," * Retesting at L&amp;D For age "&amp;$N$20&amp;" "&amp;$N$21&amp;" is less than  than Retesting positive result at L&amp;D"&amp;CHAR(10),""),IF(O205&gt;O204," * Retesting at L&amp;D For age "&amp;$N$20&amp;" "&amp;$O$21&amp;" is less than  than Retesting positive result at L&amp;D"&amp;CHAR(10),""),IF(P205&gt;P204," * Retesting at L&amp;D For age "&amp;$P$20&amp;" "&amp;$P$21&amp;" is less than  than Retesting positive result at L&amp;D"&amp;CHAR(10),""),IF(Q205&gt;Q204," * Retesting at L&amp;D For age "&amp;$P$20&amp;" "&amp;$Q$21&amp;" is less than  than Retesting positive result at L&amp;D"&amp;CHAR(10),""),IF(R205&gt;R204," * Retesting at L&amp;D For age "&amp;$R$20&amp;" "&amp;$R$21&amp;" is less than  than Retesting positive result at L&amp;D"&amp;CHAR(10),""),IF(S205&gt;S204," * Retesting at L&amp;D For age "&amp;$R$20&amp;" "&amp;$S$21&amp;" is less than  than Retesting positive result at L&amp;D"&amp;CHAR(10),""),IF(T205&gt;T204," * Retesting at L&amp;D For age "&amp;$T$20&amp;" "&amp;$T$21&amp;" is less than  than Retesting positive result at L&amp;D"&amp;CHAR(10),""),IF(U205&gt;U204," * Retesting at L&amp;D For age "&amp;$T$20&amp;" "&amp;$U$21&amp;" is less than  than Retesting positive result at L&amp;D"&amp;CHAR(10),""),IF(V205&gt;V204," * Retesting at L&amp;D For age "&amp;$V$20&amp;" "&amp;$V$21&amp;" is less than  than Retesting positive result at L&amp;D"&amp;CHAR(10),""),IF(W205&gt;W204," * Retesting at L&amp;D For age "&amp;$V$20&amp;" "&amp;$W$21&amp;" is less than  than Retesting positive result at L&amp;D"&amp;CHAR(10),""),IF(X205&gt;X204," * Retesting at L&amp;D For age "&amp;$X$20&amp;" "&amp;$X$21&amp;" is less than  than Retesting positive result at L&amp;D"&amp;CHAR(10),""),IF(Y205&gt;Y204," * Retesting at L&amp;D For age "&amp;$X$20&amp;" "&amp;$Y$21&amp;" is less than  than Retesting positive result at L&amp;D"&amp;CHAR(10),""),IF(Z205&gt;Z204," * Retesting at L&amp;D For age "&amp;$Z$20&amp;" "&amp;$Z$21&amp;" is less than  than Retesting positive result at L&amp;D"&amp;CHAR(10),""),IF(AA205&gt;AA204," * Retesting at L&amp;D For age "&amp;$Z$20&amp;" "&amp;$AA$21&amp;" is less than  than Retesting positive result at L&amp;D"&amp;CHAR(10),""))</f>
        <v/>
      </c>
      <c r="AD204" s="761"/>
      <c r="AE204" s="83"/>
      <c r="AF204" s="611"/>
      <c r="AG204" s="480">
        <v>203</v>
      </c>
    </row>
    <row r="205" spans="1:34" ht="32.15" thickBot="1" x14ac:dyDescent="0.9">
      <c r="A205" s="678"/>
      <c r="B205" s="331" t="s">
        <v>711</v>
      </c>
      <c r="C205" s="147" t="s">
        <v>653</v>
      </c>
      <c r="D205" s="143"/>
      <c r="E205" s="38"/>
      <c r="F205" s="38"/>
      <c r="G205" s="38"/>
      <c r="H205" s="38"/>
      <c r="I205" s="38"/>
      <c r="J205" s="38"/>
      <c r="K205" s="207"/>
      <c r="L205" s="206"/>
      <c r="M205" s="207"/>
      <c r="N205" s="206"/>
      <c r="O205" s="207"/>
      <c r="P205" s="206"/>
      <c r="Q205" s="207"/>
      <c r="R205" s="206"/>
      <c r="S205" s="207"/>
      <c r="T205" s="206"/>
      <c r="U205" s="207"/>
      <c r="V205" s="206"/>
      <c r="W205" s="207"/>
      <c r="X205" s="206"/>
      <c r="Y205" s="207"/>
      <c r="Z205" s="206"/>
      <c r="AA205" s="38"/>
      <c r="AB205" s="250">
        <f t="shared" si="100"/>
        <v>0</v>
      </c>
      <c r="AC205" s="85"/>
      <c r="AD205" s="761"/>
      <c r="AE205" s="83"/>
      <c r="AF205" s="611"/>
      <c r="AG205" s="480">
        <v>204</v>
      </c>
    </row>
    <row r="206" spans="1:34" x14ac:dyDescent="0.85">
      <c r="A206" s="606" t="s">
        <v>493</v>
      </c>
      <c r="B206" s="308" t="s">
        <v>712</v>
      </c>
      <c r="C206" s="164" t="s">
        <v>284</v>
      </c>
      <c r="D206" s="141"/>
      <c r="E206" s="34"/>
      <c r="F206" s="34"/>
      <c r="G206" s="34"/>
      <c r="H206" s="34"/>
      <c r="I206" s="34"/>
      <c r="J206" s="34"/>
      <c r="K206" s="35"/>
      <c r="L206" s="34"/>
      <c r="M206" s="35"/>
      <c r="N206" s="34"/>
      <c r="O206" s="35"/>
      <c r="P206" s="34"/>
      <c r="Q206" s="35"/>
      <c r="R206" s="34"/>
      <c r="S206" s="35"/>
      <c r="T206" s="34"/>
      <c r="U206" s="35"/>
      <c r="V206" s="34"/>
      <c r="W206" s="35"/>
      <c r="X206" s="34"/>
      <c r="Y206" s="35"/>
      <c r="Z206" s="34"/>
      <c r="AA206" s="34"/>
      <c r="AB206" s="62">
        <f t="shared" si="100"/>
        <v>0</v>
      </c>
      <c r="AC206" s="623" t="str">
        <f>CONCATENATE(IF(D207&gt;D206," * Positive at PNC &lt;=6wks for Age "&amp;D20&amp;" "&amp;D21&amp;" is more than Initial test at PNC &lt;= 6wks"&amp;CHAR(10),""),IF(E207&gt;E206," * Positive at PNC &lt;=6wks for Age "&amp;D20&amp;" "&amp;E21&amp;" is more than Initial test at PNC &lt;= 6wks"&amp;CHAR(10),""),IF(F207&gt;F206," * Positive at PNC &lt;=6wks for Age "&amp;F20&amp;" "&amp;F21&amp;" is more than Initial test at PNC &lt;= 6wks"&amp;CHAR(10),""),IF(G207&gt;G206," * Positive at PNC &lt;=6wks for Age "&amp;F20&amp;" "&amp;G21&amp;" is more than Initial test at PNC &lt;= 6wks"&amp;CHAR(10),""),IF(H207&gt;H206," * Positive at PNC &lt;=6wks for Age "&amp;H20&amp;" "&amp;H21&amp;" is more than Initial test at PNC &lt;= 6wks"&amp;CHAR(10),""),IF(I207&gt;I206," * Positive at PNC &lt;=6wks for Age "&amp;H20&amp;" "&amp;I21&amp;" is more than Initial test at PNC &lt;= 6wks"&amp;CHAR(10),""),IF(J207&gt;J206," * Positive at PNC &lt;=6wks for Age "&amp;J20&amp;" "&amp;J21&amp;" is more than Initial test at PNC &lt;= 6wks"&amp;CHAR(10),""),IF(K207&gt;K206," * Positive at PNC &lt;=6wks for Age "&amp;J20&amp;" "&amp;K21&amp;" is more than Initial test at PNC &lt;= 6wks"&amp;CHAR(10),""),IF(L207&gt;L206," * Positive at PNC &lt;=6wks for Age "&amp;L20&amp;" "&amp;L21&amp;" is more than Initial test at PNC &lt;= 6wks"&amp;CHAR(10),""),IF(M207&gt;M206," * Positive at PNC &lt;=6wks for Age "&amp;L20&amp;" "&amp;M21&amp;" is more than Initial test at PNC &lt;= 6wks"&amp;CHAR(10),""),IF(N207&gt;N206," * Positive at PNC &lt;=6wks for Age "&amp;N20&amp;" "&amp;N21&amp;" is more than Initial test at PNC &lt;= 6wks"&amp;CHAR(10),""),IF(O207&gt;O206," * Positive at PNC &lt;=6wks for Age "&amp;N20&amp;" "&amp;O21&amp;" is more than Initial test at PNC &lt;= 6wks"&amp;CHAR(10),""),IF(P207&gt;P206," * Positive at PNC &lt;=6wks for Age "&amp;P20&amp;" "&amp;P21&amp;" is more than Initial test at PNC &lt;= 6wks"&amp;CHAR(10),""),IF(Q207&gt;Q206," * Positive at PNC &lt;=6wks for Age "&amp;P20&amp;" "&amp;Q21&amp;" is more than Initial test at PNC &lt;= 6wks"&amp;CHAR(10),""),IF(R207&gt;R206," * Positive at PNC &lt;=6wks for Age "&amp;R20&amp;" "&amp;R21&amp;" is more than Initial test at PNC &lt;= 6wks"&amp;CHAR(10),""),IF(S207&gt;S206," * Positive at PNC &lt;=6wks for Age "&amp;R20&amp;" "&amp;S21&amp;" is more than Initial test at PNC &lt;= 6wks"&amp;CHAR(10),""),IF(T207&gt;T206," * Positive at PNC &lt;=6wks for Age "&amp;T20&amp;" "&amp;T21&amp;" is more than Initial test at PNC &lt;= 6wks"&amp;CHAR(10),""),IF(U207&gt;U206," * Positive at PNC &lt;=6wks for Age "&amp;T20&amp;" "&amp;U21&amp;" is more than Initial test at PNC &lt;= 6wks"&amp;CHAR(10),""),IF(V207&gt;V206," * Positive at PNC &lt;=6wks for Age "&amp;V20&amp;" "&amp;V21&amp;" is more than Initial test at PNC &lt;= 6wks"&amp;CHAR(10),""),IF(W207&gt;W206," * Positive at PNC &lt;=6wks for Age "&amp;V20&amp;" "&amp;W21&amp;" is more than Initial test at PNC &lt;= 6wks"&amp;CHAR(10),""),IF(X207&gt;X206," * Positive at PNC &lt;=6wks for Age "&amp;X20&amp;" "&amp;X21&amp;" is more than Initial test at PNC &lt;= 6wks"&amp;CHAR(10),""),IF(Y207&gt;Y206," * Positive at PNC &lt;=6wks for Age "&amp;X20&amp;" "&amp;Y21&amp;" is more than Initial test at PNC &lt;= 6wks"&amp;CHAR(10),""),IF(Z207&gt;Z206," * Positive at PNC &lt;=6wks for Age "&amp;Z20&amp;" "&amp;Z21&amp;" is more than Initial test at PNC &lt;= 6wks"&amp;CHAR(10),""),IF(AA207&gt;AA206," * Positive at PNC &lt;=6wks for Age "&amp;Z20&amp;" "&amp;AA21&amp;" is more than Initial test at PNC &lt;= 6wks"&amp;CHAR(10),""))</f>
        <v/>
      </c>
      <c r="AD206" s="761"/>
      <c r="AE206" s="83"/>
      <c r="AF206" s="611"/>
      <c r="AG206" s="480">
        <v>205</v>
      </c>
    </row>
    <row r="207" spans="1:34" ht="31.75" x14ac:dyDescent="0.85">
      <c r="A207" s="604"/>
      <c r="B207" s="330" t="s">
        <v>713</v>
      </c>
      <c r="C207" s="208" t="s">
        <v>286</v>
      </c>
      <c r="D207" s="209"/>
      <c r="E207" s="210"/>
      <c r="F207" s="210"/>
      <c r="G207" s="210"/>
      <c r="H207" s="210"/>
      <c r="I207" s="210"/>
      <c r="J207" s="203"/>
      <c r="K207" s="201"/>
      <c r="L207" s="203"/>
      <c r="M207" s="201"/>
      <c r="N207" s="203"/>
      <c r="O207" s="201"/>
      <c r="P207" s="203"/>
      <c r="Q207" s="201"/>
      <c r="R207" s="203"/>
      <c r="S207" s="201"/>
      <c r="T207" s="203"/>
      <c r="U207" s="201"/>
      <c r="V207" s="203"/>
      <c r="W207" s="201"/>
      <c r="X207" s="203"/>
      <c r="Y207" s="201"/>
      <c r="Z207" s="203"/>
      <c r="AA207" s="18"/>
      <c r="AB207" s="59">
        <f t="shared" si="100"/>
        <v>0</v>
      </c>
      <c r="AC207" s="623"/>
      <c r="AD207" s="761"/>
      <c r="AE207" s="83"/>
      <c r="AF207" s="611"/>
      <c r="AG207" s="480">
        <v>206</v>
      </c>
    </row>
    <row r="208" spans="1:34" s="9" customFormat="1" x14ac:dyDescent="0.85">
      <c r="A208" s="604"/>
      <c r="B208" s="305" t="s">
        <v>489</v>
      </c>
      <c r="C208" s="130" t="s">
        <v>494</v>
      </c>
      <c r="D208" s="127"/>
      <c r="E208" s="18"/>
      <c r="F208" s="18"/>
      <c r="G208" s="18"/>
      <c r="H208" s="18"/>
      <c r="I208" s="18"/>
      <c r="J208" s="18"/>
      <c r="K208" s="19"/>
      <c r="L208" s="18"/>
      <c r="M208" s="19"/>
      <c r="N208" s="18"/>
      <c r="O208" s="19"/>
      <c r="P208" s="18"/>
      <c r="Q208" s="19"/>
      <c r="R208" s="18"/>
      <c r="S208" s="19"/>
      <c r="T208" s="18"/>
      <c r="U208" s="19"/>
      <c r="V208" s="18"/>
      <c r="W208" s="19"/>
      <c r="X208" s="18"/>
      <c r="Y208" s="19"/>
      <c r="Z208" s="18"/>
      <c r="AA208" s="18"/>
      <c r="AB208" s="59">
        <f t="shared" si="100"/>
        <v>0</v>
      </c>
      <c r="AC208" s="82" t="str">
        <f>CONCATENATE(IF(D209&gt;D208," * Retesting at PNC &lt; = 6 weeks For age "&amp;$D$20&amp;" "&amp;$D$21&amp;" is less than  than Retesting positive result at PNC &lt; = 6 weeks"&amp;CHAR(10),""),IF(E209&gt;E208," * Retesting at PNC &lt; = 6 weeks For age "&amp;$D$20&amp;" "&amp;$E$21&amp;" is less than  than Retesting positive result at PNC &lt; = 6 weeks"&amp;CHAR(10),""),IF(F209&gt;F208," * Retesting at PNC &lt; = 6 weeks For age "&amp;$F$20&amp;" "&amp;$F$21&amp;" is less than  than Retesting positive result at PNC &lt; = 6 weeks"&amp;CHAR(10),""),IF(G209&gt;G208," * Retesting at PNC &lt; = 6 weeks For age "&amp;$F$20&amp;" "&amp;$G$21&amp;" is less than  than Retesting positive result at PNC &lt; = 6 weeks"&amp;CHAR(10),""),IF(H209&gt;H208," * Retesting at PNC &lt; = 6 weeks For age "&amp;$H$20&amp;" "&amp;$H$21&amp;" is less than  than Retesting positive result at PNC &lt; = 6 weeks"&amp;CHAR(10),""),IF(I209&gt;I208," * Retesting at PNC &lt; = 6 weeks For age "&amp;$H$20&amp;" "&amp;$I$21&amp;" is less than  than Retesting positive result at PNC &lt; = 6 weeks"&amp;CHAR(10),""),IF(J209&gt;J208," * Retesting at PNC &lt; = 6 weeks For age "&amp;$J$20&amp;" "&amp;$J$21&amp;" is less than  than Retesting positive result at PNC &lt; = 6 weeks"&amp;CHAR(10),""),IF(K209&gt;K208," * Retesting at PNC &lt; = 6 weeks For age "&amp;$J$20&amp;" "&amp;$K$21&amp;" is less than  than Retesting positive result at PNC &lt; = 6 weeks"&amp;CHAR(10),""),IF(L209&gt;L208," * Retesting at PNC &lt; = 6 weeks For age "&amp;$L$20&amp;" "&amp;$L$21&amp;" is less than  than Retesting positive result at PNC &lt; = 6 weeks"&amp;CHAR(10),""),IF(M209&gt;M208," * Retesting at PNC &lt; = 6 weeks For age "&amp;$L$20&amp;" "&amp;$M$21&amp;" is less than  than Retesting positive result at PNC &lt; = 6 weeks"&amp;CHAR(10),""),IF(N209&gt;N208," * Retesting at PNC &lt; = 6 weeks For age "&amp;$N$20&amp;" "&amp;$N$21&amp;" is less than  than Retesting positive result at PNC &lt; = 6 weeks"&amp;CHAR(10),""),IF(O209&gt;O208," * Retesting at PNC &lt; = 6 weeks For age "&amp;$N$20&amp;" "&amp;$O$21&amp;" is less than  than Retesting positive result at PNC &lt; = 6 weeks"&amp;CHAR(10),""),IF(P209&gt;P208," * Retesting at PNC &lt; = 6 weeks For age "&amp;$P$20&amp;" "&amp;$P$21&amp;" is less than  than Retesting positive result at PNC &lt; = 6 weeks"&amp;CHAR(10),""),IF(Q209&gt;Q208," * Retesting at PNC &lt; = 6 weeks For age "&amp;$P$20&amp;" "&amp;$Q$21&amp;" is less than  than Retesting positive result at PNC &lt; = 6 weeks"&amp;CHAR(10),""),IF(R209&gt;R208," * Retesting at PNC &lt; = 6 weeks For age "&amp;$R$20&amp;" "&amp;$R$21&amp;" is less than  than Retesting positive result at PNC &lt; = 6 weeks"&amp;CHAR(10),""),IF(S209&gt;S208," * Retesting at PNC &lt; = 6 weeks For age "&amp;$R$20&amp;" "&amp;$S$21&amp;" is less than  than Retesting positive result at PNC &lt; = 6 weeks"&amp;CHAR(10),""),IF(T209&gt;T208," * Retesting at PNC &lt; = 6 weeks For age "&amp;$T$20&amp;" "&amp;$T$21&amp;" is less than  than Retesting positive result at PNC &lt; = 6 weeks"&amp;CHAR(10),""),IF(U209&gt;U208," * Retesting at PNC &lt; = 6 weeks For age "&amp;$T$20&amp;" "&amp;$U$21&amp;" is less than  than Retesting positive result at PNC &lt; = 6 weeks"&amp;CHAR(10),""),IF(V209&gt;V208," * Retesting at PNC &lt; = 6 weeks For age "&amp;$V$20&amp;" "&amp;$V$21&amp;" is less than  than Retesting positive result at PNC &lt; = 6 weeks"&amp;CHAR(10),""),IF(W209&gt;W208," * Retesting at PNC &lt; = 6 weeks For age "&amp;$V$20&amp;" "&amp;$W$21&amp;" is less than  than Retesting positive result at PNC &lt; = 6 weeks"&amp;CHAR(10),""),IF(X209&gt;X208," * Retesting at PNC &lt; = 6 weeks For age "&amp;$X$20&amp;" "&amp;$X$21&amp;" is less than  than Retesting positive result at PNC &lt; = 6 weeks"&amp;CHAR(10),""),IF(Y209&gt;Y208," * Retesting at PNC &lt; = 6 weeks For age "&amp;$X$20&amp;" "&amp;$Y$21&amp;" is less than  than Retesting positive result at PNC &lt; = 6 weeks"&amp;CHAR(10),""),IF(Z209&gt;Z208," * Retesting at PNC &lt; = 6 weeks For age "&amp;$Z$20&amp;" "&amp;$Z$21&amp;" is less than  than Retesting positive result at PNC &lt; = 6 weeks"&amp;CHAR(10),""),IF(AA209&gt;AA208," * Retesting at PNC &lt; = 6 weeks For age "&amp;$Z$20&amp;" "&amp;$AA$21&amp;" is less than  than Retesting positive result at PNC &lt; = 6 weeks"&amp;CHAR(10),""))</f>
        <v/>
      </c>
      <c r="AD208" s="761"/>
      <c r="AE208" s="84"/>
      <c r="AF208" s="611"/>
      <c r="AG208" s="480">
        <v>207</v>
      </c>
      <c r="AH208" s="336"/>
    </row>
    <row r="209" spans="1:34" ht="31.75" x14ac:dyDescent="0.85">
      <c r="A209" s="604"/>
      <c r="B209" s="330" t="s">
        <v>490</v>
      </c>
      <c r="C209" s="146" t="s">
        <v>495</v>
      </c>
      <c r="D209" s="127"/>
      <c r="E209" s="18"/>
      <c r="F209" s="18"/>
      <c r="G209" s="18"/>
      <c r="H209" s="202"/>
      <c r="I209" s="202"/>
      <c r="J209" s="202"/>
      <c r="K209" s="200"/>
      <c r="L209" s="202"/>
      <c r="M209" s="200"/>
      <c r="N209" s="202"/>
      <c r="O209" s="200"/>
      <c r="P209" s="202"/>
      <c r="Q209" s="200"/>
      <c r="R209" s="202"/>
      <c r="S209" s="200"/>
      <c r="T209" s="202"/>
      <c r="U209" s="200"/>
      <c r="V209" s="202"/>
      <c r="W209" s="200"/>
      <c r="X209" s="202"/>
      <c r="Y209" s="200"/>
      <c r="Z209" s="202"/>
      <c r="AA209" s="18"/>
      <c r="AB209" s="59">
        <f t="shared" si="100"/>
        <v>0</v>
      </c>
      <c r="AC209" s="85"/>
      <c r="AD209" s="761"/>
      <c r="AE209" s="83"/>
      <c r="AF209" s="611"/>
      <c r="AG209" s="480">
        <v>208</v>
      </c>
    </row>
    <row r="210" spans="1:34" x14ac:dyDescent="0.85">
      <c r="A210" s="604"/>
      <c r="B210" s="305" t="s">
        <v>491</v>
      </c>
      <c r="C210" s="146" t="s">
        <v>496</v>
      </c>
      <c r="D210" s="127"/>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9">
        <f t="shared" si="100"/>
        <v>0</v>
      </c>
      <c r="AC210" s="82" t="str">
        <f>CONCATENATE(IF(D211&gt;D210," * Testing at PNC &gt; 6 weeks For age "&amp;$D$20&amp;" "&amp;$D$21&amp;" is less than Positive result at PNC &gt; 6 weeks"&amp;CHAR(10),""),IF(E211&gt;E210," * Testing at PNC &gt; 6 weeks For age "&amp;$D$20&amp;" "&amp;$E$21&amp;" is less than Positive result at PNC &gt; 6 weeks"&amp;CHAR(10),""),IF(F211&gt;F210," * Testing at PNC &gt; 6 weeks For age "&amp;$F$20&amp;" "&amp;$F$21&amp;" is less than Positive result at PNC &gt; 6 weeks"&amp;CHAR(10),""),IF(G211&gt;G210," * Testing at PNC &gt; 6 weeks For age "&amp;$F$20&amp;" "&amp;$G$21&amp;" is less than Positive result at PNC &gt; 6 weeks"&amp;CHAR(10),""),IF(H211&gt;H210," * Testing at PNC &gt; 6 weeks For age "&amp;$H$20&amp;" "&amp;$H$21&amp;" is less than Positive result at PNC &gt; 6 weeks"&amp;CHAR(10),""),IF(I211&gt;I210," * Testing at PNC &gt; 6 weeks For age "&amp;$H$20&amp;" "&amp;$I$21&amp;" is less than Positive result at PNC &gt; 6 weeks"&amp;CHAR(10),""),IF(J211&gt;J210," * Testing at PNC &gt; 6 weeks For age "&amp;$J$20&amp;" "&amp;$J$21&amp;" is less than Positive result at PNC &gt; 6 weeks"&amp;CHAR(10),""),IF(K211&gt;K210," * Testing at PNC &gt; 6 weeks For age "&amp;$J$20&amp;" "&amp;$K$21&amp;" is less than Positive result at PNC &gt; 6 weeks"&amp;CHAR(10),""),IF(L211&gt;L210," * Testing at PNC &gt; 6 weeks For age "&amp;$L$20&amp;" "&amp;$L$21&amp;" is less than Positive result at PNC &gt; 6 weeks"&amp;CHAR(10),""),IF(M211&gt;M210," * Testing at PNC &gt; 6 weeks For age "&amp;$L$20&amp;" "&amp;$M$21&amp;" is less than Positive result at PNC &gt; 6 weeks"&amp;CHAR(10),""),IF(N211&gt;N210," * Testing at PNC &gt; 6 weeks For age "&amp;$N$20&amp;" "&amp;$N$21&amp;" is less than Positive result at PNC &gt; 6 weeks"&amp;CHAR(10),""),IF(O211&gt;O210," * Testing at PNC &gt; 6 weeks For age "&amp;$N$20&amp;" "&amp;$O$21&amp;" is less than Positive result at PNC &gt; 6 weeks"&amp;CHAR(10),""),IF(P211&gt;P210," * Testing at PNC &gt; 6 weeks For age "&amp;$P$20&amp;" "&amp;$P$21&amp;" is less than Positive result at PNC &gt; 6 weeks"&amp;CHAR(10),""),IF(Q211&gt;Q210," * Testing at PNC &gt; 6 weeks For age "&amp;$P$20&amp;" "&amp;$Q$21&amp;" is less than Positive result at PNC &gt; 6 weeks"&amp;CHAR(10),""),IF(R211&gt;R210," * Testing at PNC &gt; 6 weeks For age "&amp;$R$20&amp;" "&amp;$R$21&amp;" is less than Positive result at PNC &gt; 6 weeks"&amp;CHAR(10),""),IF(S211&gt;S210," * Testing at PNC &gt; 6 weeks For age "&amp;$R$20&amp;" "&amp;$S$21&amp;" is less than Positive result at PNC &gt; 6 weeks"&amp;CHAR(10),""),IF(T211&gt;T210," * Testing at PNC &gt; 6 weeks For age "&amp;$T$20&amp;" "&amp;$T$21&amp;" is less than Positive result at PNC &gt; 6 weeks"&amp;CHAR(10),""),IF(U211&gt;U210," * Testing at PNC &gt; 6 weeks For age "&amp;$T$20&amp;" "&amp;$U$21&amp;" is less than Positive result at PNC &gt; 6 weeks"&amp;CHAR(10),""),IF(V211&gt;V210," * Testing at PNC &gt; 6 weeks For age "&amp;$V$20&amp;" "&amp;$V$21&amp;" is less than Positive result at PNC &gt; 6 weeks"&amp;CHAR(10),""),IF(W211&gt;W210," * Testing at PNC &gt; 6 weeks For age "&amp;$V$20&amp;" "&amp;$W$21&amp;" is less than Positive result at PNC &gt; 6 weeks"&amp;CHAR(10),""),IF(X211&gt;X210," * Testing at PNC &gt; 6 weeks For age "&amp;$X$20&amp;" "&amp;$X$21&amp;" is less than Positive result at PNC &gt; 6 weeks"&amp;CHAR(10),""),IF(Y211&gt;Y210," * Testing at PNC &gt; 6 weeks For age "&amp;$X$20&amp;" "&amp;$Y$21&amp;" is less than Positive result at PNC &gt; 6 weeks"&amp;CHAR(10),""),IF(Z211&gt;Z210," * Testing at PNC &gt; 6 weeks For age "&amp;$Z$20&amp;" "&amp;$Z$21&amp;" is less than Positive result at PNC &gt; 6 weeks"&amp;CHAR(10),""),IF(AA211&gt;AA210," * Testing at PNC &gt; 6 weeks For age "&amp;$Z$20&amp;" "&amp;$AA$21&amp;" is less than Positive result at PNC &gt; 6 weeks"&amp;CHAR(10),""))</f>
        <v/>
      </c>
      <c r="AD210" s="761"/>
      <c r="AE210" s="83"/>
      <c r="AF210" s="611"/>
      <c r="AG210" s="480">
        <v>209</v>
      </c>
    </row>
    <row r="211" spans="1:34" ht="31.3" thickBot="1" x14ac:dyDescent="0.9">
      <c r="A211" s="605"/>
      <c r="B211" s="307" t="s">
        <v>492</v>
      </c>
      <c r="C211" s="147" t="s">
        <v>497</v>
      </c>
      <c r="D211" s="143"/>
      <c r="E211" s="38"/>
      <c r="F211" s="38"/>
      <c r="G211" s="38"/>
      <c r="H211" s="204"/>
      <c r="I211" s="204"/>
      <c r="J211" s="204"/>
      <c r="K211" s="205"/>
      <c r="L211" s="204"/>
      <c r="M211" s="205"/>
      <c r="N211" s="204"/>
      <c r="O211" s="205"/>
      <c r="P211" s="204"/>
      <c r="Q211" s="205"/>
      <c r="R211" s="204"/>
      <c r="S211" s="205"/>
      <c r="T211" s="204"/>
      <c r="U211" s="205"/>
      <c r="V211" s="204"/>
      <c r="W211" s="205"/>
      <c r="X211" s="204"/>
      <c r="Y211" s="205"/>
      <c r="Z211" s="204"/>
      <c r="AA211" s="204"/>
      <c r="AB211" s="61">
        <f t="shared" si="100"/>
        <v>0</v>
      </c>
      <c r="AC211" s="85"/>
      <c r="AD211" s="761"/>
      <c r="AE211" s="83"/>
      <c r="AF211" s="611"/>
      <c r="AG211" s="480">
        <v>210</v>
      </c>
    </row>
    <row r="212" spans="1:34" x14ac:dyDescent="0.85">
      <c r="A212" s="597" t="s">
        <v>124</v>
      </c>
      <c r="B212" s="308" t="s">
        <v>714</v>
      </c>
      <c r="C212" s="134" t="s">
        <v>287</v>
      </c>
      <c r="D212" s="141"/>
      <c r="E212" s="34"/>
      <c r="F212" s="34"/>
      <c r="G212" s="34"/>
      <c r="H212" s="34"/>
      <c r="I212" s="34"/>
      <c r="J212" s="35"/>
      <c r="K212" s="34"/>
      <c r="L212" s="35"/>
      <c r="M212" s="34"/>
      <c r="N212" s="35"/>
      <c r="O212" s="34"/>
      <c r="P212" s="35"/>
      <c r="Q212" s="34"/>
      <c r="R212" s="35"/>
      <c r="S212" s="34"/>
      <c r="T212" s="35"/>
      <c r="U212" s="34"/>
      <c r="V212" s="35"/>
      <c r="W212" s="34"/>
      <c r="X212" s="35"/>
      <c r="Y212" s="34"/>
      <c r="Z212" s="35"/>
      <c r="AA212" s="34"/>
      <c r="AB212" s="62">
        <f t="shared" si="100"/>
        <v>0</v>
      </c>
      <c r="AC212" s="623" t="str">
        <f>CONCATENATE(IF(D213&gt;D212," * Male Partners Tested Positive for Age "&amp;D20&amp;" "&amp;D21&amp;" is more than Male Partners Tested"&amp;CHAR(10),""),IF(E213&gt;E212," * Male Partners Tested Positive for Age "&amp;D20&amp;" "&amp;E21&amp;" is more than Male Partners Tested"&amp;CHAR(10),""),IF(F213&gt;F212," * Male Partners Tested Positive for Age "&amp;F20&amp;" "&amp;F21&amp;" is more than Male Partners Tested"&amp;CHAR(10),""),IF(G213&gt;G212," * Male Partners Tested Positive for Age "&amp;F20&amp;" "&amp;G21&amp;" is more than Male Partners Tested"&amp;CHAR(10),""),IF(H213&gt;H212," * Male Partners Tested Positive for Age "&amp;H20&amp;" "&amp;H21&amp;" is more than Male Partners Tested"&amp;CHAR(10),""),IF(I213&gt;I212," * Male Partners Tested Positive for Age "&amp;H20&amp;" "&amp;I21&amp;" is more than Male Partners Tested"&amp;CHAR(10),""),IF(J213&gt;J212," * Male Partners Tested Positive for Age "&amp;J20&amp;" "&amp;J21&amp;" is more than Male Partners Tested"&amp;CHAR(10),""),IF(K213&gt;K212," * Male Partners Tested Positive for Age "&amp;J20&amp;" "&amp;K21&amp;" is more than Male Partners Tested"&amp;CHAR(10),""),IF(L213&gt;L212," * Male Partners Tested Positive for Age "&amp;L20&amp;" "&amp;L21&amp;" is more than Male Partners Tested"&amp;CHAR(10),""),IF(M213&gt;M212," * Male Partners Tested Positive for Age "&amp;L20&amp;" "&amp;M21&amp;" is more than Male Partners Tested"&amp;CHAR(10),""),IF(N213&gt;N212," * Male Partners Tested Positive for Age "&amp;N20&amp;" "&amp;N21&amp;" is more than Male Partners Tested"&amp;CHAR(10),""),IF(O213&gt;O212," * Male Partners Tested Positive for Age "&amp;N20&amp;" "&amp;O21&amp;" is more than Male Partners Tested"&amp;CHAR(10),""),IF(P213&gt;P212," * Male Partners Tested Positive for Age "&amp;P20&amp;" "&amp;P21&amp;" is more than Male Partners Tested"&amp;CHAR(10),""),IF(Q213&gt;Q212," * Male Partners Tested Positive for Age "&amp;P20&amp;" "&amp;Q21&amp;" is more than Male Partners Tested"&amp;CHAR(10),""),IF(R213&gt;R212," * Male Partners Tested Positive for Age "&amp;R20&amp;" "&amp;R21&amp;" is more than Male Partners Tested"&amp;CHAR(10),""),IF(S213&gt;S212," * Male Partners Tested Positive for Age "&amp;R20&amp;" "&amp;S21&amp;" is more than Male Partners Tested"&amp;CHAR(10),""),IF(T213&gt;T212," * Male Partners Tested Positive for Age "&amp;T20&amp;" "&amp;T21&amp;" is more than Male Partners Tested"&amp;CHAR(10),""),IF(U213&gt;U212," * Male Partners Tested Positive for Age "&amp;T20&amp;" "&amp;U21&amp;" is more than Male Partners Tested"&amp;CHAR(10),""),IF(V213&gt;V212," * Male Partners Tested Positive for Age "&amp;V20&amp;" "&amp;V21&amp;" is more than Male Partners Tested"&amp;CHAR(10),""),IF(W213&gt;W212," * Male Partners Tested Positive for Age "&amp;V20&amp;" "&amp;W21&amp;" is more than Male Partners Tested"&amp;CHAR(10),""),IF(X213&gt;X212," * Male Partners Tested Positive for Age "&amp;X20&amp;" "&amp;X21&amp;" is more than Male Partners Tested"&amp;CHAR(10),""),IF(Y213&gt;Y212," * Male Partners Tested Positive for Age "&amp;X20&amp;" "&amp;Y21&amp;" is more than Male Partners Tested"&amp;CHAR(10),""),IF(Z213&gt;Z212," * Male Partners Tested Positive for Age "&amp;Z20&amp;" "&amp;Z21&amp;" is more than Male Partners Tested"&amp;CHAR(10),""),IF(AA213&gt;AA212," * Male Partners Tested Positive for Age "&amp;Z20&amp;" "&amp;AA21&amp;" is more than Male Partners Tested"&amp;CHAR(10),""))</f>
        <v/>
      </c>
      <c r="AD212" s="761"/>
      <c r="AE212" s="83"/>
      <c r="AF212" s="611"/>
      <c r="AG212" s="480">
        <v>211</v>
      </c>
    </row>
    <row r="213" spans="1:34" ht="31.3" thickBot="1" x14ac:dyDescent="0.9">
      <c r="A213" s="599"/>
      <c r="B213" s="307" t="s">
        <v>715</v>
      </c>
      <c r="C213" s="138" t="s">
        <v>288</v>
      </c>
      <c r="D213" s="143"/>
      <c r="E213" s="38"/>
      <c r="F213" s="38"/>
      <c r="G213" s="38"/>
      <c r="H213" s="38"/>
      <c r="I213" s="38"/>
      <c r="J213" s="55"/>
      <c r="K213" s="38"/>
      <c r="L213" s="55"/>
      <c r="M213" s="38"/>
      <c r="N213" s="55"/>
      <c r="O213" s="38"/>
      <c r="P213" s="55"/>
      <c r="Q213" s="38"/>
      <c r="R213" s="55"/>
      <c r="S213" s="38"/>
      <c r="T213" s="55"/>
      <c r="U213" s="38"/>
      <c r="V213" s="55"/>
      <c r="W213" s="38"/>
      <c r="X213" s="55"/>
      <c r="Y213" s="38"/>
      <c r="Z213" s="55"/>
      <c r="AA213" s="38"/>
      <c r="AB213" s="61">
        <f t="shared" si="100"/>
        <v>0</v>
      </c>
      <c r="AC213" s="623"/>
      <c r="AD213" s="762"/>
      <c r="AE213" s="83"/>
      <c r="AF213" s="759"/>
      <c r="AG213" s="480">
        <v>212</v>
      </c>
    </row>
    <row r="214" spans="1:34" x14ac:dyDescent="0.85">
      <c r="A214" s="597" t="s">
        <v>513</v>
      </c>
      <c r="B214" s="308" t="s">
        <v>717</v>
      </c>
      <c r="C214" s="129" t="s">
        <v>530</v>
      </c>
      <c r="D214" s="154"/>
      <c r="E214" s="48"/>
      <c r="F214" s="34"/>
      <c r="G214" s="34"/>
      <c r="H214" s="34"/>
      <c r="I214" s="34"/>
      <c r="J214" s="34"/>
      <c r="K214" s="34"/>
      <c r="L214" s="34"/>
      <c r="M214" s="34"/>
      <c r="N214" s="34"/>
      <c r="O214" s="34"/>
      <c r="P214" s="34"/>
      <c r="Q214" s="34"/>
      <c r="R214" s="34"/>
      <c r="S214" s="34"/>
      <c r="T214" s="34"/>
      <c r="U214" s="34"/>
      <c r="V214" s="34"/>
      <c r="W214" s="34"/>
      <c r="X214" s="34"/>
      <c r="Y214" s="34"/>
      <c r="Z214" s="34"/>
      <c r="AA214" s="34"/>
      <c r="AB214" s="62">
        <f t="shared" si="100"/>
        <v>0</v>
      </c>
      <c r="AC214" s="85" t="str">
        <f>CONCATENATE(IF(D217&gt;D214," * EID Tested Positive 0-2 Months for Age "&amp;$D$20&amp;" "&amp;$D$21&amp;" is more than EID Tested 0-2 Months"&amp;CHAR(10),""),IF(E217&gt;E214," * EID Tested Positive 0-2 Months for Age "&amp;$D$20&amp;" "&amp;$E$21&amp;" is more than EID Tested 0-2 Months"&amp;CHAR(10),""))</f>
        <v/>
      </c>
      <c r="AD214" s="763" t="str">
        <f>CONCATENATE(AC216,AC217,AC218,AC219,AC220,AC221,AC222,AC200,AC214,AC215)</f>
        <v/>
      </c>
      <c r="AE214" s="83"/>
      <c r="AF214" s="610" t="str">
        <f>CONCATENATE(AE214,AE215,AE216,AE217,AE218,AE219,AE220,AE221,AE222)</f>
        <v/>
      </c>
      <c r="AG214" s="480">
        <v>213</v>
      </c>
    </row>
    <row r="215" spans="1:34" s="9" customFormat="1" x14ac:dyDescent="0.85">
      <c r="A215" s="598"/>
      <c r="B215" s="305" t="s">
        <v>716</v>
      </c>
      <c r="C215" s="130" t="s">
        <v>531</v>
      </c>
      <c r="D215" s="163"/>
      <c r="E215" s="24"/>
      <c r="F215" s="18"/>
      <c r="G215" s="18"/>
      <c r="H215" s="18"/>
      <c r="I215" s="18"/>
      <c r="J215" s="18"/>
      <c r="K215" s="18"/>
      <c r="L215" s="18"/>
      <c r="M215" s="18"/>
      <c r="N215" s="18"/>
      <c r="O215" s="18"/>
      <c r="P215" s="18"/>
      <c r="Q215" s="18"/>
      <c r="R215" s="18"/>
      <c r="S215" s="18"/>
      <c r="T215" s="18"/>
      <c r="U215" s="18"/>
      <c r="V215" s="18"/>
      <c r="W215" s="18"/>
      <c r="X215" s="18"/>
      <c r="Y215" s="18"/>
      <c r="Z215" s="18"/>
      <c r="AA215" s="18"/>
      <c r="AB215" s="59">
        <f t="shared" si="100"/>
        <v>0</v>
      </c>
      <c r="AC215" s="85" t="str">
        <f>CONCATENATE(IF(D218&gt;D215," * EID Tested Positive 2-12 Months for Age "&amp;$D$20&amp;" "&amp;$D$21&amp;" is more than EID Tested 2-12 Months"&amp;CHAR(10),""),IF(E218&gt;E215," * EID Tested Positive 2-12 Months for Age "&amp;$D$20&amp;" "&amp;$E$21&amp;" is more than EID Tested 2-12 Months"&amp;CHAR(10),""))</f>
        <v/>
      </c>
      <c r="AD215" s="761"/>
      <c r="AE215" s="84"/>
      <c r="AF215" s="611"/>
      <c r="AG215" s="480">
        <v>214</v>
      </c>
      <c r="AH215" s="336"/>
    </row>
    <row r="216" spans="1:34" ht="32.15" thickBot="1" x14ac:dyDescent="0.9">
      <c r="A216" s="599"/>
      <c r="B216" s="488" t="s">
        <v>516</v>
      </c>
      <c r="C216" s="147" t="s">
        <v>532</v>
      </c>
      <c r="D216" s="167">
        <f>D214+D215</f>
        <v>0</v>
      </c>
      <c r="E216" s="60">
        <f>E214+E215</f>
        <v>0</v>
      </c>
      <c r="F216" s="38"/>
      <c r="G216" s="38"/>
      <c r="H216" s="38"/>
      <c r="I216" s="38"/>
      <c r="J216" s="38"/>
      <c r="K216" s="38"/>
      <c r="L216" s="38"/>
      <c r="M216" s="38"/>
      <c r="N216" s="38"/>
      <c r="O216" s="38"/>
      <c r="P216" s="38"/>
      <c r="Q216" s="38"/>
      <c r="R216" s="38"/>
      <c r="S216" s="38"/>
      <c r="T216" s="38"/>
      <c r="U216" s="38"/>
      <c r="V216" s="38"/>
      <c r="W216" s="38"/>
      <c r="X216" s="38"/>
      <c r="Y216" s="38"/>
      <c r="Z216" s="38"/>
      <c r="AA216" s="38"/>
      <c r="AB216" s="61">
        <f t="shared" si="100"/>
        <v>0</v>
      </c>
      <c r="AC216" s="85" t="str">
        <f>IF(AB216&gt;SUM(AB209,AB207,AB205,AB203,AB201,AB199,AB195,AB193)," EID Testing cannot be more than PMTCT HIV Positive Mothers (ANC 1 Other ANC, L&amp;D and PNC","")</f>
        <v/>
      </c>
      <c r="AD216" s="761"/>
      <c r="AE216" s="83"/>
      <c r="AF216" s="611"/>
      <c r="AG216" s="480">
        <v>215</v>
      </c>
    </row>
    <row r="217" spans="1:34" x14ac:dyDescent="0.85">
      <c r="A217" s="597" t="s">
        <v>517</v>
      </c>
      <c r="B217" s="308" t="s">
        <v>521</v>
      </c>
      <c r="C217" s="129" t="s">
        <v>533</v>
      </c>
      <c r="D217" s="211"/>
      <c r="E217" s="212"/>
      <c r="F217" s="34"/>
      <c r="G217" s="34"/>
      <c r="H217" s="34"/>
      <c r="I217" s="34"/>
      <c r="J217" s="34"/>
      <c r="K217" s="34"/>
      <c r="L217" s="34"/>
      <c r="M217" s="34"/>
      <c r="N217" s="34"/>
      <c r="O217" s="34"/>
      <c r="P217" s="34"/>
      <c r="Q217" s="34"/>
      <c r="R217" s="34"/>
      <c r="S217" s="34"/>
      <c r="T217" s="34"/>
      <c r="U217" s="34"/>
      <c r="V217" s="34"/>
      <c r="W217" s="34"/>
      <c r="X217" s="34"/>
      <c r="Y217" s="34"/>
      <c r="Z217" s="34"/>
      <c r="AA217" s="34"/>
      <c r="AB217" s="62">
        <f t="shared" si="100"/>
        <v>0</v>
      </c>
      <c r="AC217" s="85" t="str">
        <f>CONCATENATE(IF(D220&gt;D217," * EID initiated on ART 0-2 Months for Age "&amp;$D$20&amp;" "&amp;$D$21&amp;" is more than EID Positive 0-2 Months"&amp;CHAR(10),""),IF(E220&gt;E217," * EID initiated on ART 0-2 Months for Age "&amp;$D$20&amp;" "&amp;$E$21&amp;" is more than EID Positive 0-2 Months"&amp;CHAR(10),""))</f>
        <v/>
      </c>
      <c r="AD217" s="761"/>
      <c r="AE217" s="85" t="str">
        <f>CONCATENATE(IF(D220&lt;D217," * EID initiated on ART 0-2 Months for Age "&amp;$D$20&amp;" "&amp;$D$21&amp;" is less than EID Positive 0-2 Months"&amp;CHAR(10),""),IF(E220&lt;E217," * EID initiated on ART 0-2 Months for Age "&amp;$D$20&amp;" "&amp;$E$21&amp;" is less than EID Positive 0-2 Months"&amp;CHAR(10),""))</f>
        <v/>
      </c>
      <c r="AF217" s="611"/>
      <c r="AG217" s="480">
        <v>216</v>
      </c>
    </row>
    <row r="218" spans="1:34" s="9" customFormat="1" x14ac:dyDescent="0.85">
      <c r="A218" s="598"/>
      <c r="B218" s="305" t="s">
        <v>518</v>
      </c>
      <c r="C218" s="130" t="s">
        <v>534</v>
      </c>
      <c r="D218" s="213"/>
      <c r="E218" s="214"/>
      <c r="F218" s="18"/>
      <c r="G218" s="18"/>
      <c r="H218" s="18"/>
      <c r="I218" s="18"/>
      <c r="J218" s="18"/>
      <c r="K218" s="18"/>
      <c r="L218" s="18"/>
      <c r="M218" s="18"/>
      <c r="N218" s="18"/>
      <c r="O218" s="18"/>
      <c r="P218" s="18"/>
      <c r="Q218" s="18"/>
      <c r="R218" s="18"/>
      <c r="S218" s="18"/>
      <c r="T218" s="18"/>
      <c r="U218" s="18"/>
      <c r="V218" s="18"/>
      <c r="W218" s="18"/>
      <c r="X218" s="18"/>
      <c r="Y218" s="18"/>
      <c r="Z218" s="18"/>
      <c r="AA218" s="18"/>
      <c r="AB218" s="59">
        <f t="shared" si="100"/>
        <v>0</v>
      </c>
      <c r="AC218" s="85" t="str">
        <f>CONCATENATE(IF(D221&gt;D218," * EID initiated on ART 2-12 Months for Age "&amp;$D$20&amp;" "&amp;$D$21&amp;" is more than EID Positive 2-12 Months"&amp;CHAR(10),""),IF(E221&gt;E218," * EID initiated on ART 2-12 Months for Age "&amp;$D$20&amp;" "&amp;$E$21&amp;" is more than EID Positive 2-12 Months"&amp;CHAR(10),""))</f>
        <v/>
      </c>
      <c r="AD218" s="761"/>
      <c r="AE218" s="85" t="str">
        <f>CONCATENATE(IF(D221&lt;D218," * EID initiated on ART 2-12 Months for Age "&amp;$D$20&amp;" "&amp;$D$21&amp;" is less than EID Positive 2-12 Months"&amp;CHAR(10),""),IF(E221&lt;E218," * EID initiated on ART 2-12 Months for Age "&amp;$D$20&amp;" "&amp;$E$21&amp;" is less than EID Positive 2-12 Months"&amp;CHAR(10),""))</f>
        <v/>
      </c>
      <c r="AF218" s="611"/>
      <c r="AG218" s="480">
        <v>217</v>
      </c>
      <c r="AH218" s="336"/>
    </row>
    <row r="219" spans="1:34" ht="32.15" thickBot="1" x14ac:dyDescent="0.9">
      <c r="A219" s="599"/>
      <c r="B219" s="488" t="s">
        <v>519</v>
      </c>
      <c r="C219" s="147" t="s">
        <v>535</v>
      </c>
      <c r="D219" s="167">
        <f>D217+D218</f>
        <v>0</v>
      </c>
      <c r="E219" s="60">
        <f>E217+E218</f>
        <v>0</v>
      </c>
      <c r="F219" s="38"/>
      <c r="G219" s="38"/>
      <c r="H219" s="38"/>
      <c r="I219" s="38"/>
      <c r="J219" s="38"/>
      <c r="K219" s="38"/>
      <c r="L219" s="38"/>
      <c r="M219" s="38"/>
      <c r="N219" s="38"/>
      <c r="O219" s="38"/>
      <c r="P219" s="38"/>
      <c r="Q219" s="38"/>
      <c r="R219" s="38"/>
      <c r="S219" s="38"/>
      <c r="T219" s="38"/>
      <c r="U219" s="38"/>
      <c r="V219" s="38"/>
      <c r="W219" s="38"/>
      <c r="X219" s="38"/>
      <c r="Y219" s="38"/>
      <c r="Z219" s="38"/>
      <c r="AA219" s="38"/>
      <c r="AB219" s="61">
        <f t="shared" si="100"/>
        <v>0</v>
      </c>
      <c r="AC219" s="85" t="str">
        <f>CONCATENATE(IF(D222&gt;D219," * EID initiated on ART 0-12 Months for Age "&amp;$D$20&amp;" "&amp;$D$21&amp;" is more than EID Positive 0-12 Months"&amp;CHAR(10),""),IF(E222&gt;E219," * EID initiated on ART 0-12 Months for Age "&amp;$D$20&amp;" "&amp;$E$21&amp;" is more than EID Positive 0-12 Months"&amp;CHAR(10),""))</f>
        <v/>
      </c>
      <c r="AD219" s="761"/>
      <c r="AE219" s="85" t="str">
        <f>CONCATENATE(IF(D222&lt;D219," * EID initiated on ART 0-12 Months for Age "&amp;$D$20&amp;" "&amp;$D$21&amp;" is less than EID Positive 0-12 Months"&amp;CHAR(10),""),IF(E222&lt;E219," * EID initiated on ART 0-12 Months for Age "&amp;$D$20&amp;" "&amp;$E$21&amp;" is less than EID Positive 0-12 Months"&amp;CHAR(10),""))</f>
        <v/>
      </c>
      <c r="AF219" s="611"/>
      <c r="AG219" s="480">
        <v>218</v>
      </c>
    </row>
    <row r="220" spans="1:34" x14ac:dyDescent="0.85">
      <c r="A220" s="597" t="s">
        <v>514</v>
      </c>
      <c r="B220" s="308" t="s">
        <v>960</v>
      </c>
      <c r="C220" s="129" t="s">
        <v>536</v>
      </c>
      <c r="D220" s="154"/>
      <c r="E220" s="48"/>
      <c r="F220" s="34"/>
      <c r="G220" s="34"/>
      <c r="H220" s="34"/>
      <c r="I220" s="34"/>
      <c r="J220" s="34"/>
      <c r="K220" s="34"/>
      <c r="L220" s="34"/>
      <c r="M220" s="34"/>
      <c r="N220" s="34"/>
      <c r="O220" s="34"/>
      <c r="P220" s="34"/>
      <c r="Q220" s="34"/>
      <c r="R220" s="34"/>
      <c r="S220" s="34"/>
      <c r="T220" s="34"/>
      <c r="U220" s="34"/>
      <c r="V220" s="34"/>
      <c r="W220" s="34"/>
      <c r="X220" s="34"/>
      <c r="Y220" s="34"/>
      <c r="Z220" s="34"/>
      <c r="AA220" s="34"/>
      <c r="AB220" s="62">
        <f t="shared" si="100"/>
        <v>0</v>
      </c>
      <c r="AC220" s="85"/>
      <c r="AD220" s="761"/>
      <c r="AE220" s="83"/>
      <c r="AF220" s="611"/>
      <c r="AG220" s="480">
        <v>219</v>
      </c>
    </row>
    <row r="221" spans="1:34" x14ac:dyDescent="0.85">
      <c r="A221" s="598"/>
      <c r="B221" s="305" t="s">
        <v>961</v>
      </c>
      <c r="C221" s="146" t="s">
        <v>537</v>
      </c>
      <c r="D221" s="163"/>
      <c r="E221" s="24"/>
      <c r="F221" s="18"/>
      <c r="G221" s="18"/>
      <c r="H221" s="18"/>
      <c r="I221" s="18"/>
      <c r="J221" s="18"/>
      <c r="K221" s="18"/>
      <c r="L221" s="18"/>
      <c r="M221" s="18"/>
      <c r="N221" s="18"/>
      <c r="O221" s="18"/>
      <c r="P221" s="18"/>
      <c r="Q221" s="18"/>
      <c r="R221" s="18"/>
      <c r="S221" s="18"/>
      <c r="T221" s="18"/>
      <c r="U221" s="18"/>
      <c r="V221" s="18"/>
      <c r="W221" s="18"/>
      <c r="X221" s="18"/>
      <c r="Y221" s="18"/>
      <c r="Z221" s="18"/>
      <c r="AA221" s="18"/>
      <c r="AB221" s="59">
        <f t="shared" si="100"/>
        <v>0</v>
      </c>
      <c r="AC221" s="85"/>
      <c r="AD221" s="761"/>
      <c r="AE221" s="83"/>
      <c r="AF221" s="611"/>
      <c r="AG221" s="480">
        <v>220</v>
      </c>
    </row>
    <row r="222" spans="1:34" ht="32.15" thickBot="1" x14ac:dyDescent="0.9">
      <c r="A222" s="600"/>
      <c r="B222" s="489" t="s">
        <v>982</v>
      </c>
      <c r="C222" s="147" t="s">
        <v>538</v>
      </c>
      <c r="D222" s="168">
        <f>D220+D221</f>
        <v>0</v>
      </c>
      <c r="E222" s="309">
        <f>E220+E221</f>
        <v>0</v>
      </c>
      <c r="F222" s="50"/>
      <c r="G222" s="50"/>
      <c r="H222" s="50"/>
      <c r="I222" s="50"/>
      <c r="J222" s="50"/>
      <c r="K222" s="50"/>
      <c r="L222" s="50"/>
      <c r="M222" s="50"/>
      <c r="N222" s="50"/>
      <c r="O222" s="50"/>
      <c r="P222" s="50"/>
      <c r="Q222" s="50"/>
      <c r="R222" s="50"/>
      <c r="S222" s="50"/>
      <c r="T222" s="50"/>
      <c r="U222" s="50"/>
      <c r="V222" s="50"/>
      <c r="W222" s="50"/>
      <c r="X222" s="50"/>
      <c r="Y222" s="50"/>
      <c r="Z222" s="50"/>
      <c r="AA222" s="50"/>
      <c r="AB222" s="107">
        <f t="shared" ref="AB222" si="101">SUM(D222:AA222)</f>
        <v>0</v>
      </c>
      <c r="AC222" s="194" t="str">
        <f>CONCATENATE(IF(D222&lt;&gt;D243,"*Starting ART &lt; 1 M  Must be equals to Infants 0-12 Months HIV +ve started on ART"&amp;CHAR(10),""),IF(E222&lt;&gt;E243,"*Starting ART &lt; 1 F  Must be equals to Infants 0-12 Months +ve started on ART"&amp;CHAR(10),""))</f>
        <v/>
      </c>
      <c r="AD222" s="764"/>
      <c r="AE222" s="97"/>
      <c r="AF222" s="612"/>
      <c r="AG222" s="480">
        <v>221</v>
      </c>
    </row>
    <row r="223" spans="1:34" ht="35.15" thickBot="1" x14ac:dyDescent="0.9">
      <c r="A223" s="568" t="s">
        <v>129</v>
      </c>
      <c r="B223" s="569"/>
      <c r="C223" s="569"/>
      <c r="D223" s="569"/>
      <c r="E223" s="569"/>
      <c r="F223" s="569"/>
      <c r="G223" s="569"/>
      <c r="H223" s="569"/>
      <c r="I223" s="569"/>
      <c r="J223" s="569"/>
      <c r="K223" s="569"/>
      <c r="L223" s="569"/>
      <c r="M223" s="569"/>
      <c r="N223" s="569"/>
      <c r="O223" s="569"/>
      <c r="P223" s="569"/>
      <c r="Q223" s="569"/>
      <c r="R223" s="569"/>
      <c r="S223" s="569"/>
      <c r="T223" s="569"/>
      <c r="U223" s="569"/>
      <c r="V223" s="569"/>
      <c r="W223" s="569"/>
      <c r="X223" s="569"/>
      <c r="Y223" s="569"/>
      <c r="Z223" s="569"/>
      <c r="AA223" s="569"/>
      <c r="AB223" s="569"/>
      <c r="AC223" s="569"/>
      <c r="AD223" s="569"/>
      <c r="AE223" s="569"/>
      <c r="AF223" s="570"/>
      <c r="AG223" s="480">
        <v>222</v>
      </c>
    </row>
    <row r="224" spans="1:34" ht="26.15" x14ac:dyDescent="0.85">
      <c r="A224" s="578" t="s">
        <v>37</v>
      </c>
      <c r="B224" s="601" t="s">
        <v>347</v>
      </c>
      <c r="C224" s="655" t="s">
        <v>328</v>
      </c>
      <c r="D224" s="593" t="s">
        <v>0</v>
      </c>
      <c r="E224" s="592"/>
      <c r="F224" s="592" t="s">
        <v>1</v>
      </c>
      <c r="G224" s="592"/>
      <c r="H224" s="592" t="s">
        <v>2</v>
      </c>
      <c r="I224" s="592"/>
      <c r="J224" s="592" t="s">
        <v>3</v>
      </c>
      <c r="K224" s="592"/>
      <c r="L224" s="592" t="s">
        <v>4</v>
      </c>
      <c r="M224" s="592"/>
      <c r="N224" s="592" t="s">
        <v>5</v>
      </c>
      <c r="O224" s="592"/>
      <c r="P224" s="592" t="s">
        <v>6</v>
      </c>
      <c r="Q224" s="592"/>
      <c r="R224" s="592" t="s">
        <v>7</v>
      </c>
      <c r="S224" s="592"/>
      <c r="T224" s="592" t="s">
        <v>8</v>
      </c>
      <c r="U224" s="592"/>
      <c r="V224" s="592" t="s">
        <v>23</v>
      </c>
      <c r="W224" s="592"/>
      <c r="X224" s="592" t="s">
        <v>24</v>
      </c>
      <c r="Y224" s="592"/>
      <c r="Z224" s="592" t="s">
        <v>9</v>
      </c>
      <c r="AA224" s="592"/>
      <c r="AB224" s="638" t="s">
        <v>19</v>
      </c>
      <c r="AC224" s="626" t="s">
        <v>381</v>
      </c>
      <c r="AD224" s="573" t="s">
        <v>387</v>
      </c>
      <c r="AE224" s="572" t="s">
        <v>388</v>
      </c>
      <c r="AF224" s="619" t="s">
        <v>388</v>
      </c>
      <c r="AG224" s="480">
        <v>223</v>
      </c>
    </row>
    <row r="225" spans="1:34" ht="26.6" thickBot="1" x14ac:dyDescent="0.9">
      <c r="A225" s="579"/>
      <c r="B225" s="602"/>
      <c r="C225" s="656"/>
      <c r="D225" s="116" t="s">
        <v>10</v>
      </c>
      <c r="E225" s="81" t="s">
        <v>11</v>
      </c>
      <c r="F225" s="81" t="s">
        <v>10</v>
      </c>
      <c r="G225" s="81" t="s">
        <v>11</v>
      </c>
      <c r="H225" s="81" t="s">
        <v>10</v>
      </c>
      <c r="I225" s="81" t="s">
        <v>11</v>
      </c>
      <c r="J225" s="81" t="s">
        <v>10</v>
      </c>
      <c r="K225" s="81" t="s">
        <v>11</v>
      </c>
      <c r="L225" s="81" t="s">
        <v>10</v>
      </c>
      <c r="M225" s="81" t="s">
        <v>11</v>
      </c>
      <c r="N225" s="81" t="s">
        <v>10</v>
      </c>
      <c r="O225" s="81" t="s">
        <v>11</v>
      </c>
      <c r="P225" s="81" t="s">
        <v>10</v>
      </c>
      <c r="Q225" s="81" t="s">
        <v>11</v>
      </c>
      <c r="R225" s="81" t="s">
        <v>10</v>
      </c>
      <c r="S225" s="81" t="s">
        <v>11</v>
      </c>
      <c r="T225" s="81" t="s">
        <v>10</v>
      </c>
      <c r="U225" s="81" t="s">
        <v>11</v>
      </c>
      <c r="V225" s="81" t="s">
        <v>10</v>
      </c>
      <c r="W225" s="81" t="s">
        <v>11</v>
      </c>
      <c r="X225" s="81" t="s">
        <v>10</v>
      </c>
      <c r="Y225" s="81" t="s">
        <v>11</v>
      </c>
      <c r="Z225" s="81" t="s">
        <v>10</v>
      </c>
      <c r="AA225" s="81" t="s">
        <v>11</v>
      </c>
      <c r="AB225" s="639"/>
      <c r="AC225" s="627"/>
      <c r="AD225" s="574"/>
      <c r="AE225" s="572"/>
      <c r="AF225" s="567"/>
      <c r="AG225" s="480">
        <v>224</v>
      </c>
    </row>
    <row r="226" spans="1:34" x14ac:dyDescent="0.85">
      <c r="A226" s="603" t="s">
        <v>483</v>
      </c>
      <c r="B226" s="310" t="s">
        <v>499</v>
      </c>
      <c r="C226" s="164" t="s">
        <v>373</v>
      </c>
      <c r="D226" s="126"/>
      <c r="E226" s="32"/>
      <c r="F226" s="32"/>
      <c r="G226" s="32"/>
      <c r="H226" s="32"/>
      <c r="I226" s="32"/>
      <c r="J226" s="32"/>
      <c r="K226" s="31"/>
      <c r="L226" s="32"/>
      <c r="M226" s="31"/>
      <c r="N226" s="32"/>
      <c r="O226" s="31"/>
      <c r="P226" s="32"/>
      <c r="Q226" s="31"/>
      <c r="R226" s="32"/>
      <c r="S226" s="31"/>
      <c r="T226" s="32"/>
      <c r="U226" s="31"/>
      <c r="V226" s="32"/>
      <c r="W226" s="31"/>
      <c r="X226" s="32"/>
      <c r="Y226" s="31"/>
      <c r="Z226" s="32"/>
      <c r="AA226" s="32"/>
      <c r="AB226" s="89">
        <f>SUM(D226:AA226)</f>
        <v>0</v>
      </c>
      <c r="AC226" s="102"/>
      <c r="AD226" s="589" t="str">
        <f>CONCATENATE(AC226,AC227,AC231,AC233,AC236,AC237,AC238,AC239,AC232,AC234,AC235,AC229,AC228,AC230)</f>
        <v/>
      </c>
      <c r="AE226" s="99" t="str">
        <f>CONCATENATE(IF(D226&lt;D193," * ON HAART at 1st ANC for Age "&amp;D20&amp;" "&amp;D21&amp;" is less than KP at 1st ANC "&amp;CHAR(10),""),IF(E226&lt;E193," * ON HAART at 1st ANC for Age "&amp;D20&amp;" "&amp;E21&amp;" is less than KP at 1st ANC "&amp;CHAR(10),""),IF(F226&lt;F193," * ON HAART at 1st ANC for Age "&amp;F20&amp;" "&amp;F21&amp;" is less than KP at 1st ANC "&amp;CHAR(10),""),IF(G226&lt;G193," * ON HAART at 1st ANC for Age "&amp;F20&amp;" "&amp;G21&amp;" is less than KP at 1st ANC "&amp;CHAR(10),""),IF(H226&lt;H193," * ON HAART at 1st ANC for Age "&amp;H20&amp;" "&amp;H21&amp;" is less than KP at 1st ANC "&amp;CHAR(10),""),IF(I226&lt;I193," * ON HAART at 1st ANC for Age "&amp;H20&amp;" "&amp;I21&amp;" is less than KP at 1st ANC "&amp;CHAR(10),""),IF(J226&lt;J193," * ON HAART at 1st ANC for Age "&amp;J20&amp;" "&amp;J21&amp;" is less than KP at 1st ANC "&amp;CHAR(10),""),IF(K226&lt;K193," * ON HAART at 1st ANC for Age "&amp;J20&amp;" "&amp;K21&amp;" is less than KP at 1st ANC "&amp;CHAR(10),""),IF(L226&lt;L193," * ON HAART at 1st ANC for Age "&amp;L20&amp;" "&amp;L21&amp;" is less than KP at 1st ANC "&amp;CHAR(10),""),IF(M226&lt;M193," * ON HAART at 1st ANC for Age "&amp;L20&amp;" "&amp;M21&amp;" is less than KP at 1st ANC "&amp;CHAR(10),""),IF(N226&lt;N193," * ON HAART at 1st ANC for Age "&amp;N20&amp;" "&amp;N21&amp;" is less than KP at 1st ANC "&amp;CHAR(10),""),IF(O226&lt;O193," * ON HAART at 1st ANC for Age "&amp;N20&amp;" "&amp;O21&amp;" is less than KP at 1st ANC "&amp;CHAR(10),""),IF(P226&lt;P193," * ON HAART at 1st ANC for Age "&amp;P20&amp;" "&amp;P21&amp;" is less than KP at 1st ANC "&amp;CHAR(10),""),IF(Q226&lt;Q193," * ON HAART at 1st ANC for Age "&amp;P20&amp;" "&amp;Q21&amp;" is less than KP at 1st ANC "&amp;CHAR(10),""),IF(R226&lt;R193," * ON HAART at 1st ANC for Age "&amp;R20&amp;" "&amp;R21&amp;" is less than KP at 1st ANC "&amp;CHAR(10),""),IF(S226&lt;S193," * ON HAART at 1st ANC for Age "&amp;R20&amp;" "&amp;S21&amp;" is less than KP at 1st ANC "&amp;CHAR(10),""),IF(T226&lt;T193," * ON HAART at 1st ANC for Age "&amp;T20&amp;" "&amp;T21&amp;" is less than KP at 1st ANC "&amp;CHAR(10),""),IF(U226&lt;U193," * ON HAART at 1st ANC for Age "&amp;T20&amp;" "&amp;U21&amp;" is less than KP at 1st ANC "&amp;CHAR(10),""),IF(V226&lt;V193," * ON HAART at 1st ANC for Age "&amp;V20&amp;" "&amp;V21&amp;" is less than KP at 1st ANC "&amp;CHAR(10),""),IF(W226&lt;W193," * ON HAART at 1st ANC for Age "&amp;V20&amp;" "&amp;W21&amp;" is less than KP at 1st ANC "&amp;CHAR(10),""),IF(X226&lt;X193," * ON HAART at 1st ANC for Age "&amp;X20&amp;" "&amp;X21&amp;" is less than KP at 1st ANC "&amp;CHAR(10),""),IF(Y226&lt;Y193," * ON HAART at 1st ANC for Age "&amp;X20&amp;" "&amp;Y21&amp;" is less than KP at 1st ANC "&amp;CHAR(10),""),IF(Z226&lt;Z193," * ON HAART at 1st ANC for Age "&amp;Z20&amp;" "&amp;Z21&amp;" is less than KP at 1st ANC "&amp;CHAR(10),""),IF(AA226&lt;AA193," * ON HAART at 1st ANC for Age "&amp;Z20&amp;" "&amp;AA21&amp;" is less than KP at 1st ANC "&amp;CHAR(10),""))</f>
        <v/>
      </c>
      <c r="AF226" s="586" t="str">
        <f>CONCATENATE(AE226,AE227,AE231,AE233,AE236,AE237,AE238,AE239,AE228,AE229,AE230,AE234,AE235)</f>
        <v/>
      </c>
      <c r="AG226" s="480">
        <v>225</v>
      </c>
    </row>
    <row r="227" spans="1:34" x14ac:dyDescent="0.85">
      <c r="A227" s="604"/>
      <c r="B227" s="305" t="s">
        <v>500</v>
      </c>
      <c r="C227" s="166" t="s">
        <v>374</v>
      </c>
      <c r="D227" s="127"/>
      <c r="E227" s="18"/>
      <c r="F227" s="18"/>
      <c r="G227" s="18"/>
      <c r="H227" s="18"/>
      <c r="I227" s="18"/>
      <c r="J227" s="18"/>
      <c r="K227" s="19"/>
      <c r="L227" s="18"/>
      <c r="M227" s="19"/>
      <c r="N227" s="18"/>
      <c r="O227" s="19"/>
      <c r="P227" s="18"/>
      <c r="Q227" s="19"/>
      <c r="R227" s="18"/>
      <c r="S227" s="19"/>
      <c r="T227" s="18"/>
      <c r="U227" s="19"/>
      <c r="V227" s="18"/>
      <c r="W227" s="19"/>
      <c r="X227" s="18"/>
      <c r="Y227" s="19"/>
      <c r="Z227" s="18"/>
      <c r="AA227" s="18"/>
      <c r="AB227" s="37">
        <f t="shared" ref="AB227:AB239" si="102">SUM(D227:AA227)</f>
        <v>0</v>
      </c>
      <c r="AC227" s="85" t="str">
        <f>CONCATENATE(IF(D227&gt;SUM(D195)," * Start HAART at ANC 1 for Age "&amp;D20&amp;" "&amp;D21&amp;" is more than Positive Test at ANC 1"&amp;CHAR(10),""),IF(E227&gt;SUM(E195)," * Start HAART at ANC 1  for Age "&amp;D20&amp;" "&amp;E21&amp;" is more than Positive Test at ANC 1"&amp;CHAR(10),""),IF(F227&gt;SUM(F195)," * Start HAART at ANC 1  for Age "&amp;F20&amp;" "&amp;F21&amp;" is more than Positive Test at ANC 1"&amp;CHAR(10),""),IF(G227&gt;SUM(G195)," * Start HAART at ANC 1  for Age "&amp;F20&amp;" "&amp;G21&amp;" is more than Positive Test at ANC 1"&amp;CHAR(10),""),IF(H227&gt;SUM(H195)," * Start HAART at ANC 1  for Age "&amp;H20&amp;" "&amp;H21&amp;" is more than Positive Test at ANC 1"&amp;CHAR(10),""),IF(I227&gt;SUM(I195)," * Start HAART at ANC 1  for Age "&amp;H20&amp;" "&amp;I21&amp;" is more than Positive Test at ANC 1"&amp;CHAR(10),""),IF(J227&gt;SUM(J195)," * Start HAART at ANC 1  for Age "&amp;J20&amp;" "&amp;J21&amp;" is more than Positive Test at ANC 1"&amp;CHAR(10),""),IF(K227&gt;SUM(K195)," * Start HAART at ANC 1  for Age "&amp;J20&amp;" "&amp;K21&amp;" is more than Positive Test at ANC 1"&amp;CHAR(10),""),IF(L227&gt;SUM(L195)," * Start HAART at ANC 1  for Age "&amp;L20&amp;" "&amp;L21&amp;" is more than Positive Test at ANC 1"&amp;CHAR(10),""),IF(M227&gt;SUM(M195)," * Start HAART at ANC 1  for Age "&amp;L20&amp;" "&amp;M21&amp;" is more than Positive Test at ANC 1"&amp;CHAR(10),""),IF(N227&gt;SUM(N195)," * Start HAART at ANC 1  for Age "&amp;N20&amp;" "&amp;N21&amp;" is more than Positive Test at ANC 1"&amp;CHAR(10),""),IF(O227&gt;SUM(O195)," * Start HAART at ANC 1  for Age "&amp;N20&amp;" "&amp;O21&amp;" is more than Positive Test at ANC 1"&amp;CHAR(10),""),IF(P227&gt;SUM(P195)," * Start HAART at ANC 1  for Age "&amp;P20&amp;" "&amp;P21&amp;" is more than Positive Test at ANC 1"&amp;CHAR(10),""),IF(Q227&gt;SUM(Q195)," * Start HAART at ANC 1  for Age "&amp;P20&amp;" "&amp;Q21&amp;" is more than Positive Test at ANC 1"&amp;CHAR(10),""),IF(R227&gt;SUM(R195)," * Start HAART at ANC 1  for Age "&amp;R20&amp;" "&amp;R21&amp;" is more than Positive Test at ANC 1"&amp;CHAR(10),""),IF(S227&gt;SUM(S195)," * Start HAART at ANC 1  for Age "&amp;R20&amp;" "&amp;S21&amp;" is more than Positive Test at ANC 1"&amp;CHAR(10),""),IF(T227&gt;SUM(T195)," * Start HAART at ANC 1  for Age "&amp;T20&amp;" "&amp;T21&amp;" is more than Positive Test at ANC 1"&amp;CHAR(10),""),IF(U227&gt;SUM(U195)," * Start HAART at ANC 1  for Age "&amp;T20&amp;" "&amp;U21&amp;" is more than Positive Test at ANC 1"&amp;CHAR(10),""),IF(V227&gt;SUM(V195)," * Start HAART at ANC 1  for Age "&amp;V20&amp;" "&amp;V21&amp;" is more than Positive Test at ANC 1"&amp;CHAR(10),""),IF(W227&gt;SUM(W195)," * Start HAART at ANC 1  for Age "&amp;V20&amp;" "&amp;W21&amp;" is more than Positive Test at ANC 1"&amp;CHAR(10),""),IF(X227&gt;SUM(X195)," * Start HAART at ANC 1  for Age "&amp;X20&amp;" "&amp;X21&amp;" is more than Positive Test at ANC 1"&amp;CHAR(10),""),IF(Y227&gt;SUM(Y195)," * Start HAART at ANC 1  for Age "&amp;X20&amp;" "&amp;Y21&amp;" is more than Positive Test at ANC 1"&amp;CHAR(10),""),IF(Z227&gt;SUM(Z195)," * Start HAART at ANC 1  for Age "&amp;Z20&amp;" "&amp;Z21&amp;" is more than Positive Test at ANC 1"&amp;CHAR(10),""),IF(AA227&gt;SUM(AA195)," * Start HAART at ANC 1  for Age "&amp;Z20&amp;" "&amp;AA21&amp;" is more than Positive Test at ANC 1"&amp;CHAR(10),""),IF(AB227&gt;SUM(AB195)," * Total Start HAART at ANC 1  is more than Positive Test at ANC 1"&amp;CHAR(10),""))</f>
        <v/>
      </c>
      <c r="AD227" s="590"/>
      <c r="AE227" s="83" t="str">
        <f>CONCATENATE(IF(D227&lt;SUM(D195)," * New positive at ANC1 for Age "&amp;D20&amp;" "&amp;D21&amp;" is greater than Start HAART ANC1"&amp;CHAR(10),""),IF(E227&lt;SUM(E195)," * New positive at ANC1 for Age "&amp;D20&amp;" "&amp;E21&amp;" is greater than Start HAART ANC1"&amp;CHAR(10),""),IF(F227&lt;SUM(F195)," * New positive at ANC1 for Age "&amp;F20&amp;" "&amp;F21&amp;" is greater than Start HAART ANC1"&amp;CHAR(10),""),IF(G227&lt;SUM(G195)," * New positive at ANC1 for Age "&amp;F20&amp;" "&amp;G21&amp;" is greater than Start HAART ANC1"&amp;CHAR(10),""),IF(H227&lt;SUM(H195)," * New positive at ANC1 for Age "&amp;H20&amp;" "&amp;H21&amp;" is greater than Start HAART ANC1"&amp;CHAR(10),""),IF(I227&lt;SUM(I195)," * New positive at ANC1 for Age "&amp;H20&amp;" "&amp;I21&amp;" is greater than Start HAART ANC1"&amp;CHAR(10),""),IF(J227&lt;SUM(J195)," * New positive at ANC1 for Age "&amp;J20&amp;" "&amp;J21&amp;" is greater than Start HAART ANC1"&amp;CHAR(10),""),IF(K227&lt;SUM(K195)," * New positive at ANC1 for Age "&amp;J20&amp;" "&amp;K21&amp;" is greater than Start HAART ANC1"&amp;CHAR(10),""),IF(L227&lt;SUM(L195)," * New positive at ANC1 for Age "&amp;L20&amp;" "&amp;L21&amp;" is greater than Start HAART ANC1"&amp;CHAR(10),""),IF(M227&lt;SUM(M195)," * New positive at ANC1 for Age "&amp;L20&amp;" "&amp;M21&amp;" is greater than Start HAART ANC1"&amp;CHAR(10),""),IF(N227&lt;SUM(N195)," * New positive at ANC1 for Age "&amp;N20&amp;" "&amp;N21&amp;" is greater than Start HAART ANC1"&amp;CHAR(10),""),IF(O227&lt;SUM(O195)," * New positive at ANC1 for Age "&amp;N20&amp;" "&amp;O21&amp;" is greater than Start HAART ANC1"&amp;CHAR(10),""),IF(P227&lt;SUM(P195)," * New positive at ANC1 for Age "&amp;P20&amp;" "&amp;P21&amp;" is greater than Start HAART ANC1"&amp;CHAR(10),""),IF(Q227&lt;SUM(Q195)," * New positive at ANC1 for Age "&amp;P20&amp;" "&amp;Q21&amp;" is greater than Start HAART ANC1"&amp;CHAR(10),""),IF(R227&lt;SUM(R195)," * New positive at ANC1 for Age "&amp;R20&amp;" "&amp;R21&amp;" is greater than Start HAART ANC1"&amp;CHAR(10),""),IF(S227&lt;SUM(S195)," * New positive at ANC1 for Age "&amp;R20&amp;" "&amp;S21&amp;" is greater than Start HAART ANC1"&amp;CHAR(10),""),IF(T227&lt;SUM(T195)," * New positive at ANC1 for Age "&amp;T20&amp;" "&amp;T21&amp;" is greater than Start HAART ANC1"&amp;CHAR(10),""),IF(U227&lt;SUM(U195)," * New positive at ANC1 for Age "&amp;T20&amp;" "&amp;U21&amp;" is greater than Start HAART ANC1"&amp;CHAR(10),""),IF(V227&lt;SUM(V195)," * New positive at ANC1 for Age "&amp;V20&amp;" "&amp;V21&amp;" is greater than Start HAART ANC1"&amp;CHAR(10),""),IF(W227&lt;SUM(W195)," * New positive at ANC1 for Age "&amp;V20&amp;" "&amp;W21&amp;" is greater than Start HAART ANC1"&amp;CHAR(10),""),IF(X227&lt;SUM(X195)," * New positive at ANC1 for Age "&amp;X20&amp;" "&amp;X21&amp;" is greater than Start HAART ANC1"&amp;CHAR(10),""),IF(Y227&lt;SUM(Y195)," * New positive at ANC1 for Age "&amp;X20&amp;" "&amp;Y21&amp;" is greater than Start HAART ANC1"&amp;CHAR(10),""),IF(Z227&lt;SUM(Z195)," * New positive at ANC1 for Age "&amp;Z20&amp;" "&amp;Z21&amp;" is greater than Start HAART ANC1"&amp;CHAR(10),""),IF(AA227&lt;SUM(AA195)," * New positive at ANC1 for Age "&amp;Z20&amp;" "&amp;AA21&amp;" is greater than Start HAART ANC1"&amp;CHAR(10),""))</f>
        <v/>
      </c>
      <c r="AF227" s="587"/>
      <c r="AG227" s="480">
        <v>226</v>
      </c>
    </row>
    <row r="228" spans="1:34" ht="32.15" thickBot="1" x14ac:dyDescent="0.9">
      <c r="A228" s="605"/>
      <c r="B228" s="489" t="s">
        <v>501</v>
      </c>
      <c r="C228" s="328" t="s">
        <v>508</v>
      </c>
      <c r="D228" s="279"/>
      <c r="E228" s="247"/>
      <c r="F228" s="247"/>
      <c r="G228" s="247"/>
      <c r="H228" s="247"/>
      <c r="I228" s="247"/>
      <c r="J228" s="247"/>
      <c r="K228" s="262">
        <f>SUM(K226:K227)</f>
        <v>0</v>
      </c>
      <c r="L228" s="247"/>
      <c r="M228" s="262">
        <f>SUM(M226:M227)</f>
        <v>0</v>
      </c>
      <c r="N228" s="247"/>
      <c r="O228" s="262">
        <f>SUM(O226:O227)</f>
        <v>0</v>
      </c>
      <c r="P228" s="247"/>
      <c r="Q228" s="262">
        <f>SUM(Q226:Q227)</f>
        <v>0</v>
      </c>
      <c r="R228" s="247"/>
      <c r="S228" s="262">
        <f>SUM(S226:S227)</f>
        <v>0</v>
      </c>
      <c r="T228" s="247"/>
      <c r="U228" s="262">
        <f>SUM(U226:U227)</f>
        <v>0</v>
      </c>
      <c r="V228" s="247"/>
      <c r="W228" s="262">
        <f>SUM(W226:W227)</f>
        <v>0</v>
      </c>
      <c r="X228" s="247"/>
      <c r="Y228" s="262">
        <f>SUM(Y226:Y227)</f>
        <v>0</v>
      </c>
      <c r="Z228" s="247"/>
      <c r="AA228" s="247"/>
      <c r="AB228" s="259">
        <f t="shared" si="102"/>
        <v>0</v>
      </c>
      <c r="AC228" s="85"/>
      <c r="AD228" s="590"/>
      <c r="AE228" s="83"/>
      <c r="AF228" s="587"/>
      <c r="AG228" s="480">
        <v>227</v>
      </c>
    </row>
    <row r="229" spans="1:34" x14ac:dyDescent="0.85">
      <c r="A229" s="555" t="s">
        <v>1035</v>
      </c>
      <c r="B229" s="321" t="s">
        <v>718</v>
      </c>
      <c r="C229" s="280" t="s">
        <v>509</v>
      </c>
      <c r="D229" s="286"/>
      <c r="E229" s="240"/>
      <c r="F229" s="240"/>
      <c r="G229" s="240"/>
      <c r="H229" s="240"/>
      <c r="I229" s="240"/>
      <c r="J229" s="240"/>
      <c r="K229" s="241"/>
      <c r="L229" s="240"/>
      <c r="M229" s="241"/>
      <c r="N229" s="240"/>
      <c r="O229" s="241"/>
      <c r="P229" s="240"/>
      <c r="Q229" s="241"/>
      <c r="R229" s="240"/>
      <c r="S229" s="241"/>
      <c r="T229" s="240"/>
      <c r="U229" s="241"/>
      <c r="V229" s="240"/>
      <c r="W229" s="241"/>
      <c r="X229" s="240"/>
      <c r="Y229" s="241"/>
      <c r="Z229" s="240"/>
      <c r="AA229" s="240"/>
      <c r="AB229" s="242">
        <f t="shared" si="102"/>
        <v>0</v>
      </c>
      <c r="AC229" s="85"/>
      <c r="AD229" s="590"/>
      <c r="AE229" s="84" t="str">
        <f>CONCATENATE(IF(D229&lt;&gt;SUM(D201)," * Initial test Positive Result at ANC 2 and above for Age "&amp;D20&amp;" "&amp;D21&amp;" is not equal to Initial start HAART at ANC2 and above"&amp;CHAR(10),""),IF(E229&lt;&gt;SUM(E201)," * Initial test Positive Result at ANC 2 and above for Age "&amp;D20&amp;" "&amp;E21&amp;" is not equal to Initial start HAART at ANC2 and above"&amp;CHAR(10),""),IF(F229&lt;&gt;SUM(F201)," * Initial test Positive Result at ANC 2 and above for Age "&amp;F20&amp;" "&amp;F21&amp;" is not equal to Initial start HAART at ANC2 and above"&amp;CHAR(10),""),IF(G229&lt;&gt;SUM(G201)," * Initial test Positive Result at ANC 2 and above for Age "&amp;F20&amp;" "&amp;G21&amp;" is not equal to Initial start HAART at ANC2 and above"&amp;CHAR(10),""),IF(H229&lt;&gt;SUM(H201)," * Initial test Positive Result at ANC 2 and above for Age "&amp;H20&amp;" "&amp;H21&amp;" is not equal to Initial start HAART at ANC2 and above"&amp;CHAR(10),""),IF(I229&lt;&gt;SUM(I201)," * Initial test Positive Result at ANC 2 and above for Age "&amp;H20&amp;" "&amp;I21&amp;" is not equal to Initial start HAART at ANC2 and above"&amp;CHAR(10),""),IF(J229&lt;&gt;SUM(J201)," * Initial test Positive Result at ANC 2 and above for Age "&amp;J20&amp;" "&amp;J21&amp;" is not equal to Initial start HAART at ANC2 and above"&amp;CHAR(10),""),IF(K229&lt;&gt;K201," * Initial test Positive Result at ANC 2 and above for Age "&amp;J20&amp;" "&amp;K21&amp;" is not equal to Initial start HAART at ANC2 and above"&amp;CHAR(10),""),IF(L229&lt;&gt;SUM(L201)," * Initial test Positive Result at ANC 2 and above for Age "&amp;L20&amp;" "&amp;L21&amp;" is not equal to Initial start HAART at ANC2 and above"&amp;CHAR(10),""),IF(M229&lt;&gt;SUM(M201)," * Initial test Positive Result at ANC 2 and above for Age "&amp;L20&amp;" "&amp;M21&amp;" is not equal to Initial start HAART at ANC2 and above"&amp;CHAR(10),""),IF(N229&lt;&gt;SUM(N201)," * Initial test Positive Result at ANC 2 and above for Age "&amp;N20&amp;" "&amp;N21&amp;" is not equal to Initial start HAART at ANC2 and above"&amp;CHAR(10),""),IF(O229&lt;&gt;SUM(O201)," * Initial test Positive Result at ANC 2 and above for Age "&amp;N20&amp;" "&amp;O21&amp;" is not equal to Initial start HAART at ANC2 and above"&amp;CHAR(10),""),IF(P229&lt;&gt;SUM(P201)," * Initial test Positive Result at ANC 2 and above for Age "&amp;P20&amp;" "&amp;P21&amp;" is not equal to Initial start HAART at ANC2 and above"&amp;CHAR(10),""),IF(Q229&lt;&gt;SUM(Q201)," * Initial test Positive Result at ANC 2 and above for Age "&amp;P20&amp;" "&amp;Q21&amp;" is not equal to Initial start HAART at ANC2 and above"&amp;CHAR(10),""),IF(R229&lt;&gt;SUM(R201)," * Initial test Positive Result at ANC 2 and above for Age "&amp;R20&amp;" "&amp;R21&amp;" is not equal to Initial start HAART at ANC2 and above"&amp;CHAR(10),""),IF(S229&lt;&gt;SUM(S201)," * Initial test Positive Result at ANC 2 and above for Age "&amp;R20&amp;" "&amp;S21&amp;" is not equal to Initial start HAART at ANC2 and above"&amp;CHAR(10),""),IF(T229&lt;&gt;SUM(T201)," * Initial test Positive Result at ANC 2 and above for Age "&amp;T20&amp;" "&amp;T21&amp;" is not equal to Initial start HAART at ANC2 and above"&amp;CHAR(10),""),IF(U229&lt;&gt;SUM(U201)," * Initial test Positive Result at ANC 2 and above for Age "&amp;T20&amp;" "&amp;U21&amp;" is not equal to Initial start HAART at ANC2 and above"&amp;CHAR(10),""),IF(V229&lt;&gt;SUM(V201)," * Initial test Positive Result at ANC 2 and above for Age "&amp;V20&amp;" "&amp;V21&amp;" is not equal to Initial start HAART at ANC2 and above"&amp;CHAR(10),""),IF(W229&lt;&gt;SUM(W201)," * Initial test Positive Result at ANC 2 and above for Age "&amp;V20&amp;" "&amp;W21&amp;" is not equal to Initial start HAART at ANC2 and above"&amp;CHAR(10),""),IF(X229&lt;&gt;SUM(X201)," * Initial test Positive Result at ANC 2 and above for Age "&amp;X20&amp;" "&amp;X21&amp;" is not equal to Initial start HAART at ANC2 and above"&amp;CHAR(10),""),IF(Y229&lt;&gt;SUM(Y201)," * Initial test Positive Result at ANC 2 and above for Age "&amp;X20&amp;" "&amp;Y21&amp;" is not equal to Initial start HAART at ANC2 and above"&amp;CHAR(10),""),IF(Z229&lt;&gt;SUM(Z201)," * Initial test Positive Result at ANC 2 and above for Age "&amp;Z20&amp;" "&amp;Z21&amp;" is not equal to Initial start HAART at ANC2 and above"&amp;CHAR(10),""),IF(AA229&lt;&gt;SUM(AA201)," * Initial test Positive Result at ANC 2 and above for Age "&amp;Z20&amp;" "&amp;AA21&amp;" is not equal to Initial start HAART at ANC2 and above"&amp;CHAR(10),""))</f>
        <v/>
      </c>
      <c r="AF229" s="587"/>
      <c r="AG229" s="480">
        <v>228</v>
      </c>
    </row>
    <row r="230" spans="1:34" ht="31.3" thickBot="1" x14ac:dyDescent="0.9">
      <c r="A230" s="557"/>
      <c r="B230" s="478" t="s">
        <v>503</v>
      </c>
      <c r="C230" s="291" t="s">
        <v>510</v>
      </c>
      <c r="D230" s="287"/>
      <c r="E230" s="244"/>
      <c r="F230" s="244"/>
      <c r="G230" s="244"/>
      <c r="H230" s="244"/>
      <c r="I230" s="244"/>
      <c r="J230" s="244"/>
      <c r="K230" s="245"/>
      <c r="L230" s="244"/>
      <c r="M230" s="245"/>
      <c r="N230" s="244"/>
      <c r="O230" s="245"/>
      <c r="P230" s="244"/>
      <c r="Q230" s="245"/>
      <c r="R230" s="244"/>
      <c r="S230" s="245"/>
      <c r="T230" s="244"/>
      <c r="U230" s="245"/>
      <c r="V230" s="244"/>
      <c r="W230" s="245"/>
      <c r="X230" s="244"/>
      <c r="Y230" s="245"/>
      <c r="Z230" s="244"/>
      <c r="AA230" s="244"/>
      <c r="AB230" s="246">
        <f t="shared" si="102"/>
        <v>0</v>
      </c>
      <c r="AC230" s="85"/>
      <c r="AD230" s="590"/>
      <c r="AE230" s="84" t="str">
        <f>CONCATENATE(IF(D230&lt;&gt;SUM(D201)," * Retest Positive Result at ANC 2 and above for Age "&amp;D20&amp;" "&amp;D21&amp;" is not equal to Retest start HAART at ANC2 and above"&amp;CHAR(10),""),IF(E230&lt;&gt;SUM(E201)," * Retest Positive Result at ANC 2 and above for Age "&amp;D20&amp;" "&amp;E21&amp;" is not equal to Retest start HAART at ANC2 and above"&amp;CHAR(10),""),IF(F230&lt;&gt;SUM(F201)," * Retest Positive Result at ANC 2 and above for Age "&amp;F20&amp;" "&amp;F21&amp;" is not equal to Retest start HAART at ANC2 and above"&amp;CHAR(10),""),IF(G230&lt;&gt;SUM(G201)," * Retest Positive Result at ANC 2 and above for Age "&amp;F20&amp;" "&amp;G21&amp;" is not equal to Retest start HAART at ANC2 and above"&amp;CHAR(10),""),IF(H230&lt;&gt;SUM(H201)," * Retest Positive Result at ANC 2 and above for Age "&amp;H20&amp;" "&amp;H21&amp;" is not equal to Retest start HAART at ANC2 and above"&amp;CHAR(10),""),IF(I230&lt;&gt;SUM(I201)," * Retest Positive Result at ANC 2 and above for Age "&amp;H20&amp;" "&amp;I21&amp;" is not equal to Retest start HAART at ANC2 and above"&amp;CHAR(10),""),IF(J230&lt;&gt;SUM(J201)," * Retest Positive Result at ANC 2 and above for Age "&amp;J20&amp;" "&amp;J21&amp;" is not equal to Retest start HAART at ANC2 and above"&amp;CHAR(10),""),IF(K230&lt;&gt;K201," * Retest Positive Result at ANC 2 and above for Age "&amp;J20&amp;" "&amp;K21&amp;" is not equal to Retest start HAART at ANC2 and above"&amp;CHAR(10),""),IF(L230&lt;&gt;SUM(L201)," * Retest Positive Result at ANC 2 and above for Age "&amp;L20&amp;" "&amp;L21&amp;" is not equal to Retest start HAART at ANC2 and above"&amp;CHAR(10),""),IF(M230&lt;&gt;SUM(M201)," * Retest Positive Result at ANC 2 and above for Age "&amp;L20&amp;" "&amp;M21&amp;" is not equal to Retest start HAART at ANC2 and above"&amp;CHAR(10),""),IF(N230&lt;&gt;SUM(N201)," * Retest Positive Result at ANC 2 and above for Age "&amp;N20&amp;" "&amp;N21&amp;" is not equal to Retest start HAART at ANC2 and above"&amp;CHAR(10),""),IF(O230&lt;&gt;SUM(O201)," * Retest Positive Result at ANC 2 and above for Age "&amp;N20&amp;" "&amp;O21&amp;" is not equal to Retest start HAART at ANC2 and above"&amp;CHAR(10),""),IF(P230&lt;&gt;SUM(P201)," * Retest Positive Result at ANC 2 and above for Age "&amp;P20&amp;" "&amp;P21&amp;" is not equal to Retest start HAART at ANC2 and above"&amp;CHAR(10),""),IF(Q230&lt;&gt;SUM(Q201)," * Retest Positive Result at ANC 2 and above for Age "&amp;P20&amp;" "&amp;Q21&amp;" is not equal to Retest start HAART at ANC2 and above"&amp;CHAR(10),""),IF(R230&lt;&gt;SUM(R201)," * Retest Positive Result at ANC 2 and above for Age "&amp;R20&amp;" "&amp;R21&amp;" is not equal to Retest start HAART at ANC2 and above"&amp;CHAR(10),""),IF(S230&lt;&gt;SUM(S201)," * Retest Positive Result at ANC 2 and above for Age "&amp;R20&amp;" "&amp;S21&amp;" is not equal to Retest start HAART at ANC2 and above"&amp;CHAR(10),""),IF(T230&lt;&gt;SUM(T201)," * Retest Positive Result at ANC 2 and above for Age "&amp;T20&amp;" "&amp;T21&amp;" is not equal to Retest start HAART at ANC2 and above"&amp;CHAR(10),""),IF(U230&lt;&gt;SUM(U201)," * Retest Positive Result at ANC 2 and above for Age "&amp;T20&amp;" "&amp;U21&amp;" is not equal to Retest start HAART at ANC2 and above"&amp;CHAR(10),""),IF(V230&lt;&gt;SUM(V201)," * Retest Positive Result at ANC 2 and above for Age "&amp;V20&amp;" "&amp;V21&amp;" is not equal to Retest start HAART at ANC2 and above"&amp;CHAR(10),""),IF(W230&lt;&gt;SUM(W201)," * Retest Positive Result at ANC 2 and above for Age "&amp;V20&amp;" "&amp;W21&amp;" is not equal to Retest start HAART at ANC2 and above"&amp;CHAR(10),""),IF(X230&lt;&gt;SUM(X201)," * Retest Positive Result at ANC 2 and above for Age "&amp;X20&amp;" "&amp;X21&amp;" is not equal to Retest start HAART at ANC2 and above"&amp;CHAR(10),""),IF(Y230&lt;&gt;SUM(Y201)," * Retest Positive Result at ANC 2 and above for Age "&amp;X20&amp;" "&amp;Y21&amp;" is not equal to Retest start HAART at ANC2 and above"&amp;CHAR(10),""),IF(Z230&lt;&gt;SUM(Z201)," * Retest Positive Result at ANC 2 and above for Age "&amp;Z20&amp;" "&amp;Z21&amp;" is not equal to Retest start HAART at ANC2 and above"&amp;CHAR(10),""),IF(AA230&lt;&gt;SUM(AA201)," * Retest Positive Result at ANC 2 and above for Age "&amp;Z20&amp;" "&amp;AA21&amp;" is not equal to Retest start HAART at ANC2 and above"&amp;CHAR(10),""))</f>
        <v/>
      </c>
      <c r="AF230" s="587"/>
      <c r="AG230" s="480">
        <v>229</v>
      </c>
    </row>
    <row r="231" spans="1:34" s="9" customFormat="1" x14ac:dyDescent="0.85">
      <c r="A231" s="594" t="s">
        <v>488</v>
      </c>
      <c r="B231" s="310" t="s">
        <v>504</v>
      </c>
      <c r="C231" s="477" t="s">
        <v>375</v>
      </c>
      <c r="D231" s="278"/>
      <c r="E231" s="239"/>
      <c r="F231" s="239"/>
      <c r="G231" s="239"/>
      <c r="H231" s="239"/>
      <c r="I231" s="239"/>
      <c r="J231" s="239"/>
      <c r="K231" s="238"/>
      <c r="L231" s="239"/>
      <c r="M231" s="238"/>
      <c r="N231" s="239"/>
      <c r="O231" s="238"/>
      <c r="P231" s="239"/>
      <c r="Q231" s="238"/>
      <c r="R231" s="239"/>
      <c r="S231" s="238"/>
      <c r="T231" s="239"/>
      <c r="U231" s="238"/>
      <c r="V231" s="239"/>
      <c r="W231" s="238"/>
      <c r="X231" s="239"/>
      <c r="Y231" s="238"/>
      <c r="Z231" s="239"/>
      <c r="AA231" s="239"/>
      <c r="AB231" s="257">
        <f t="shared" si="102"/>
        <v>0</v>
      </c>
      <c r="AC231" s="96" t="str">
        <f>CONCATENATE(IF(D231&gt;D203," * start HAART L&amp;D  for Age "&amp;D20&amp;" "&amp;D21&amp;" is more than Positive Result L&amp;D "&amp;CHAR(10),""),IF(E231&gt;E203," * start HAART L&amp;D  for Age "&amp;D20&amp;" "&amp;E21&amp;" is more than Positive Result L&amp;D "&amp;CHAR(10),""),IF(F231&gt;F203," * start HAART L&amp;D  for Age "&amp;F20&amp;" "&amp;F21&amp;" is more than Positive Result L&amp;D "&amp;CHAR(10),""),IF(G231&gt;G203," * start HAART L&amp;D  for Age "&amp;F20&amp;" "&amp;G21&amp;" is more than Positive Result L&amp;D "&amp;CHAR(10),""),IF(H231&gt;H203," * start HAART L&amp;D  for Age "&amp;H20&amp;" "&amp;H21&amp;" is more than Positive Result L&amp;D "&amp;CHAR(10),""),IF(I231&gt;I203," * start HAART L&amp;D  for Age "&amp;H20&amp;" "&amp;I21&amp;" is more than Positive Result L&amp;D "&amp;CHAR(10),""),IF(J231&gt;J203," * start HAART L&amp;D  for Age "&amp;J20&amp;" "&amp;J21&amp;" is more than Positive Result L&amp;D "&amp;CHAR(10),""),IF(K231&gt;K203," * start HAART L&amp;D  for Age "&amp;J20&amp;" "&amp;K21&amp;" is more than Positive Result L&amp;D "&amp;CHAR(10),""),IF(L231&gt;L203," * start HAART L&amp;D  for Age "&amp;L20&amp;" "&amp;L21&amp;" is more than Positive Result L&amp;D "&amp;CHAR(10),""),IF(M231&gt;M203," * start HAART L&amp;D  for Age "&amp;L20&amp;" "&amp;M21&amp;" is more than Positive Result L&amp;D "&amp;CHAR(10),""),IF(N231&gt;N203," * start HAART L&amp;D  for Age "&amp;N20&amp;" "&amp;N21&amp;" is more than Positive Result L&amp;D "&amp;CHAR(10),""),IF(O231&gt;O203," * start HAART L&amp;D  for Age "&amp;N20&amp;" "&amp;O21&amp;" is more than Positive Result L&amp;D "&amp;CHAR(10),""),IF(P231&gt;P203," * start HAART L&amp;D  for Age "&amp;P20&amp;" "&amp;P21&amp;" is more than Positive Result L&amp;D "&amp;CHAR(10),""),IF(Q231&gt;Q203," * start HAART L&amp;D  for Age "&amp;P20&amp;" "&amp;Q21&amp;" is more than Positive Result L&amp;D "&amp;CHAR(10),""),IF(R231&gt;R203," * start HAART L&amp;D  for Age "&amp;R20&amp;" "&amp;R21&amp;" is more than Positive Result L&amp;D "&amp;CHAR(10),""),IF(S231&gt;S203," * start HAART L&amp;D  for Age "&amp;R20&amp;" "&amp;S21&amp;" is more than Positive Result L&amp;D "&amp;CHAR(10),""),IF(T231&gt;T203," * start HAART L&amp;D  for Age "&amp;T20&amp;" "&amp;T21&amp;" is more than Positive Result L&amp;D "&amp;CHAR(10),""),IF(U231&gt;U203," * start HAART L&amp;D  for Age "&amp;T20&amp;" "&amp;U21&amp;" is more than Positive Result L&amp;D "&amp;CHAR(10),""),IF(V231&gt;V203," * start HAART L&amp;D  for Age "&amp;V20&amp;" "&amp;V21&amp;" is more than Positive Result L&amp;D "&amp;CHAR(10),""),IF(W231&gt;W203," * start HAART L&amp;D  for Age "&amp;V20&amp;" "&amp;W21&amp;" is more than Positive Result L&amp;D "&amp;CHAR(10),""),IF(X231&gt;X203," * start HAART L&amp;D  for Age "&amp;X20&amp;" "&amp;X21&amp;" is more than Positive Result L&amp;D "&amp;CHAR(10),""),IF(Y231&gt;Y203," * start HAART L&amp;D  for Age "&amp;X20&amp;" "&amp;Y21&amp;" is more than Positive Result L&amp;D "&amp;CHAR(10),""),IF(Z231&gt;Z203," * start HAART L&amp;D  for Age "&amp;Z20&amp;" "&amp;Z21&amp;" is more than Positive Result L&amp;D "&amp;CHAR(10),""),IF(AA231&gt;AA203," * start HAART L&amp;D  for Age "&amp;Z20&amp;" "&amp;AA21&amp;" is more than Positive Result L&amp;D "&amp;CHAR(10),"")
)</f>
        <v/>
      </c>
      <c r="AD231" s="590"/>
      <c r="AE231" s="84" t="str">
        <f>CONCATENATE(IF(D231&lt;D203," * start HAART L&amp;D  for Age "&amp;D20&amp;" "&amp;D21&amp;" is less than Positive Result L&amp;D "&amp;CHAR(10),""),IF(E231&lt;E203," * start HAART L&amp;D  for Age "&amp;D20&amp;" "&amp;E21&amp;" is less than Positive Result L&amp;D "&amp;CHAR(10),""),IF(F231&lt;F203," * start HAART L&amp;D  for Age "&amp;F20&amp;" "&amp;F21&amp;" is less than Positive Result L&amp;D "&amp;CHAR(10),""),IF(G231&lt;G203," * start HAART L&amp;D  for Age "&amp;F20&amp;" "&amp;G21&amp;" is less than Positive Result L&amp;D "&amp;CHAR(10),""),IF(H231&lt;H203," * start HAART L&amp;D  for Age "&amp;H20&amp;" "&amp;H21&amp;" is less than Positive Result L&amp;D "&amp;CHAR(10),""),IF(I231&lt;I203," * start HAART L&amp;D  for Age "&amp;H20&amp;" "&amp;I21&amp;" is less than Positive Result L&amp;D "&amp;CHAR(10),""),IF(J231&lt;J203," * start HAART L&amp;D  for Age "&amp;J20&amp;" "&amp;J21&amp;" is less than Positive Result L&amp;D "&amp;CHAR(10),""),IF(K231&lt;K203," * start HAART L&amp;D  for Age "&amp;J20&amp;" "&amp;K21&amp;" is less than Positive Result L&amp;D "&amp;CHAR(10),""),IF(L231&lt;L203," * start HAART L&amp;D  for Age "&amp;L20&amp;" "&amp;L21&amp;" is less than Positive Result L&amp;D "&amp;CHAR(10),""),IF(M231&lt;M203," * start HAART L&amp;D  for Age "&amp;L20&amp;" "&amp;M21&amp;" is less than Positive Result L&amp;D "&amp;CHAR(10),""),IF(N231&lt;N203," * start HAART L&amp;D  for Age "&amp;N20&amp;" "&amp;N21&amp;" is less than Positive Result L&amp;D "&amp;CHAR(10),""),IF(O231&lt;O203," * start HAART L&amp;D  for Age "&amp;N20&amp;" "&amp;O21&amp;" is less than Positive Result L&amp;D "&amp;CHAR(10),""),IF(P231&lt;P203," * start HAART L&amp;D  for Age "&amp;P20&amp;" "&amp;P21&amp;" is less than Positive Result L&amp;D "&amp;CHAR(10),""),IF(Q231&lt;Q203," * start HAART L&amp;D  for Age "&amp;P20&amp;" "&amp;Q21&amp;" is less than Positive Result L&amp;D "&amp;CHAR(10),""),IF(R231&lt;R203," * start HAART L&amp;D  for Age "&amp;R20&amp;" "&amp;R21&amp;" is less than Positive Result L&amp;D "&amp;CHAR(10),""),IF(S231&lt;S203," * start HAART L&amp;D  for Age "&amp;R20&amp;" "&amp;S21&amp;" is less than Positive Result L&amp;D "&amp;CHAR(10),""),IF(T231&lt;T203," * start HAART L&amp;D  for Age "&amp;T20&amp;" "&amp;T21&amp;" is less than Positive Result L&amp;D "&amp;CHAR(10),""),IF(U231&lt;U203," * start HAART L&amp;D  for Age "&amp;T20&amp;" "&amp;U21&amp;" is less than Positive Result L&amp;D "&amp;CHAR(10),""),IF(V231&lt;V203," * start HAART L&amp;D  for Age "&amp;V20&amp;" "&amp;V21&amp;" is less than Positive Result L&amp;D "&amp;CHAR(10),""),IF(W231&lt;W203," * start HAART L&amp;D  for Age "&amp;V20&amp;" "&amp;W21&amp;" is less than Positive Result L&amp;D "&amp;CHAR(10),""),IF(X231&lt;X203," * start HAART L&amp;D  for Age "&amp;X20&amp;" "&amp;X21&amp;" is less than Positive Result L&amp;D "&amp;CHAR(10),""),IF(Y231&lt;Y203," * start HAART L&amp;D  for Age "&amp;X20&amp;" "&amp;Y21&amp;" is less than Positive Result L&amp;D "&amp;CHAR(10),""),IF(Z231&lt;Z203," * start HAART L&amp;D  for Age "&amp;Z20&amp;" "&amp;Z21&amp;" is less than Positive Result L&amp;D "&amp;CHAR(10),""),IF(AA231&lt;AA203," * start HAART L&amp;D  for Age "&amp;Z20&amp;" "&amp;AA21&amp;" is less than Positive Result L&amp;D "&amp;CHAR(10),""))</f>
        <v/>
      </c>
      <c r="AF231" s="587"/>
      <c r="AG231" s="480">
        <v>230</v>
      </c>
      <c r="AH231" s="336"/>
    </row>
    <row r="232" spans="1:34" s="9" customFormat="1" ht="31.3" thickBot="1" x14ac:dyDescent="0.9">
      <c r="A232" s="678"/>
      <c r="B232" s="307" t="s">
        <v>649</v>
      </c>
      <c r="C232" s="145" t="s">
        <v>650</v>
      </c>
      <c r="D232" s="143"/>
      <c r="E232" s="38"/>
      <c r="F232" s="38"/>
      <c r="G232" s="38"/>
      <c r="H232" s="38"/>
      <c r="I232" s="38"/>
      <c r="J232" s="38"/>
      <c r="K232" s="39"/>
      <c r="L232" s="38"/>
      <c r="M232" s="39"/>
      <c r="N232" s="38"/>
      <c r="O232" s="39"/>
      <c r="P232" s="38"/>
      <c r="Q232" s="39"/>
      <c r="R232" s="38"/>
      <c r="S232" s="39"/>
      <c r="T232" s="38"/>
      <c r="U232" s="39"/>
      <c r="V232" s="38"/>
      <c r="W232" s="39"/>
      <c r="X232" s="38"/>
      <c r="Y232" s="39"/>
      <c r="Z232" s="38"/>
      <c r="AA232" s="38"/>
      <c r="AB232" s="243">
        <f t="shared" si="102"/>
        <v>0</v>
      </c>
      <c r="AC232" s="96" t="str">
        <f>CONCATENATE(IF(D232&gt;D205," * Retested start HAART L&amp;D  for Age "&amp;D20&amp;" "&amp;D21&amp;" is more than Retested Positive Result L&amp;D "&amp;CHAR(10),""),IF(E232&gt;E205," * Retested start HAART L&amp;D  for Age "&amp;D20&amp;" "&amp;E21&amp;" is more than Retested Positive Result L&amp;D "&amp;CHAR(10),""),IF(F232&gt;F205," * Retested start HAART L&amp;D  for Age "&amp;F20&amp;" "&amp;F21&amp;" is more than Retested Positive Result L&amp;D "&amp;CHAR(10),""),IF(G232&gt;G205," * Retested start HAART L&amp;D  for Age "&amp;F20&amp;" "&amp;G21&amp;" is more than Retested Positive Result L&amp;D "&amp;CHAR(10),""),IF(H232&gt;H205," * Retested start HAART L&amp;D  for Age "&amp;H20&amp;" "&amp;H21&amp;" is more than Retested Positive Result L&amp;D "&amp;CHAR(10),""),IF(I232&gt;I205," * Retested start HAART L&amp;D  for Age "&amp;H20&amp;" "&amp;I21&amp;" is more than Retested Positive Result L&amp;D "&amp;CHAR(10),""),IF(J232&gt;J205," * Retested start HAART L&amp;D  for Age "&amp;J20&amp;" "&amp;J21&amp;" is more than Retested Positive Result L&amp;D "&amp;CHAR(10),""),IF(K232&gt;K205," * Retested start HAART L&amp;D  for Age "&amp;J20&amp;" "&amp;K21&amp;" is more than Retested Positive Result L&amp;D "&amp;CHAR(10),""),IF(L232&gt;L205," * Retested start HAART L&amp;D  for Age "&amp;L20&amp;" "&amp;L21&amp;" is more than Retested Positive Result L&amp;D "&amp;CHAR(10),""),IF(M232&gt;M205," * Retested start HAART L&amp;D  for Age "&amp;L20&amp;" "&amp;M21&amp;" is more than Retested Positive Result L&amp;D "&amp;CHAR(10),""),IF(N232&gt;N205," * Retested start HAART L&amp;D  for Age "&amp;N20&amp;" "&amp;N21&amp;" is more than Retested Positive Result L&amp;D "&amp;CHAR(10),""),IF(O232&gt;O205," * Retested start HAART L&amp;D  for Age "&amp;N20&amp;" "&amp;O21&amp;" is more than Retested Positive Result L&amp;D "&amp;CHAR(10),""),IF(P232&gt;P205," * Retested start HAART L&amp;D  for Age "&amp;P20&amp;" "&amp;P21&amp;" is more than Retested Positive Result L&amp;D "&amp;CHAR(10),""),IF(Q232&gt;Q205," * Retested start HAART L&amp;D  for Age "&amp;P20&amp;" "&amp;Q21&amp;" is more than Retested Positive Result L&amp;D "&amp;CHAR(10),""),IF(R232&gt;R205," * Retested start HAART L&amp;D  for Age "&amp;R20&amp;" "&amp;R21&amp;" is more than Retested Positive Result L&amp;D "&amp;CHAR(10),""),IF(S232&gt;S205," * Retested start HAART L&amp;D  for Age "&amp;R20&amp;" "&amp;S21&amp;" is more than Retested Positive Result L&amp;D "&amp;CHAR(10),""),IF(T232&gt;T205," * Retested start HAART L&amp;D  for Age "&amp;T20&amp;" "&amp;T21&amp;" is more than Retested Positive Result L&amp;D "&amp;CHAR(10),""),IF(U232&gt;U205," * Retested start HAART L&amp;D  for Age "&amp;T20&amp;" "&amp;U21&amp;" is more than Retested Positive Result L&amp;D "&amp;CHAR(10),""),IF(V232&gt;V205," * Retested start HAART L&amp;D  for Age "&amp;V20&amp;" "&amp;V21&amp;" is more than Retested Positive Result L&amp;D "&amp;CHAR(10),""),IF(W232&gt;W205," * Retested start HAART L&amp;D  for Age "&amp;V20&amp;" "&amp;W21&amp;" is more than Retested Positive Result L&amp;D "&amp;CHAR(10),""),IF(X232&gt;X205," * Retested start HAART L&amp;D  for Age "&amp;X20&amp;" "&amp;X21&amp;" is more than Retested Positive Result L&amp;D "&amp;CHAR(10),""),IF(Y232&gt;Y205," * Retested start HAART L&amp;D  for Age "&amp;X20&amp;" "&amp;Y21&amp;" is more than Retested Positive Result L&amp;D "&amp;CHAR(10),""),IF(Z232&gt;Z205," * Retested start HAART L&amp;D  for Age "&amp;Z20&amp;" "&amp;Z21&amp;" is more than Retested Positive Result L&amp;D "&amp;CHAR(10),""),IF(AA232&gt;AA205," * Retested start HAART L&amp;D  for Age "&amp;Z20&amp;" "&amp;AA21&amp;" is more than Retested Positive Result L&amp;D "&amp;CHAR(10),"")
)</f>
        <v/>
      </c>
      <c r="AD232" s="590"/>
      <c r="AE232" s="84"/>
      <c r="AF232" s="587"/>
      <c r="AG232" s="480">
        <v>231</v>
      </c>
      <c r="AH232" s="336"/>
    </row>
    <row r="233" spans="1:34" x14ac:dyDescent="0.85">
      <c r="A233" s="606" t="s">
        <v>493</v>
      </c>
      <c r="B233" s="308" t="s">
        <v>506</v>
      </c>
      <c r="C233" s="164" t="s">
        <v>376</v>
      </c>
      <c r="D233" s="141"/>
      <c r="E233" s="34"/>
      <c r="F233" s="34"/>
      <c r="G233" s="34"/>
      <c r="H233" s="34"/>
      <c r="I233" s="34"/>
      <c r="J233" s="34"/>
      <c r="K233" s="35"/>
      <c r="L233" s="34"/>
      <c r="M233" s="35"/>
      <c r="N233" s="34"/>
      <c r="O233" s="35"/>
      <c r="P233" s="34"/>
      <c r="Q233" s="35"/>
      <c r="R233" s="34"/>
      <c r="S233" s="35"/>
      <c r="T233" s="34"/>
      <c r="U233" s="35"/>
      <c r="V233" s="34"/>
      <c r="W233" s="35"/>
      <c r="X233" s="34"/>
      <c r="Y233" s="35"/>
      <c r="Z233" s="34"/>
      <c r="AA233" s="34"/>
      <c r="AB233" s="36">
        <f t="shared" si="102"/>
        <v>0</v>
      </c>
      <c r="AC233" s="85" t="str">
        <f>CONCATENATE(IF(D233&gt;D207," * F06-16 for Age "&amp;D20&amp;" "&amp;D21&amp;" is more than F06-10"&amp;CHAR(10),""),IF(E233&gt;E207," * F06-16 for Age "&amp;D20&amp;" "&amp;E21&amp;" is more than F06-10"&amp;CHAR(10),""),IF(F233&gt;F207," * F06-16 for Age "&amp;F20&amp;" "&amp;F21&amp;" is more than F06-10"&amp;CHAR(10),""),IF(G233&gt;G207," * F06-16 for Age "&amp;F20&amp;" "&amp;G21&amp;" is more than F06-10"&amp;CHAR(10),""),IF(H233&gt;H207," * F06-16 for Age "&amp;H20&amp;" "&amp;H21&amp;" is more than F06-10"&amp;CHAR(10),""),IF(I233&gt;I207," * F06-16 for Age "&amp;H20&amp;" "&amp;I21&amp;" is more than F06-10"&amp;CHAR(10),""),IF(J233&gt;J207," * F06-16 for Age "&amp;J20&amp;" "&amp;J21&amp;" is more than F06-10"&amp;CHAR(10),""),IF(K233&gt;K207," * F06-16 for Age "&amp;J20&amp;" "&amp;K21&amp;" is more than F06-10"&amp;CHAR(10),""),IF(L233&gt;L207," * F06-16 for Age "&amp;L20&amp;" "&amp;L21&amp;" is more than F06-10"&amp;CHAR(10),""),IF(M233&gt;M207," * F06-16 for Age "&amp;L20&amp;" "&amp;M21&amp;" is more than F06-10"&amp;CHAR(10),""),IF(N233&gt;N207," * F06-16 for Age "&amp;N20&amp;" "&amp;N21&amp;" is more than F06-10"&amp;CHAR(10),""),IF(O233&gt;O207," * F06-16 for Age "&amp;N20&amp;" "&amp;O21&amp;" is more than F06-10"&amp;CHAR(10),""),IF(P233&gt;P207," * F06-16 for Age "&amp;P20&amp;" "&amp;P21&amp;" is more than F06-10"&amp;CHAR(10),""),IF(Q233&gt;Q207," * F06-16 for Age "&amp;P20&amp;" "&amp;Q21&amp;" is more than F06-10"&amp;CHAR(10),""),IF(R233&gt;R207," * F06-16 for Age "&amp;R20&amp;" "&amp;R21&amp;" is more than F06-10"&amp;CHAR(10),""),IF(S233&gt;S207," * F06-16 for Age "&amp;R20&amp;" "&amp;S21&amp;" is more than F06-10"&amp;CHAR(10),""),IF(T233&gt;T207," * F06-16 for Age "&amp;T20&amp;" "&amp;T21&amp;" is more than F06-10"&amp;CHAR(10),""),IF(U233&gt;U207," * F06-16 for Age "&amp;T20&amp;" "&amp;U21&amp;" is more than F06-10"&amp;CHAR(10),""),IF(V233&gt;V207," * F06-16 for Age "&amp;V20&amp;" "&amp;V21&amp;" is more than F06-10"&amp;CHAR(10),""),IF(W233&gt;W207," * F06-16 for Age "&amp;V20&amp;" "&amp;W21&amp;" is more than F06-10"&amp;CHAR(10),""),IF(X233&gt;X207," * F06-16 for Age "&amp;X20&amp;" "&amp;X21&amp;" is more than F06-10"&amp;CHAR(10),""),IF(Y233&gt;Y207," * F06-16 for Age "&amp;X20&amp;" "&amp;Y21&amp;" is more than F06-10"&amp;CHAR(10),""),IF(Z233&gt;Z207," * F06-16 for Age "&amp;Z20&amp;" "&amp;Z21&amp;" is more than F06-10"&amp;CHAR(10),""),IF(AA233&gt;AA207," * F06-16 for Age "&amp;Z20&amp;" "&amp;AA21&amp;" is more than F06-10"&amp;CHAR(10),""),IF(AB233&gt;AB207," * Total F06-16 is more than Total F06-10"&amp;CHAR(10),""))</f>
        <v/>
      </c>
      <c r="AD233" s="590"/>
      <c r="AE233" s="83" t="str">
        <f>CONCATENATE(IF(D233&lt;D207," * F06-16 for Age "&amp;D20&amp;" "&amp;D21&amp;" is less than F06-10"&amp;CHAR(10),""),IF(E233&lt;E207," * F06-16 for Age "&amp;D20&amp;" "&amp;E21&amp;" is less than F06-10"&amp;CHAR(10),""),IF(F233&lt;F207," * F06-16 for Age "&amp;F20&amp;" "&amp;F21&amp;" is less than F06-10"&amp;CHAR(10),""),IF(G233&lt;G207," * F06-16 for Age "&amp;F20&amp;" "&amp;G21&amp;" is less than F06-10"&amp;CHAR(10),""),IF(H233&lt;H207," * F06-16 for Age "&amp;H20&amp;" "&amp;H21&amp;" is less than F06-10"&amp;CHAR(10),""),IF(I233&lt;I207," * F06-16 for Age "&amp;H20&amp;" "&amp;I21&amp;" is less than F06-10"&amp;CHAR(10),""),IF(J233&lt;J207," * F06-16 for Age "&amp;J20&amp;" "&amp;J21&amp;" is less than F06-10"&amp;CHAR(10),""),IF(K233&lt;K207," * F06-16 for Age "&amp;J20&amp;" "&amp;K21&amp;" is less than F06-10"&amp;CHAR(10),""),IF(L233&lt;L207," * F06-16 for Age "&amp;L20&amp;" "&amp;L21&amp;" is less than F06-10"&amp;CHAR(10),""),IF(M233&lt;M207," * F06-16 for Age "&amp;L20&amp;" "&amp;M21&amp;" is less than F06-10"&amp;CHAR(10),""),IF(N233&lt;N207," * F06-16 for Age "&amp;N20&amp;" "&amp;N21&amp;" is less than F06-10"&amp;CHAR(10),""),IF(O233&lt;O207," * F06-16 for Age "&amp;N20&amp;" "&amp;O21&amp;" is less than F06-10"&amp;CHAR(10),""),IF(P233&lt;P207," * F06-16 for Age "&amp;P20&amp;" "&amp;P21&amp;" is less than F06-10"&amp;CHAR(10),""),IF(Q233&lt;Q207," * F06-16 for Age "&amp;P20&amp;" "&amp;Q21&amp;" is less than F06-10"&amp;CHAR(10),""),IF(R233&lt;R207," * F06-16 for Age "&amp;R20&amp;" "&amp;R21&amp;" is less than F06-10"&amp;CHAR(10),""),IF(S233&lt;S207," * F06-16 for Age "&amp;R20&amp;" "&amp;S21&amp;" is less than F06-10"&amp;CHAR(10),""),IF(T233&lt;T207," * F06-16 for Age "&amp;T20&amp;" "&amp;T21&amp;" is less than F06-10"&amp;CHAR(10),""),IF(U233&lt;U207," * F06-16 for Age "&amp;T20&amp;" "&amp;U21&amp;" is less than F06-10"&amp;CHAR(10),""),IF(V233&lt;V207," * F06-16 for Age "&amp;V20&amp;" "&amp;V21&amp;" is less than F06-10"&amp;CHAR(10),""),IF(W233&lt;W207," * F06-16 for Age "&amp;V20&amp;" "&amp;W21&amp;" is less than F06-10"&amp;CHAR(10),""),IF(X233&lt;X207," * F06-16 for Age "&amp;X20&amp;" "&amp;X21&amp;" is less than F06-10"&amp;CHAR(10),""),IF(Y233&lt;Y207," * F06-16 for Age "&amp;X20&amp;" "&amp;Y21&amp;" is less than F06-10"&amp;CHAR(10),""),IF(Z233&lt;Z207," * F06-16 for Age "&amp;Z20&amp;" "&amp;Z21&amp;" is less than F06-10"&amp;CHAR(10),""),IF(AA233&lt;AA207," * F06-16 for Age "&amp;Z20&amp;" "&amp;AA21&amp;" is less than F06-10"&amp;CHAR(10),""),IF(AB233&lt;AB207," * Total F06-16 is less than Total F06-10"&amp;CHAR(10),""))</f>
        <v/>
      </c>
      <c r="AF233" s="587"/>
      <c r="AG233" s="480">
        <v>232</v>
      </c>
    </row>
    <row r="234" spans="1:34" x14ac:dyDescent="0.85">
      <c r="A234" s="604"/>
      <c r="B234" s="305" t="s">
        <v>507</v>
      </c>
      <c r="C234" s="146" t="s">
        <v>511</v>
      </c>
      <c r="D234" s="127"/>
      <c r="E234" s="18"/>
      <c r="F234" s="18"/>
      <c r="G234" s="18"/>
      <c r="H234" s="18"/>
      <c r="I234" s="18"/>
      <c r="J234" s="18"/>
      <c r="K234" s="19"/>
      <c r="L234" s="18"/>
      <c r="M234" s="19"/>
      <c r="N234" s="18"/>
      <c r="O234" s="19"/>
      <c r="P234" s="18"/>
      <c r="Q234" s="19"/>
      <c r="R234" s="18"/>
      <c r="S234" s="19"/>
      <c r="T234" s="18"/>
      <c r="U234" s="19"/>
      <c r="V234" s="18"/>
      <c r="W234" s="19"/>
      <c r="X234" s="18"/>
      <c r="Y234" s="19"/>
      <c r="Z234" s="18"/>
      <c r="AA234" s="18"/>
      <c r="AB234" s="243">
        <f t="shared" si="102"/>
        <v>0</v>
      </c>
      <c r="AC234" s="85" t="str">
        <f>CONCATENATE(IF(D234&gt;D209," * Retest Start HAART at PNC &lt; = 6 weeks for Age "&amp;D20&amp;" "&amp;D21&amp;" is more than Retesting positive result at PNC &lt; = 6 weeks"&amp;CHAR(10),""),IF(E234&gt;E209," * Retest Start HAART at PNC &lt; = 6 weeks for Age "&amp;D20&amp;" "&amp;E21&amp;" is more than Retesting positive result at PNC &lt; = 6 weeks"&amp;CHAR(10),""),IF(F234&gt;F209," * Retest Start HAART at PNC &lt; = 6 weeks for Age "&amp;F20&amp;" "&amp;F21&amp;" is more than Retesting positive result at PNC &lt; = 6 weeks"&amp;CHAR(10),""),IF(G234&gt;G209," * Retest Start HAART at PNC &lt; = 6 weeks for Age "&amp;F20&amp;" "&amp;G21&amp;" is more than Retesting positive result at PNC &lt; = 6 weeks"&amp;CHAR(10),""),IF(H234&gt;H209," * Retest Start HAART at PNC &lt; = 6 weeks for Age "&amp;H20&amp;" "&amp;H21&amp;" is more than Retesting positive result at PNC &lt; = 6 weeks"&amp;CHAR(10),""),IF(I234&gt;I209," * Retest Start HAART at PNC &lt; = 6 weeks for Age "&amp;H20&amp;" "&amp;I21&amp;" is more than Retesting positive result at PNC &lt; = 6 weeks"&amp;CHAR(10),""),IF(J234&gt;J209," * Retest Start HAART at PNC &lt; = 6 weeks for Age "&amp;J20&amp;" "&amp;J21&amp;" is more than Retesting positive result at PNC &lt; = 6 weeks"&amp;CHAR(10),""),IF(K234&gt;K209," * Retest Start HAART at PNC &lt; = 6 weeks for Age "&amp;J20&amp;" "&amp;K21&amp;" is more than Retesting positive result at PNC &lt; = 6 weeks"&amp;CHAR(10),""),IF(L234&gt;L209," * Retest Start HAART at PNC &lt; = 6 weeks for Age "&amp;L20&amp;" "&amp;L21&amp;" is more than Retesting positive result at PNC &lt; = 6 weeks"&amp;CHAR(10),""),IF(M234&gt;M209," * Retest Start HAART at PNC &lt; = 6 weeks for Age "&amp;L20&amp;" "&amp;M21&amp;" is more than Retesting positive result at PNC &lt; = 6 weeks"&amp;CHAR(10),""),IF(N234&gt;N209," * Retest Start HAART at PNC &lt; = 6 weeks for Age "&amp;N20&amp;" "&amp;N21&amp;" is more than Retesting positive result at PNC &lt; = 6 weeks"&amp;CHAR(10),""),IF(O234&gt;O209," * Retest Start HAART at PNC &lt; = 6 weeks for Age "&amp;N20&amp;" "&amp;O21&amp;" is more than Retesting positive result at PNC &lt; = 6 weeks"&amp;CHAR(10),""),IF(P234&gt;P209," * Retest Start HAART at PNC &lt; = 6 weeks for Age "&amp;P20&amp;" "&amp;P21&amp;" is more than Retesting positive result at PNC &lt; = 6 weeks"&amp;CHAR(10),""),IF(Q234&gt;Q209," * Retest Start HAART at PNC &lt; = 6 weeks for Age "&amp;P20&amp;" "&amp;Q21&amp;" is more than Retesting positive result at PNC &lt; = 6 weeks"&amp;CHAR(10),""),IF(R234&gt;R209," * Retest Start HAART at PNC &lt; = 6 weeks for Age "&amp;R20&amp;" "&amp;R21&amp;" is more than Retesting positive result at PNC &lt; = 6 weeks"&amp;CHAR(10),""),IF(S234&gt;S209," * Retest Start HAART at PNC &lt; = 6 weeks for Age "&amp;R20&amp;" "&amp;S21&amp;" is more than Retesting positive result at PNC &lt; = 6 weeks"&amp;CHAR(10),""),IF(T234&gt;T209," * Retest Start HAART at PNC &lt; = 6 weeks for Age "&amp;T20&amp;" "&amp;T21&amp;" is more than Retesting positive result at PNC &lt; = 6 weeks"&amp;CHAR(10),""),IF(U234&gt;U209," * Retest Start HAART at PNC &lt; = 6 weeks for Age "&amp;T20&amp;" "&amp;U21&amp;" is more than Retesting positive result at PNC &lt; = 6 weeks"&amp;CHAR(10),""),IF(V234&gt;V209," * Retest Start HAART at PNC &lt; = 6 weeks for Age "&amp;V20&amp;" "&amp;V21&amp;" is more than Retesting positive result at PNC &lt; = 6 weeks"&amp;CHAR(10),""),IF(W234&gt;W209," * Retest Start HAART at PNC &lt; = 6 weeks for Age "&amp;V20&amp;" "&amp;W21&amp;" is more than Retesting positive result at PNC &lt; = 6 weeks"&amp;CHAR(10),""),IF(X234&gt;X209," * Retest Start HAART at PNC &lt; = 6 weeks for Age "&amp;X20&amp;" "&amp;X21&amp;" is more than Retesting positive result at PNC &lt; = 6 weeks"&amp;CHAR(10),""),IF(Y234&gt;Y209," * Retest Start HAART at PNC &lt; = 6 weeks for Age "&amp;X20&amp;" "&amp;Y21&amp;" is more than Retesting positive result at PNC &lt; = 6 weeks"&amp;CHAR(10),""),IF(Z234&gt;Z209," * Retest Start HAART at PNC &lt; = 6 weeks for Age "&amp;Z20&amp;" "&amp;Z21&amp;" is more than Retesting positive result at PNC &lt; = 6 weeks"&amp;CHAR(10),""),IF(AA234&gt;AA209," * Retest Start HAART at PNC &lt; = 6 weeks for Age "&amp;Z20&amp;" "&amp;AA21&amp;" is more than Retesting positive result at PNC &lt; = 6 weeks"&amp;CHAR(10),""))</f>
        <v/>
      </c>
      <c r="AD234" s="590"/>
      <c r="AE234" s="83"/>
      <c r="AF234" s="587"/>
      <c r="AG234" s="480">
        <v>233</v>
      </c>
    </row>
    <row r="235" spans="1:34" s="9" customFormat="1" ht="31.3" thickBot="1" x14ac:dyDescent="0.9">
      <c r="A235" s="605"/>
      <c r="B235" s="307" t="s">
        <v>505</v>
      </c>
      <c r="C235" s="131" t="s">
        <v>512</v>
      </c>
      <c r="D235" s="143"/>
      <c r="E235" s="38"/>
      <c r="F235" s="38"/>
      <c r="G235" s="38"/>
      <c r="H235" s="38"/>
      <c r="I235" s="38"/>
      <c r="J235" s="38"/>
      <c r="K235" s="39"/>
      <c r="L235" s="38"/>
      <c r="M235" s="39"/>
      <c r="N235" s="38"/>
      <c r="O235" s="39"/>
      <c r="P235" s="38"/>
      <c r="Q235" s="39"/>
      <c r="R235" s="38"/>
      <c r="S235" s="39"/>
      <c r="T235" s="38"/>
      <c r="U235" s="39"/>
      <c r="V235" s="38"/>
      <c r="W235" s="39"/>
      <c r="X235" s="38"/>
      <c r="Y235" s="39"/>
      <c r="Z235" s="38"/>
      <c r="AA235" s="38"/>
      <c r="AB235" s="243">
        <f t="shared" si="102"/>
        <v>0</v>
      </c>
      <c r="AC235" s="85" t="str">
        <f>CONCATENATE(IF(D235&gt;D211," * Start HAART at PNC  &gt; 6 weeks for Age "&amp;D20&amp;" "&amp;D21&amp;" is more than  positive result at PNC  &gt; 6 weeks"&amp;CHAR(10),""),IF(E235&gt;E211," * Start HAART at PNC  &gt; 6 weeks for Age "&amp;D20&amp;" "&amp;E21&amp;" is more than  positive result at PNC  &gt; 6 weeks"&amp;CHAR(10),""),IF(F235&gt;F211," * Start HAART at PNC  &gt; 6 weeks for Age "&amp;F20&amp;" "&amp;F21&amp;" is more than  positive result at PNC  &gt; 6 weeks"&amp;CHAR(10),""),IF(G235&gt;G211," * Start HAART at PNC  &gt; 6 weeks for Age "&amp;F20&amp;" "&amp;G21&amp;" is more than  positive result at PNC  &gt; 6 weeks"&amp;CHAR(10),""),IF(H235&gt;H211," * Start HAART at PNC  &gt; 6 weeks for Age "&amp;H20&amp;" "&amp;H21&amp;" is more than  positive result at PNC  &gt; 6 weeks"&amp;CHAR(10),""),IF(I235&gt;I211," * Start HAART at PNC  &gt; 6 weeks for Age "&amp;H20&amp;" "&amp;I21&amp;" is more than  positive result at PNC  &gt; 6 weeks"&amp;CHAR(10),""),IF(J235&gt;J211," * Start HAART at PNC  &gt; 6 weeks for Age "&amp;J20&amp;" "&amp;J21&amp;" is more than  positive result at PNC  &gt; 6 weeks"&amp;CHAR(10),""),IF(K235&gt;K211," * Start HAART at PNC  &gt; 6 weeks for Age "&amp;J20&amp;" "&amp;K21&amp;" is more than  positive result at PNC  &gt; 6 weeks"&amp;CHAR(10),""),IF(L235&gt;L211," * Start HAART at PNC  &gt; 6 weeks for Age "&amp;L20&amp;" "&amp;L21&amp;" is more than  positive result at PNC  &gt; 6 weeks"&amp;CHAR(10),""),IF(M235&gt;M211," * Start HAART at PNC  &gt; 6 weeks for Age "&amp;L20&amp;" "&amp;M21&amp;" is more than  positive result at PNC  &gt; 6 weeks"&amp;CHAR(10),""),IF(N235&gt;N211," * Start HAART at PNC  &gt; 6 weeks for Age "&amp;N20&amp;" "&amp;N21&amp;" is more than  positive result at PNC  &gt; 6 weeks"&amp;CHAR(10),""),IF(O235&gt;O211," * Start HAART at PNC  &gt; 6 weeks for Age "&amp;N20&amp;" "&amp;O21&amp;" is more than  positive result at PNC  &gt; 6 weeks"&amp;CHAR(10),""),IF(P235&gt;P211," * Start HAART at PNC  &gt; 6 weeks for Age "&amp;P20&amp;" "&amp;P21&amp;" is more than  positive result at PNC  &gt; 6 weeks"&amp;CHAR(10),""),IF(Q235&gt;Q211," * Start HAART at PNC  &gt; 6 weeks for Age "&amp;P20&amp;" "&amp;Q21&amp;" is more than  positive result at PNC  &gt; 6 weeks"&amp;CHAR(10),""),IF(R235&gt;R211," * Start HAART at PNC  &gt; 6 weeks for Age "&amp;R20&amp;" "&amp;R21&amp;" is more than  positive result at PNC  &gt; 6 weeks"&amp;CHAR(10),""),IF(S235&gt;S211," * Start HAART at PNC  &gt; 6 weeks for Age "&amp;R20&amp;" "&amp;S21&amp;" is more than  positive result at PNC  &gt; 6 weeks"&amp;CHAR(10),""),IF(T235&gt;T211," * Start HAART at PNC  &gt; 6 weeks for Age "&amp;T20&amp;" "&amp;T21&amp;" is more than  positive result at PNC  &gt; 6 weeks"&amp;CHAR(10),""),IF(U235&gt;U211," * Start HAART at PNC  &gt; 6 weeks for Age "&amp;T20&amp;" "&amp;U21&amp;" is more than  positive result at PNC  &gt; 6 weeks"&amp;CHAR(10),""),IF(V235&gt;V211," * Start HAART at PNC  &gt; 6 weeks for Age "&amp;V20&amp;" "&amp;V21&amp;" is more than  positive result at PNC  &gt; 6 weeks"&amp;CHAR(10),""),IF(W235&gt;W211," * Start HAART at PNC  &gt; 6 weeks for Age "&amp;V20&amp;" "&amp;W21&amp;" is more than  positive result at PNC  &gt; 6 weeks"&amp;CHAR(10),""),IF(X235&gt;X211," * Start HAART at PNC  &gt; 6 weeks for Age "&amp;X20&amp;" "&amp;X21&amp;" is more than  positive result at PNC  &gt; 6 weeks"&amp;CHAR(10),""),IF(Y235&gt;Y211," * Start HAART at PNC  &gt; 6 weeks for Age "&amp;X20&amp;" "&amp;Y21&amp;" is more than  positive result at PNC  &gt; 6 weeks"&amp;CHAR(10),""),IF(Z235&gt;Z211," * Start HAART at PNC  &gt; 6 weeks for Age "&amp;Z20&amp;" "&amp;Z21&amp;" is more than  positive result at PNC  &gt; 6 weeks"&amp;CHAR(10),""),IF(AA235&gt;AA211," * Start HAART at PNC  &gt; 6 weeks for Age "&amp;Z20&amp;" "&amp;AA21&amp;" is more than  positive result at PNC  &gt; 6 weeks"&amp;CHAR(10),""))</f>
        <v/>
      </c>
      <c r="AD235" s="590"/>
      <c r="AE235" s="84"/>
      <c r="AF235" s="587"/>
      <c r="AG235" s="480">
        <v>234</v>
      </c>
      <c r="AH235" s="336"/>
    </row>
    <row r="236" spans="1:34" ht="32.15" thickBot="1" x14ac:dyDescent="0.9">
      <c r="A236" s="499" t="s">
        <v>290</v>
      </c>
      <c r="B236" s="311" t="s">
        <v>290</v>
      </c>
      <c r="C236" s="170" t="s">
        <v>377</v>
      </c>
      <c r="D236" s="169"/>
      <c r="E236" s="64"/>
      <c r="F236" s="64"/>
      <c r="G236" s="64"/>
      <c r="H236" s="64"/>
      <c r="I236" s="64"/>
      <c r="J236" s="64"/>
      <c r="K236" s="65"/>
      <c r="L236" s="64"/>
      <c r="M236" s="65"/>
      <c r="N236" s="64"/>
      <c r="O236" s="65"/>
      <c r="P236" s="64"/>
      <c r="Q236" s="65"/>
      <c r="R236" s="64"/>
      <c r="S236" s="65"/>
      <c r="T236" s="64"/>
      <c r="U236" s="65"/>
      <c r="V236" s="64"/>
      <c r="W236" s="65"/>
      <c r="X236" s="64"/>
      <c r="Y236" s="65"/>
      <c r="Z236" s="64"/>
      <c r="AA236" s="64"/>
      <c r="AB236" s="66">
        <f t="shared" si="102"/>
        <v>0</v>
      </c>
      <c r="AC236" s="85"/>
      <c r="AD236" s="590"/>
      <c r="AE236" s="83"/>
      <c r="AF236" s="587"/>
      <c r="AG236" s="480">
        <v>235</v>
      </c>
    </row>
    <row r="237" spans="1:34" s="9" customFormat="1" x14ac:dyDescent="0.85">
      <c r="A237" s="606" t="s">
        <v>1036</v>
      </c>
      <c r="B237" s="308" t="s">
        <v>719</v>
      </c>
      <c r="C237" s="158" t="s">
        <v>378</v>
      </c>
      <c r="D237" s="141"/>
      <c r="E237" s="34"/>
      <c r="F237" s="34"/>
      <c r="G237" s="34"/>
      <c r="H237" s="34"/>
      <c r="I237" s="34"/>
      <c r="J237" s="34"/>
      <c r="K237" s="35"/>
      <c r="L237" s="34"/>
      <c r="M237" s="35"/>
      <c r="N237" s="34"/>
      <c r="O237" s="35"/>
      <c r="P237" s="34"/>
      <c r="Q237" s="35"/>
      <c r="R237" s="34"/>
      <c r="S237" s="35"/>
      <c r="T237" s="34"/>
      <c r="U237" s="35"/>
      <c r="V237" s="34"/>
      <c r="W237" s="35"/>
      <c r="X237" s="34"/>
      <c r="Y237" s="35"/>
      <c r="Z237" s="34"/>
      <c r="AA237" s="34"/>
      <c r="AB237" s="36">
        <f t="shared" si="102"/>
        <v>0</v>
      </c>
      <c r="AC237" s="85" t="str">
        <f>CONCATENATE(IF(D237&gt;SUM(D195,D199,D193)," * F06-18 for Age "&amp;D20&amp;" "&amp;D21&amp;" is more than (F06-02+F06-04+F06-06)"&amp;CHAR(10),""),IF(E237&gt;SUM(E195,E199,E193)," * F06-18  for Age "&amp;D20&amp;" "&amp;E21&amp;" is more than (F06-02+F06-04+F06-06)"&amp;CHAR(10),""),IF(F237&gt;SUM(F195,F199,F193)," * F06-18  for Age "&amp;F20&amp;" "&amp;F21&amp;" is more than (F06-02+F06-04+F06-06)"&amp;CHAR(10),""),IF(G237&gt;SUM(G195,G199,G193)," * F06-18  for Age "&amp;F20&amp;" "&amp;G21&amp;" is more than (F06-02+F06-04+F06-06)"&amp;CHAR(10),""),IF(H237&gt;SUM(H195,H199,H193)," * F06-18  for Age "&amp;H20&amp;" "&amp;H21&amp;" is more than (F06-02+F06-04+F06-06)"&amp;CHAR(10),""),IF(I237&gt;SUM(I195,I199,I193)," * F06-18  for Age "&amp;H20&amp;" "&amp;I21&amp;" is more than (F06-02+F06-04+F06-06)"&amp;CHAR(10),""),IF(J237&gt;SUM(J195,J199,J193)," * F06-18  for Age "&amp;J20&amp;" "&amp;J21&amp;" is more than (F06-02+F06-04+F06-06)"&amp;CHAR(10),""),IF(K237&gt;SUM(K195,K199,K193)," * F06-18  for Age "&amp;J20&amp;" "&amp;K21&amp;" is more than (F06-02+F06-04+F06-06)"&amp;CHAR(10),""),IF(L237&gt;SUM(L195,L199,L193)," * F06-18  for Age "&amp;L20&amp;" "&amp;L21&amp;" is more than (F06-02+F06-04+F06-06)"&amp;CHAR(10),""),IF(M237&gt;SUM(M195,M199,M193)," * F06-18  for Age "&amp;L20&amp;" "&amp;M21&amp;" is more than (F06-02+F06-04+F06-06)"&amp;CHAR(10),""),IF(N237&gt;SUM(N195,N199,N193)," * F06-18  for Age "&amp;N20&amp;" "&amp;N21&amp;" is more than (F06-02+F06-04+F06-06)"&amp;CHAR(10),""),IF(O237&gt;SUM(O195,O199,O193)," * F06-18  for Age "&amp;N20&amp;" "&amp;O21&amp;" is more than (F06-02+F06-04+F06-06)"&amp;CHAR(10),""),IF(P237&gt;SUM(P195,P199,P193)," * F06-18  for Age "&amp;P20&amp;" "&amp;P21&amp;" is more than (F06-02+F06-04+F06-06)"&amp;CHAR(10),""),IF(Q237&gt;SUM(Q195,Q199,Q193)," * F06-18  for Age "&amp;P20&amp;" "&amp;Q21&amp;" is more than (F06-02+F06-04+F06-06)"&amp;CHAR(10),""),IF(R237&gt;SUM(R195,R199,R193)," * F06-18  for Age "&amp;R20&amp;" "&amp;R21&amp;" is more than (F06-02+F06-04+F06-06)"&amp;CHAR(10),""),IF(S237&gt;SUM(S195,S199,S193)," * F06-18  for Age "&amp;R20&amp;" "&amp;S21&amp;" is more than (F06-02+F06-04+F06-06)"&amp;CHAR(10),""),IF(T237&gt;SUM(T195,T199,T193)," * F06-18  for Age "&amp;T20&amp;" "&amp;T21&amp;" is more than (F06-02+F06-04+F06-06)"&amp;CHAR(10),""),IF(U237&gt;SUM(U195,U199,U193)," * F06-18  for Age "&amp;T20&amp;" "&amp;U21&amp;" is more than (F06-02+F06-04+F06-06)"&amp;CHAR(10),""),IF(V237&gt;SUM(V195,V199,V193)," * F06-18  for Age "&amp;V20&amp;" "&amp;V21&amp;" is more than (F06-02+F06-04+F06-06)"&amp;CHAR(10),""),IF(W237&gt;SUM(W195,W199,W193)," * F06-18  for Age "&amp;V20&amp;" "&amp;W21&amp;" is more than (F06-02+F06-04+F06-06)"&amp;CHAR(10),""),IF(X237&gt;SUM(X195,X199,X193)," * F06-18  for Age "&amp;X20&amp;" "&amp;X21&amp;" is more than (F06-02+F06-04+F06-06)"&amp;CHAR(10),""),IF(Y237&gt;SUM(Y195,Y199,Y193)," * F06-18  for Age "&amp;X20&amp;" "&amp;Y21&amp;" is more than (F06-02+F06-04+F06-06)"&amp;CHAR(10),""),IF(Z237&gt;SUM(Z195,Z199,Z193)," * F06-18  for Age "&amp;Z20&amp;" "&amp;Z21&amp;" is more than (F06-02+F06-04+F06-06)"&amp;CHAR(10),""),IF(AA237&gt;SUM(AA195,AA199,AA193)," * F06-18  for Age "&amp;Z20&amp;" "&amp;AA21&amp;" is more than (F06-02+F06-04+F06-06)"&amp;CHAR(10),""))</f>
        <v/>
      </c>
      <c r="AD237" s="590"/>
      <c r="AE237" s="84" t="str">
        <f>CONCATENATE(IF(D237&lt;SUM(D195,D193,D199,D201)," * Sum of (KP at 1st ANC +New positive at ANC1 + New positive at ANC2 or More+Retesting positive Result at ANC2 or More) for Age "&amp;D20&amp;" "&amp;D21&amp;" is greater than Infant Prophylaxis ANC"&amp;CHAR(10),""),IF(E237&lt;SUM(E195,E193,E199,E201)," * Sum of (KP at 1st ANC +New positive at ANC1 + New positive at ANC2 or More+Retesting positive Result at ANC2 or More) for Age "&amp;D20&amp;" "&amp;E21&amp;" is greater than Infant Prophylaxis ANC"&amp;CHAR(10),""),IF(F237&lt;SUM(F195,F193,F199,F201)," * Sum of (KP at 1st ANC +New positive at ANC1 + New positive at ANC2 or More+Retesting positive Result at ANC2 or More) for Age "&amp;F20&amp;" "&amp;F21&amp;" is greater than Infant Prophylaxis ANC"&amp;CHAR(10),""),IF(G237&lt;SUM(G195,G193,G199,G201)," * Sum of (KP at 1st ANC +New positive at ANC1 + New positive at ANC2 or More+Retesting positive Result at ANC2 or More) for Age "&amp;F20&amp;" "&amp;G21&amp;" is greater than Infant Prophylaxis ANC"&amp;CHAR(10),""),IF(H237&lt;SUM(H195,H193,H199,H201)," * Sum of (KP at 1st ANC +New positive at ANC1 + New positive at ANC2 or More+Retesting positive Result at ANC2 or More) for Age "&amp;H20&amp;" "&amp;H21&amp;" is greater than Infant Prophylaxis ANC"&amp;CHAR(10),""),IF(I237&lt;SUM(I195,I193,I199,I201)," * Sum of (KP at 1st ANC +New positive at ANC1 + New positive at ANC2 or More+Retesting positive Result at ANC2 or More) for Age "&amp;H20&amp;" "&amp;I21&amp;" is greater than Infant Prophylaxis ANC"&amp;CHAR(10),""),IF(J237&lt;SUM(J195,J193,J199,J201)," * Sum of (KP at 1st ANC +New positive at ANC1 + New positive at ANC2 or More+Retesting positive Result at ANC2 or More) for Age "&amp;J20&amp;" "&amp;J21&amp;" is greater than Infant Prophylaxis ANC"&amp;CHAR(10),""),IF(K237&lt;SUM(K195,K193,K199,K201)," * Sum of (KP at 1st ANC +New positive at ANC1 + New positive at ANC2 or More+Retesting positive Result at ANC2 or More) for Age "&amp;J20&amp;" "&amp;K21&amp;" is greater than Infant Prophylaxis ANC"&amp;CHAR(10),""),IF(L237&lt;SUM(L195,L193,L199,L201)," * Sum of (KP at 1st ANC +New positive at ANC1 + New positive at ANC2 or More+Retesting positive Result at ANC2 or More) for Age "&amp;L20&amp;" "&amp;L21&amp;" is greater than Infant Prophylaxis ANC"&amp;CHAR(10),""),IF(M237&lt;SUM(M195,M193,M199,M201)," * Sum of (KP at 1st ANC +New positive at ANC1 + New positive at ANC2 or More+Retesting positive Result at ANC2 or More) for Age "&amp;L20&amp;" "&amp;M21&amp;" is greater than Infant Prophylaxis ANC"&amp;CHAR(10),""),IF(N237&lt;SUM(N195,N193,N199,N201)," * Sum of (KP at 1st ANC +New positive at ANC1 + New positive at ANC2 or More+Retesting positive Result at ANC2 or More) for Age "&amp;N20&amp;" "&amp;N21&amp;" is greater than Infant Prophylaxis ANC"&amp;CHAR(10),""),IF(O237&lt;SUM(O195,O193,O199,O201)," * Sum of (KP at 1st ANC +New positive at ANC1 + New positive at ANC2 or More+Retesting positive Result at ANC2 or More) for Age "&amp;N20&amp;" "&amp;O21&amp;" is greater than Infant Prophylaxis ANC"&amp;CHAR(10),""),IF(P237&lt;SUM(P195,P193,P199,P201)," * Sum of (KP at 1st ANC +New positive at ANC1 + New positive at ANC2 or More+Retesting positive Result at ANC2 or More) for Age "&amp;P20&amp;" "&amp;P21&amp;" is greater than Infant Prophylaxis ANC"&amp;CHAR(10),""),IF(Q237&lt;SUM(Q195,Q193,Q199,Q201)," * Sum of (KP at 1st ANC +New positive at ANC1 + New positive at ANC2 or More+Retesting positive Result at ANC2 or More) for Age "&amp;P20&amp;" "&amp;Q21&amp;" is greater than Infant Prophylaxis ANC"&amp;CHAR(10),""),IF(R237&lt;SUM(R195,R193,R199,R201)," * Sum of (KP at 1st ANC +New positive at ANC1 + New positive at ANC2 or More+Retesting positive Result at ANC2 or More) for Age "&amp;R20&amp;" "&amp;R21&amp;" is greater than Infant Prophylaxis ANC"&amp;CHAR(10),""),IF(S237&lt;SUM(S195,S193,S199,S201)," * Sum of (KP at 1st ANC +New positive at ANC1 + New positive at ANC2 or More+Retesting positive Result at ANC2 or More) for Age "&amp;R20&amp;" "&amp;S21&amp;" is greater than Infant Prophylaxis ANC"&amp;CHAR(10),""),IF(T237&lt;SUM(T195,T193,T199&lt;T201)," * Sum of (KP at 1st ANC +New positive at ANC1 + New positive at ANC2 or More+Retesting positive Result at ANC2 or More) for Age "&amp;T20&amp;" "&amp;T21&amp;" is greater than Infant Prophylaxis ANC"&amp;CHAR(10),""),IF(U237&lt;SUM(U195,U193,U199,U201)," * Sum of (KP at 1st ANC +New positive at ANC1 + New positive at ANC2 or More+Retesting positive Result at ANC2 or More) for Age "&amp;T20&amp;" "&amp;U21&amp;" is greater than Infant Prophylaxis ANC"&amp;CHAR(10),""),IF(V237&lt;SUM(V195,V193,V199,V201)," * Sum of (KP at 1st ANC +New positive at ANC1 + New positive at ANC2 or More+Retesting positive Result at ANC2 or More) for Age "&amp;V20&amp;" "&amp;V21&amp;" is greater than Infant Prophylaxis ANC"&amp;CHAR(10),""),IF(W237&lt;SUM(W195,W193,W199,W201)," * Sum of (KP at 1st ANC +New positive at ANC1 + New positive at ANC2 or More+Retesting positive Result at ANC2 or More) for Age "&amp;V20&amp;" "&amp;W21&amp;" is greater than Infant Prophylaxis ANC"&amp;CHAR(10),""),IF(X237&lt;SUM(X195,X193,X199,X201)," * Sum of (KP at 1st ANC +New positive at ANC1 + New positive at ANC2 or More+Retesting positive Result at ANC2 or More) for Age "&amp;X20&amp;" "&amp;X21&amp;" is greater than Infant Prophylaxis ANC"&amp;CHAR(10),""),IF(Y237&lt;SUM(Y195,Y193,Y199,Y201)," * Sum of (KP at 1st ANC +New positive at ANC1 + New positive at ANC2 or More+Retesting positive Result at ANC2 or More) for Age "&amp;X20&amp;" "&amp;Y21&amp;" is greater than Infant Prophylaxis ANC"&amp;CHAR(10),""),IF(Z237&lt;SUM(Z195,Z193,Z199,Z201)," * Sum of (KP at 1st ANC +New positive at ANC1 + New positive at ANC2 or More+Retesting positive Result at ANC2 or More) for Age "&amp;Z20&amp;" "&amp;Z21&amp;" is greater than Infant Prophylaxis ANC"&amp;CHAR(10),""),IF(AA237&lt;SUM(AA195,AA193,AA199,AA201)," * Sum of (KP at 1st ANC +New positive at ANC1 + New positive at ANC2 or More+Retesting positive Result at ANC2 or More) for Age "&amp;Z20&amp;" "&amp;AA21&amp;" is greater than Infant Prophylaxis ANC"&amp;CHAR(10),""))</f>
        <v/>
      </c>
      <c r="AF237" s="587"/>
      <c r="AG237" s="480">
        <v>236</v>
      </c>
      <c r="AH237" s="336"/>
    </row>
    <row r="238" spans="1:34" x14ac:dyDescent="0.85">
      <c r="A238" s="604"/>
      <c r="B238" s="305" t="s">
        <v>720</v>
      </c>
      <c r="C238" s="136" t="s">
        <v>379</v>
      </c>
      <c r="D238" s="127"/>
      <c r="E238" s="18"/>
      <c r="F238" s="18"/>
      <c r="G238" s="18"/>
      <c r="H238" s="18"/>
      <c r="I238" s="18"/>
      <c r="J238" s="18"/>
      <c r="K238" s="19"/>
      <c r="L238" s="18"/>
      <c r="M238" s="19"/>
      <c r="N238" s="18"/>
      <c r="O238" s="19"/>
      <c r="P238" s="18"/>
      <c r="Q238" s="19"/>
      <c r="R238" s="18"/>
      <c r="S238" s="19"/>
      <c r="T238" s="18"/>
      <c r="U238" s="19"/>
      <c r="V238" s="18"/>
      <c r="W238" s="19"/>
      <c r="X238" s="18"/>
      <c r="Y238" s="19"/>
      <c r="Z238" s="18"/>
      <c r="AA238" s="18"/>
      <c r="AB238" s="37">
        <f t="shared" si="102"/>
        <v>0</v>
      </c>
      <c r="AC238" s="85" t="str">
        <f>CONCATENATE(IF(D238&gt;D203," * F06-19 for Age "&amp;D20&amp;" "&amp;D21&amp;" is more than F06-08"&amp;CHAR(10),""),IF(E238&gt;E203," * F06-19 for Age "&amp;D20&amp;" "&amp;E21&amp;" is more than F06-08"&amp;CHAR(10),""),IF(F238&gt;F203," * F06-19 for Age "&amp;F20&amp;" "&amp;F21&amp;" is more than F06-08"&amp;CHAR(10),""),IF(G238&gt;G203," * F06-19 for Age "&amp;F20&amp;" "&amp;G21&amp;" is more than F06-08"&amp;CHAR(10),""),IF(H238&gt;H203," * F06-19 for Age "&amp;H20&amp;" "&amp;H21&amp;" is more than F06-08"&amp;CHAR(10),""),IF(I238&gt;I203," * F06-19 for Age "&amp;H20&amp;" "&amp;I21&amp;" is more than F06-08"&amp;CHAR(10),""),IF(J238&gt;J203," * F06-19 for Age "&amp;J20&amp;" "&amp;J21&amp;" is more than F06-08"&amp;CHAR(10),""),IF(K238&gt;K203," * F06-19 for Age "&amp;J20&amp;" "&amp;K21&amp;" is more than F06-08"&amp;CHAR(10),""),IF(L238&gt;L203," * F06-19 for Age "&amp;L20&amp;" "&amp;L21&amp;" is more than F06-08"&amp;CHAR(10),""),IF(M238&gt;M203," * F06-19 for Age "&amp;L20&amp;" "&amp;M21&amp;" is more than F06-08"&amp;CHAR(10),""),IF(N238&gt;N203," * F06-19 for Age "&amp;N20&amp;" "&amp;N21&amp;" is more than F06-08"&amp;CHAR(10),""),IF(O238&gt;O203," * F06-19 for Age "&amp;N20&amp;" "&amp;O21&amp;" is more than F06-08"&amp;CHAR(10),""),IF(P238&gt;P203," * F06-19 for Age "&amp;P20&amp;" "&amp;P21&amp;" is more than F06-08"&amp;CHAR(10),""),IF(Q238&gt;Q203," * F06-19 for Age "&amp;P20&amp;" "&amp;Q21&amp;" is more than F06-08"&amp;CHAR(10),""),IF(R238&gt;R203," * F06-19 for Age "&amp;R20&amp;" "&amp;R21&amp;" is more than F06-08"&amp;CHAR(10),""),IF(S238&gt;S203," * F06-19 for Age "&amp;R20&amp;" "&amp;S21&amp;" is more than F06-08"&amp;CHAR(10),""),IF(T238&gt;T203," * F06-19 for Age "&amp;T20&amp;" "&amp;T21&amp;" is more than F06-08"&amp;CHAR(10),""),IF(U238&gt;U203," * F06-19 for Age "&amp;T20&amp;" "&amp;U21&amp;" is more than F06-08"&amp;CHAR(10),""),IF(V238&gt;V203," * F06-19 for Age "&amp;V20&amp;" "&amp;V21&amp;" is more than F06-08"&amp;CHAR(10),""),IF(W238&gt;W203," * F06-19 for Age "&amp;V20&amp;" "&amp;W21&amp;" is more than F06-08"&amp;CHAR(10),""),IF(X238&gt;X203," * F06-19 for Age "&amp;X20&amp;" "&amp;X21&amp;" is more than F06-08"&amp;CHAR(10),""),IF(Y238&gt;Y203," * F06-19 for Age "&amp;X20&amp;" "&amp;Y21&amp;" is more than F06-08"&amp;CHAR(10),""),IF(Z238&gt;Z203," * F06-19 for Age "&amp;Z20&amp;" "&amp;Z21&amp;" is more than F06-08"&amp;CHAR(10),""),IF(AA238&gt;AA203," * F06-19 for Age "&amp;Z20&amp;" "&amp;AA21&amp;" is more than F06-08"&amp;CHAR(10),""),IF(AB238&gt;AB203," * Total F06-19 is more than Total F06-08"&amp;CHAR(10),""))</f>
        <v/>
      </c>
      <c r="AD238" s="590"/>
      <c r="AE238" s="83" t="str">
        <f>CONCATENATE(IF(D238&lt;D203," * F06-19 for Age "&amp;D20&amp;" "&amp;D21&amp;" is less than F06-08"&amp;CHAR(10),""),IF(E238&lt;E203," * F06-19 for Age "&amp;D20&amp;" "&amp;E21&amp;" is less than F06-08"&amp;CHAR(10),""),IF(F238&lt;F203," * F06-19 for Age "&amp;F20&amp;" "&amp;F21&amp;" is less than F06-08"&amp;CHAR(10),""),IF(G238&lt;G203," * F06-19 for Age "&amp;F20&amp;" "&amp;G21&amp;" is less than F06-08"&amp;CHAR(10),""),IF(H238&lt;H203," * F06-19 for Age "&amp;H20&amp;" "&amp;H21&amp;" is less than F06-08"&amp;CHAR(10),""),IF(I238&lt;I203," * F06-19 for Age "&amp;H20&amp;" "&amp;I21&amp;" is less than F06-08"&amp;CHAR(10),""),IF(J238&lt;J203," * F06-19 for Age "&amp;J20&amp;" "&amp;J21&amp;" is less than F06-08"&amp;CHAR(10),""),IF(K238&lt;K203," * F06-19 for Age "&amp;J20&amp;" "&amp;K21&amp;" is less than F06-08"&amp;CHAR(10),""),IF(L238&lt;L203," * F06-19 for Age "&amp;L20&amp;" "&amp;L21&amp;" is less than F06-08"&amp;CHAR(10),""),IF(M238&lt;M203," * F06-19 for Age "&amp;L20&amp;" "&amp;M21&amp;" is less than F06-08"&amp;CHAR(10),""),IF(N238&lt;N203," * F06-19 for Age "&amp;N20&amp;" "&amp;N21&amp;" is less than F06-08"&amp;CHAR(10),""),IF(O238&lt;O203," * F06-19 for Age "&amp;N20&amp;" "&amp;O21&amp;" is less than F06-08"&amp;CHAR(10),""),IF(P238&lt;P203," * F06-19 for Age "&amp;P20&amp;" "&amp;P21&amp;" is less than F06-08"&amp;CHAR(10),""),IF(Q238&lt;Q203," * F06-19 for Age "&amp;P20&amp;" "&amp;Q21&amp;" is less than F06-08"&amp;CHAR(10),""),IF(R238&lt;R203," * F06-19 for Age "&amp;R20&amp;" "&amp;R21&amp;" is less than F06-08"&amp;CHAR(10),""),IF(S238&lt;S203," * F06-19 for Age "&amp;R20&amp;" "&amp;S21&amp;" is less than F06-08"&amp;CHAR(10),""),IF(T238&lt;T203," * F06-19 for Age "&amp;T20&amp;" "&amp;T21&amp;" is less than F06-08"&amp;CHAR(10),""),IF(U238&lt;U203," * F06-19 for Age "&amp;T20&amp;" "&amp;U21&amp;" is less than F06-08"&amp;CHAR(10),""),IF(V238&lt;V203," * F06-19 for Age "&amp;V20&amp;" "&amp;V21&amp;" is less than F06-08"&amp;CHAR(10),""),IF(W238&lt;W203," * F06-19 for Age "&amp;V20&amp;" "&amp;W21&amp;" is less than F06-08"&amp;CHAR(10),""),IF(X238&lt;X203," * F06-19 for Age "&amp;X20&amp;" "&amp;X21&amp;" is less than F06-08"&amp;CHAR(10),""),IF(Y238&lt;Y203," * F06-19 for Age "&amp;X20&amp;" "&amp;Y21&amp;" is less than F06-08"&amp;CHAR(10),""),IF(Z238&lt;Z203," * F06-19 for Age "&amp;Z20&amp;" "&amp;Z21&amp;" is less than F06-08"&amp;CHAR(10),""),IF(AA238&lt;AA203," * F06-19 for Age "&amp;Z20&amp;" "&amp;AA21&amp;" is less than F06-08"&amp;CHAR(10),""),IF(AB238&lt;AB203," * Total F06-19 is less than Total F06-08"&amp;CHAR(10),""))</f>
        <v/>
      </c>
      <c r="AF238" s="587"/>
      <c r="AG238" s="480">
        <v>237</v>
      </c>
    </row>
    <row r="239" spans="1:34" ht="31.3" thickBot="1" x14ac:dyDescent="0.9">
      <c r="A239" s="662"/>
      <c r="B239" s="312" t="s">
        <v>721</v>
      </c>
      <c r="C239" s="138" t="s">
        <v>380</v>
      </c>
      <c r="D239" s="128"/>
      <c r="E239" s="50"/>
      <c r="F239" s="50"/>
      <c r="G239" s="50"/>
      <c r="H239" s="50"/>
      <c r="I239" s="50"/>
      <c r="J239" s="50"/>
      <c r="K239" s="51"/>
      <c r="L239" s="50"/>
      <c r="M239" s="51"/>
      <c r="N239" s="50"/>
      <c r="O239" s="51"/>
      <c r="P239" s="50"/>
      <c r="Q239" s="51"/>
      <c r="R239" s="50"/>
      <c r="S239" s="51"/>
      <c r="T239" s="50"/>
      <c r="U239" s="51"/>
      <c r="V239" s="50"/>
      <c r="W239" s="51"/>
      <c r="X239" s="50"/>
      <c r="Y239" s="51"/>
      <c r="Z239" s="50"/>
      <c r="AA239" s="50"/>
      <c r="AB239" s="91">
        <f t="shared" si="102"/>
        <v>0</v>
      </c>
      <c r="AC239" s="194" t="str">
        <f>CONCATENATE(IF(D239&gt;D207," * F06-20 for Age "&amp;D20&amp;" "&amp;D21&amp;" is more than F06-10"&amp;CHAR(10),""),IF(E239&gt;E207," * F06-20 for Age "&amp;D20&amp;" "&amp;E21&amp;" is more than F06-10"&amp;CHAR(10),""),IF(F239&gt;F207," * F06-20 for Age "&amp;F20&amp;" "&amp;F21&amp;" is more than F06-10"&amp;CHAR(10),""),IF(G239&gt;G207," * F06-20 for Age "&amp;F20&amp;" "&amp;G21&amp;" is more than F06-10"&amp;CHAR(10),""),IF(H239&gt;H207," * F06-20 for Age "&amp;H20&amp;" "&amp;H21&amp;" is more than F06-10"&amp;CHAR(10),""),IF(I239&gt;I207," * F06-20 for Age "&amp;H20&amp;" "&amp;I21&amp;" is more than F06-10"&amp;CHAR(10),""),IF(J239&gt;J207," * F06-20 for Age "&amp;J20&amp;" "&amp;J21&amp;" is more than F06-10"&amp;CHAR(10),""),IF(K239&gt;K207," * F06-20 for Age "&amp;J20&amp;" "&amp;K21&amp;" is more than F06-10"&amp;CHAR(10),""),IF(L239&gt;L207," * F06-20 for Age "&amp;L20&amp;" "&amp;L21&amp;" is more than F06-10"&amp;CHAR(10),""),IF(M239&gt;M207," * F06-20 for Age "&amp;L20&amp;" "&amp;M21&amp;" is more than F06-10"&amp;CHAR(10),""),IF(N239&gt;N207," * F06-20 for Age "&amp;N20&amp;" "&amp;N21&amp;" is more than F06-10"&amp;CHAR(10),""),IF(O239&gt;O207," * F06-20 for Age "&amp;N20&amp;" "&amp;O21&amp;" is more than F06-10"&amp;CHAR(10),""),IF(P239&gt;P207," * F06-20 for Age "&amp;P20&amp;" "&amp;P21&amp;" is more than F06-10"&amp;CHAR(10),""),IF(Q239&gt;Q207," * F06-20 for Age "&amp;P20&amp;" "&amp;Q21&amp;" is more than F06-10"&amp;CHAR(10),""),IF(R239&gt;R207," * F06-20 for Age "&amp;R20&amp;" "&amp;R21&amp;" is more than F06-10"&amp;CHAR(10),""),IF(S239&gt;S207," * F06-20 for Age "&amp;R20&amp;" "&amp;S21&amp;" is more than F06-10"&amp;CHAR(10),""),IF(T239&gt;T207," * F06-20 for Age "&amp;T20&amp;" "&amp;T21&amp;" is more than F06-10"&amp;CHAR(10),""),IF(U239&gt;U207," * F06-20 for Age "&amp;T20&amp;" "&amp;U21&amp;" is more than F06-10"&amp;CHAR(10),""),IF(V239&gt;V207," * F06-20 for Age "&amp;V20&amp;" "&amp;V21&amp;" is more than F06-10"&amp;CHAR(10),""),IF(W239&gt;W207," * F06-20 for Age "&amp;V20&amp;" "&amp;W21&amp;" is more than F06-10"&amp;CHAR(10),""),IF(X239&gt;X207," * F06-20 for Age "&amp;X20&amp;" "&amp;X21&amp;" is more than F06-10"&amp;CHAR(10),""),IF(Y239&gt;Y207," * F06-20 for Age "&amp;X20&amp;" "&amp;Y21&amp;" is more than F06-10"&amp;CHAR(10),""),IF(Z239&gt;Z207," * F06-20 for Age "&amp;Z20&amp;" "&amp;Z21&amp;" is more than F06-10"&amp;CHAR(10),""),IF(AA239&gt;AA207," * F06-20 for Age "&amp;Z20&amp;" "&amp;AA21&amp;" is more than F06-10"&amp;CHAR(10),""),IF(AB239&gt;AB207," * Total F06-20 is more than Total F06-10"&amp;CHAR(10),""))</f>
        <v/>
      </c>
      <c r="AD239" s="591"/>
      <c r="AE239" s="97" t="str">
        <f>CONCATENATE(IF(D239&lt;D207," * F06-20 for Age "&amp;D20&amp;" "&amp;D21&amp;" is less than F06-10"&amp;CHAR(10),""),IF(E239&lt;E207," * F06-20 for Age "&amp;D20&amp;" "&amp;E21&amp;" is less than F06-10"&amp;CHAR(10),""),IF(F239&lt;F207," * F06-20 for Age "&amp;F20&amp;" "&amp;F21&amp;" is less than F06-10"&amp;CHAR(10),""),IF(G239&lt;G207," * F06-20 for Age "&amp;F20&amp;" "&amp;G21&amp;" is less than F06-10"&amp;CHAR(10),""),IF(H239&lt;H207," * F06-20 for Age "&amp;H20&amp;" "&amp;H21&amp;" is less than F06-10"&amp;CHAR(10),""),IF(I239&lt;I207," * F06-20 for Age "&amp;H20&amp;" "&amp;I21&amp;" is less than F06-10"&amp;CHAR(10),""),IF(J239&lt;J207," * F06-20 for Age "&amp;J20&amp;" "&amp;J21&amp;" is less than F06-10"&amp;CHAR(10),""),IF(K239&lt;K207," * F06-20 for Age "&amp;J20&amp;" "&amp;K21&amp;" is less than F06-10"&amp;CHAR(10),""),IF(L239&lt;L207," * F06-20 for Age "&amp;L20&amp;" "&amp;L21&amp;" is less than F06-10"&amp;CHAR(10),""),IF(M239&lt;M207," * F06-20 for Age "&amp;L20&amp;" "&amp;M21&amp;" is less than F06-10"&amp;CHAR(10),""),IF(N239&lt;N207," * F06-20 for Age "&amp;N20&amp;" "&amp;N21&amp;" is less than F06-10"&amp;CHAR(10),""),IF(O239&lt;O207," * F06-20 for Age "&amp;N20&amp;" "&amp;O21&amp;" is less than F06-10"&amp;CHAR(10),""),IF(P239&lt;P207," * F06-20 for Age "&amp;P20&amp;" "&amp;P21&amp;" is less than F06-10"&amp;CHAR(10),""),IF(Q239&lt;Q207," * F06-20 for Age "&amp;P20&amp;" "&amp;Q21&amp;" is less than F06-10"&amp;CHAR(10),""),IF(R239&lt;R207," * F06-20 for Age "&amp;R20&amp;" "&amp;R21&amp;" is less than F06-10"&amp;CHAR(10),""),IF(S239&lt;S207," * F06-20 for Age "&amp;R20&amp;" "&amp;S21&amp;" is less than F06-10"&amp;CHAR(10),""),IF(T239&lt;T207," * F06-20 for Age "&amp;T20&amp;" "&amp;T21&amp;" is less than F06-10"&amp;CHAR(10),""),IF(U239&lt;U207," * F06-20 for Age "&amp;T20&amp;" "&amp;U21&amp;" is less than F06-10"&amp;CHAR(10),""),IF(V239&lt;V207," * F06-20 for Age "&amp;V20&amp;" "&amp;V21&amp;" is less than F06-10"&amp;CHAR(10),""),IF(W239&lt;W207," * F06-20 for Age "&amp;V20&amp;" "&amp;W21&amp;" is less than F06-10"&amp;CHAR(10),""),IF(X239&lt;X207," * F06-20 for Age "&amp;X20&amp;" "&amp;X21&amp;" is less than F06-10"&amp;CHAR(10),""),IF(Y239&lt;Y207," * F06-20 for Age "&amp;X20&amp;" "&amp;Y21&amp;" is less than F06-10"&amp;CHAR(10),""),IF(Z239&lt;Z207," * F06-20 for Age "&amp;Z20&amp;" "&amp;Z21&amp;" is less than F06-10"&amp;CHAR(10),""),IF(AA239&lt;AA207," * F06-20 for Age "&amp;Z20&amp;" "&amp;AA21&amp;" is less than F06-10"&amp;CHAR(10),""),IF(AB239&lt;AB207," * Total F06-20 is less than Total F06-10"&amp;CHAR(10),""))</f>
        <v/>
      </c>
      <c r="AF239" s="588"/>
      <c r="AG239" s="480">
        <v>238</v>
      </c>
    </row>
    <row r="240" spans="1:34" ht="35.15" thickBot="1" x14ac:dyDescent="0.9">
      <c r="A240" s="568" t="s">
        <v>131</v>
      </c>
      <c r="B240" s="569"/>
      <c r="C240" s="569"/>
      <c r="D240" s="569"/>
      <c r="E240" s="569"/>
      <c r="F240" s="569"/>
      <c r="G240" s="569"/>
      <c r="H240" s="569"/>
      <c r="I240" s="569"/>
      <c r="J240" s="569"/>
      <c r="K240" s="569"/>
      <c r="L240" s="569"/>
      <c r="M240" s="569"/>
      <c r="N240" s="569"/>
      <c r="O240" s="569"/>
      <c r="P240" s="569"/>
      <c r="Q240" s="569"/>
      <c r="R240" s="569"/>
      <c r="S240" s="569"/>
      <c r="T240" s="569"/>
      <c r="U240" s="569"/>
      <c r="V240" s="569"/>
      <c r="W240" s="569"/>
      <c r="X240" s="569"/>
      <c r="Y240" s="569"/>
      <c r="Z240" s="569"/>
      <c r="AA240" s="569"/>
      <c r="AB240" s="569"/>
      <c r="AC240" s="569"/>
      <c r="AD240" s="569"/>
      <c r="AE240" s="569"/>
      <c r="AF240" s="570"/>
      <c r="AG240" s="480">
        <v>239</v>
      </c>
    </row>
    <row r="241" spans="1:34" ht="26.25" customHeight="1" x14ac:dyDescent="0.85">
      <c r="A241" s="578" t="s">
        <v>37</v>
      </c>
      <c r="B241" s="601" t="s">
        <v>347</v>
      </c>
      <c r="C241" s="655" t="s">
        <v>328</v>
      </c>
      <c r="D241" s="635" t="s">
        <v>0</v>
      </c>
      <c r="E241" s="635"/>
      <c r="F241" s="635" t="s">
        <v>1</v>
      </c>
      <c r="G241" s="635"/>
      <c r="H241" s="635" t="s">
        <v>2</v>
      </c>
      <c r="I241" s="635"/>
      <c r="J241" s="635" t="s">
        <v>3</v>
      </c>
      <c r="K241" s="635"/>
      <c r="L241" s="635" t="s">
        <v>4</v>
      </c>
      <c r="M241" s="635"/>
      <c r="N241" s="635" t="s">
        <v>5</v>
      </c>
      <c r="O241" s="635"/>
      <c r="P241" s="635" t="s">
        <v>6</v>
      </c>
      <c r="Q241" s="635"/>
      <c r="R241" s="635" t="s">
        <v>7</v>
      </c>
      <c r="S241" s="635"/>
      <c r="T241" s="635" t="s">
        <v>8</v>
      </c>
      <c r="U241" s="635"/>
      <c r="V241" s="635" t="s">
        <v>23</v>
      </c>
      <c r="W241" s="635"/>
      <c r="X241" s="635" t="s">
        <v>24</v>
      </c>
      <c r="Y241" s="635"/>
      <c r="Z241" s="635" t="s">
        <v>9</v>
      </c>
      <c r="AA241" s="635"/>
      <c r="AB241" s="584" t="s">
        <v>19</v>
      </c>
      <c r="AC241" s="663" t="s">
        <v>381</v>
      </c>
      <c r="AD241" s="575" t="s">
        <v>387</v>
      </c>
      <c r="AE241" s="571" t="s">
        <v>388</v>
      </c>
      <c r="AF241" s="566" t="s">
        <v>388</v>
      </c>
      <c r="AG241" s="480">
        <v>240</v>
      </c>
    </row>
    <row r="242" spans="1:34" ht="27" customHeight="1" thickBot="1" x14ac:dyDescent="0.9">
      <c r="A242" s="579"/>
      <c r="B242" s="602"/>
      <c r="C242" s="656"/>
      <c r="D242" s="30" t="s">
        <v>10</v>
      </c>
      <c r="E242" s="30" t="s">
        <v>11</v>
      </c>
      <c r="F242" s="30" t="s">
        <v>10</v>
      </c>
      <c r="G242" s="30" t="s">
        <v>11</v>
      </c>
      <c r="H242" s="30" t="s">
        <v>10</v>
      </c>
      <c r="I242" s="30" t="s">
        <v>11</v>
      </c>
      <c r="J242" s="30" t="s">
        <v>10</v>
      </c>
      <c r="K242" s="30" t="s">
        <v>11</v>
      </c>
      <c r="L242" s="30" t="s">
        <v>10</v>
      </c>
      <c r="M242" s="30" t="s">
        <v>11</v>
      </c>
      <c r="N242" s="30" t="s">
        <v>10</v>
      </c>
      <c r="O242" s="30" t="s">
        <v>11</v>
      </c>
      <c r="P242" s="30" t="s">
        <v>10</v>
      </c>
      <c r="Q242" s="30" t="s">
        <v>11</v>
      </c>
      <c r="R242" s="30" t="s">
        <v>10</v>
      </c>
      <c r="S242" s="30" t="s">
        <v>11</v>
      </c>
      <c r="T242" s="30" t="s">
        <v>10</v>
      </c>
      <c r="U242" s="30" t="s">
        <v>11</v>
      </c>
      <c r="V242" s="30" t="s">
        <v>10</v>
      </c>
      <c r="W242" s="30" t="s">
        <v>11</v>
      </c>
      <c r="X242" s="30" t="s">
        <v>10</v>
      </c>
      <c r="Y242" s="30" t="s">
        <v>11</v>
      </c>
      <c r="Z242" s="30" t="s">
        <v>10</v>
      </c>
      <c r="AA242" s="30" t="s">
        <v>11</v>
      </c>
      <c r="AB242" s="585"/>
      <c r="AC242" s="664"/>
      <c r="AD242" s="574"/>
      <c r="AE242" s="572"/>
      <c r="AF242" s="567"/>
      <c r="AG242" s="480">
        <v>241</v>
      </c>
    </row>
    <row r="243" spans="1:34" s="4" customFormat="1" ht="32.15" thickBot="1" x14ac:dyDescent="0.9">
      <c r="A243" s="500" t="s">
        <v>298</v>
      </c>
      <c r="B243" s="264" t="s">
        <v>879</v>
      </c>
      <c r="C243" s="63" t="s">
        <v>299</v>
      </c>
      <c r="D243" s="87">
        <f>SUM(D244:D249)</f>
        <v>0</v>
      </c>
      <c r="E243" s="256">
        <f>SUM(E244:E249)</f>
        <v>0</v>
      </c>
      <c r="F243" s="87">
        <f t="shared" ref="F243:AA243" si="103">SUM(F244:F249)</f>
        <v>0</v>
      </c>
      <c r="G243" s="87">
        <f t="shared" si="103"/>
        <v>0</v>
      </c>
      <c r="H243" s="87">
        <f t="shared" si="103"/>
        <v>0</v>
      </c>
      <c r="I243" s="87">
        <f t="shared" si="103"/>
        <v>0</v>
      </c>
      <c r="J243" s="87">
        <f t="shared" si="103"/>
        <v>0</v>
      </c>
      <c r="K243" s="87">
        <f t="shared" si="103"/>
        <v>0</v>
      </c>
      <c r="L243" s="87">
        <f t="shared" si="103"/>
        <v>0</v>
      </c>
      <c r="M243" s="87">
        <f t="shared" si="103"/>
        <v>0</v>
      </c>
      <c r="N243" s="87">
        <f t="shared" si="103"/>
        <v>0</v>
      </c>
      <c r="O243" s="87">
        <f t="shared" si="103"/>
        <v>0</v>
      </c>
      <c r="P243" s="87">
        <f t="shared" si="103"/>
        <v>0</v>
      </c>
      <c r="Q243" s="87">
        <f t="shared" si="103"/>
        <v>0</v>
      </c>
      <c r="R243" s="87">
        <f t="shared" si="103"/>
        <v>0</v>
      </c>
      <c r="S243" s="87">
        <f t="shared" si="103"/>
        <v>0</v>
      </c>
      <c r="T243" s="87">
        <f t="shared" si="103"/>
        <v>0</v>
      </c>
      <c r="U243" s="87">
        <f t="shared" si="103"/>
        <v>0</v>
      </c>
      <c r="V243" s="87">
        <f t="shared" si="103"/>
        <v>0</v>
      </c>
      <c r="W243" s="87">
        <f t="shared" si="103"/>
        <v>0</v>
      </c>
      <c r="X243" s="87">
        <f t="shared" si="103"/>
        <v>0</v>
      </c>
      <c r="Y243" s="87">
        <f t="shared" si="103"/>
        <v>0</v>
      </c>
      <c r="Z243" s="87">
        <f t="shared" si="103"/>
        <v>0</v>
      </c>
      <c r="AA243" s="87">
        <f t="shared" si="103"/>
        <v>0</v>
      </c>
      <c r="AB243" s="88">
        <f>SUM(D243:AA243)</f>
        <v>0</v>
      </c>
      <c r="AC243" s="85" t="str">
        <f>CONCATENATE(IF(D243&gt;D252," * Starting ART for Age "&amp;D20&amp;" "&amp;D21&amp;" is more than Current On ART"&amp;CHAR(10),""),IF(E243&gt;E252," * Starting ART for Age "&amp;D20&amp;" "&amp;E21&amp;" is more than Current On ART"&amp;CHAR(10),""),IF(F243&gt;F252," * Starting ART for Age "&amp;F20&amp;" "&amp;F21&amp;" is more than Current On ART"&amp;CHAR(10),""),IF(G243&gt;G252," * Starting ART for Age "&amp;F20&amp;" "&amp;G21&amp;" is more than Current On ART"&amp;CHAR(10),""),IF(H243&gt;H252," * Starting ART for Age "&amp;H20&amp;" "&amp;H21&amp;" is more than Current On ART"&amp;CHAR(10),""),IF(I243&gt;I252," * Starting ART for Age "&amp;H20&amp;" "&amp;I21&amp;" is more than Current On ART"&amp;CHAR(10),""),IF(J243&gt;J252," * Starting ART for Age "&amp;J20&amp;" "&amp;J21&amp;" is more than Current On ART"&amp;CHAR(10),""),IF(K243&gt;K252," * Starting ART for Age "&amp;J20&amp;" "&amp;K21&amp;" is more than Current On ART"&amp;CHAR(10),""),IF(L243&gt;L252," * Starting ART for Age "&amp;L20&amp;" "&amp;L21&amp;" is more than Current On ART"&amp;CHAR(10),""),IF(M243&gt;M252," * Starting ART for Age "&amp;L20&amp;" "&amp;M21&amp;" is more than Current On ART"&amp;CHAR(10),""),IF(N243&gt;N252," * Starting ART for Age "&amp;N20&amp;" "&amp;N21&amp;" is more than Current On ART"&amp;CHAR(10),""),IF(O243&gt;O252," * Starting ART for Age "&amp;N20&amp;" "&amp;O21&amp;" is more than Current On ART"&amp;CHAR(10),""),IF(P243&gt;P252," * Starting ART for Age "&amp;P20&amp;" "&amp;P21&amp;" is more than Current On ART"&amp;CHAR(10),""),IF(Q243&gt;Q252," * Starting ART for Age "&amp;P20&amp;" "&amp;Q21&amp;" is more than Current On ART"&amp;CHAR(10),""),IF(R243&gt;R252," * Starting ART for Age "&amp;R20&amp;" "&amp;R21&amp;" is more than Current On ART"&amp;CHAR(10),""),IF(S243&gt;S252," * Starting ART for Age "&amp;R20&amp;" "&amp;S21&amp;" is more than Current On ART"&amp;CHAR(10),""),IF(T243&gt;T252," * Starting ART for Age "&amp;T20&amp;" "&amp;T21&amp;" is more than Current On ART"&amp;CHAR(10),""),IF(U243&gt;U252," * Starting ART for Age "&amp;T20&amp;" "&amp;U21&amp;" is more than Current On ART"&amp;CHAR(10),""),IF(V243&gt;V252," * Starting ART for Age "&amp;V20&amp;" "&amp;V21&amp;" is more than Current On ART"&amp;CHAR(10),""),IF(W243&gt;W252," * Starting ART for Age "&amp;V20&amp;" "&amp;W21&amp;" is more than Current On ART"&amp;CHAR(10),""),IF(X243&gt;X252," * Starting ART for Age "&amp;X20&amp;" "&amp;X21&amp;" is more than Current On ART"&amp;CHAR(10),""),IF(Y243&gt;Y252," * Starting ART for Age "&amp;X20&amp;" "&amp;Y21&amp;" is more than Current On ART"&amp;CHAR(10),""),IF(Z243&gt;Z252," * Starting ART for Age "&amp;Z20&amp;" "&amp;Z21&amp;" is more than Current On ART"&amp;CHAR(10),""),IF(AA243&gt;AA252," * Starting ART for Age "&amp;Z20&amp;" "&amp;AA21&amp;" is more than Current On ART"&amp;CHAR(10),""))</f>
        <v/>
      </c>
      <c r="AD243" s="756" t="str">
        <f>CONCATENATE(AC243,AC244,AC245,AC246,AC247,AC248,AC249,AC250,AC251,AC252,AC253,AC254,AC255,AC256,AC257,AC258,AC259,AC261,AC260,AC262,AC263,AC264,AC265,AC266)</f>
        <v/>
      </c>
      <c r="AE243" s="83"/>
      <c r="AF243" s="758" t="str">
        <f>CONCATENATE(AE243,AE244,AE245,AE246,AE247,AE248,AE249,AE250,AE251,AE252,AE253,AE254,AE255,AE256,AE257,AE258,AE259,AE260,AE261,AE262,AE263,AE264,AE265,AE266)</f>
        <v/>
      </c>
      <c r="AG243" s="480">
        <v>242</v>
      </c>
      <c r="AH243" s="339"/>
    </row>
    <row r="244" spans="1:34" x14ac:dyDescent="0.85">
      <c r="A244" s="555" t="s">
        <v>579</v>
      </c>
      <c r="B244" s="313" t="s">
        <v>396</v>
      </c>
      <c r="C244" s="129" t="s">
        <v>573</v>
      </c>
      <c r="D244" s="171"/>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67">
        <f t="shared" ref="AB244:AB249" si="104">SUM(D244:AA244)</f>
        <v>0</v>
      </c>
      <c r="AC244" s="85"/>
      <c r="AD244" s="608"/>
      <c r="AE244" s="83"/>
      <c r="AF244" s="611"/>
      <c r="AG244" s="480">
        <v>243</v>
      </c>
    </row>
    <row r="245" spans="1:34" x14ac:dyDescent="0.85">
      <c r="A245" s="556"/>
      <c r="B245" s="314" t="s">
        <v>391</v>
      </c>
      <c r="C245" s="146" t="s">
        <v>574</v>
      </c>
      <c r="D245" s="172"/>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68">
        <f t="shared" si="104"/>
        <v>0</v>
      </c>
      <c r="AC245" s="85"/>
      <c r="AD245" s="608"/>
      <c r="AE245" s="83"/>
      <c r="AF245" s="611"/>
      <c r="AG245" s="480">
        <v>244</v>
      </c>
    </row>
    <row r="246" spans="1:34" x14ac:dyDescent="0.85">
      <c r="A246" s="556"/>
      <c r="B246" s="314" t="s">
        <v>392</v>
      </c>
      <c r="C246" s="146" t="s">
        <v>575</v>
      </c>
      <c r="D246" s="172"/>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68">
        <f t="shared" si="104"/>
        <v>0</v>
      </c>
      <c r="AC246" s="85"/>
      <c r="AD246" s="608"/>
      <c r="AE246" s="83"/>
      <c r="AF246" s="611"/>
      <c r="AG246" s="480">
        <v>245</v>
      </c>
    </row>
    <row r="247" spans="1:34" x14ac:dyDescent="0.85">
      <c r="A247" s="556"/>
      <c r="B247" s="314" t="s">
        <v>393</v>
      </c>
      <c r="C247" s="146" t="s">
        <v>576</v>
      </c>
      <c r="D247" s="172"/>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8">
        <f t="shared" si="104"/>
        <v>0</v>
      </c>
      <c r="AC247" s="85"/>
      <c r="AD247" s="608"/>
      <c r="AE247" s="83"/>
      <c r="AF247" s="611"/>
      <c r="AG247" s="480">
        <v>246</v>
      </c>
    </row>
    <row r="248" spans="1:34" x14ac:dyDescent="0.85">
      <c r="A248" s="556"/>
      <c r="B248" s="314" t="s">
        <v>394</v>
      </c>
      <c r="C248" s="146" t="s">
        <v>577</v>
      </c>
      <c r="D248" s="172"/>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8">
        <f t="shared" si="104"/>
        <v>0</v>
      </c>
      <c r="AC248" s="85"/>
      <c r="AD248" s="608"/>
      <c r="AE248" s="83"/>
      <c r="AF248" s="611"/>
      <c r="AG248" s="480">
        <v>247</v>
      </c>
    </row>
    <row r="249" spans="1:34" ht="31.3" thickBot="1" x14ac:dyDescent="0.9">
      <c r="A249" s="557"/>
      <c r="B249" s="315" t="s">
        <v>395</v>
      </c>
      <c r="C249" s="147" t="s">
        <v>578</v>
      </c>
      <c r="D249" s="151"/>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69">
        <f t="shared" si="104"/>
        <v>0</v>
      </c>
      <c r="AC249" s="85"/>
      <c r="AD249" s="608"/>
      <c r="AE249" s="83"/>
      <c r="AF249" s="611"/>
      <c r="AG249" s="480">
        <v>248</v>
      </c>
    </row>
    <row r="250" spans="1:34" ht="31.3" thickBot="1" x14ac:dyDescent="0.9">
      <c r="A250" s="500" t="s">
        <v>580</v>
      </c>
      <c r="B250" s="316" t="s">
        <v>722</v>
      </c>
      <c r="C250" s="175" t="s">
        <v>300</v>
      </c>
      <c r="D250" s="173"/>
      <c r="E250" s="70"/>
      <c r="F250" s="70"/>
      <c r="G250" s="70"/>
      <c r="H250" s="70"/>
      <c r="I250" s="70"/>
      <c r="J250" s="70"/>
      <c r="K250" s="71"/>
      <c r="L250" s="70"/>
      <c r="M250" s="71"/>
      <c r="N250" s="70"/>
      <c r="O250" s="71"/>
      <c r="P250" s="70"/>
      <c r="Q250" s="71"/>
      <c r="R250" s="70"/>
      <c r="S250" s="71"/>
      <c r="T250" s="70"/>
      <c r="U250" s="71"/>
      <c r="V250" s="70"/>
      <c r="W250" s="71"/>
      <c r="X250" s="70"/>
      <c r="Y250" s="71"/>
      <c r="Z250" s="70"/>
      <c r="AA250" s="70"/>
      <c r="AB250" s="72">
        <f t="shared" ref="AB250:AB277" si="105">SUM(D250:AA250)</f>
        <v>0</v>
      </c>
      <c r="AC250" s="195" t="str">
        <f>CONCATENATE(IF(D250&gt;D243," * F07-02 for Age "&amp;D20&amp;" "&amp;D21&amp;" is more than F07-01"&amp;CHAR(10),""),IF(E250&gt;E243," * F07-02 for Age "&amp;D20&amp;" "&amp;E21&amp;" is more than F07-01"&amp;CHAR(10),""),IF(F250&gt;F243," * F07-02 for Age "&amp;F20&amp;" "&amp;F21&amp;" is more than F07-01"&amp;CHAR(10),""),IF(G250&gt;G243," * F07-02 for Age "&amp;F20&amp;" "&amp;G21&amp;" is more than F07-01"&amp;CHAR(10),""),IF(H250&gt;H243," * F07-02 for Age "&amp;H20&amp;" "&amp;H21&amp;" is more than F07-01"&amp;CHAR(10),""),IF(I250&gt;I243," * F07-02 for Age "&amp;H20&amp;" "&amp;I21&amp;" is more than F07-01"&amp;CHAR(10),""),IF(J250&gt;J243," * F07-02 for Age "&amp;J20&amp;" "&amp;J21&amp;" is more than F07-01"&amp;CHAR(10),""),IF(K250&gt;K243," * F07-02 for Age "&amp;J20&amp;" "&amp;K21&amp;" is more than F07-01"&amp;CHAR(10),""),IF(L250&gt;L243," * F07-02 for Age "&amp;L20&amp;" "&amp;L21&amp;" is more than F07-01"&amp;CHAR(10),""),IF(M250&gt;M243," * F07-02 for Age "&amp;L20&amp;" "&amp;M21&amp;" is more than F07-01"&amp;CHAR(10),""),IF(N250&gt;N243," * F07-02 for Age "&amp;N20&amp;" "&amp;N21&amp;" is more than F07-01"&amp;CHAR(10),""),IF(O250&gt;O243," * F07-02 for Age "&amp;N20&amp;" "&amp;O21&amp;" is more than F07-01"&amp;CHAR(10),""),IF(P250&gt;P243," * F07-02 for Age "&amp;P20&amp;" "&amp;P21&amp;" is more than F07-01"&amp;CHAR(10),""),IF(Q250&gt;Q243," * F07-02 for Age "&amp;P20&amp;" "&amp;Q21&amp;" is more than F07-01"&amp;CHAR(10),""),IF(R250&gt;R243," * F07-02 for Age "&amp;R20&amp;" "&amp;R21&amp;" is more than F07-01"&amp;CHAR(10),""),IF(S250&gt;S243," * F07-02 for Age "&amp;R20&amp;" "&amp;S21&amp;" is more than F07-01"&amp;CHAR(10),""),IF(T250&gt;T243," * F07-02 for Age "&amp;T20&amp;" "&amp;T21&amp;" is more than F07-01"&amp;CHAR(10),""),IF(U250&gt;U243," * F07-02 for Age "&amp;T20&amp;" "&amp;U21&amp;" is more than F07-01"&amp;CHAR(10),""),IF(V250&gt;V243," * F07-02 for Age "&amp;V20&amp;" "&amp;V21&amp;" is more than F07-01"&amp;CHAR(10),""),IF(W250&gt;W243," * F07-02 for Age "&amp;V20&amp;" "&amp;W21&amp;" is more than F07-01"&amp;CHAR(10),""),IF(X250&gt;X243," * F07-02 for Age "&amp;X20&amp;" "&amp;X21&amp;" is more than F07-01"&amp;CHAR(10),""),IF(Y250&gt;Y243," * F07-02 for Age "&amp;X20&amp;" "&amp;Y21&amp;" is more than F07-01"&amp;CHAR(10),""),IF(Z250&gt;Z243," * F07-02 for Age "&amp;Z20&amp;" "&amp;Z21&amp;" is more than F07-01"&amp;CHAR(10),""),IF(AA250&gt;AA243," * F07-02 for Age "&amp;Z20&amp;" "&amp;AA21&amp;" is more than F07-01"&amp;CHAR(10),""),IF(AB250&gt;AB243," * Total F07-02 is more than Total F07-01"&amp;CHAR(10),""))</f>
        <v/>
      </c>
      <c r="AD250" s="608"/>
      <c r="AE250" s="84" t="str">
        <f>CONCATENATE(IF(AND(AB243&gt;0,OR(SUM(AB27,AB32,AB34,AB36,AB38,AB40,AB42,AB44,AB46,AB48,AB195,AB199,AB203,AB207)=0,SUM(AB26,AB31,AB33,AB35,AB37,AB39,AB41,AB43,AB45,AB47,AB194,AB198,AB202,AB206)=0))," * This site started patients on ART yet it has 0 positives or zero tested "&amp;CHAR(10),""),"")</f>
        <v/>
      </c>
      <c r="AF250" s="611"/>
      <c r="AG250" s="480">
        <v>249</v>
      </c>
    </row>
    <row r="251" spans="1:34" x14ac:dyDescent="0.85">
      <c r="A251" s="558" t="s">
        <v>581</v>
      </c>
      <c r="B251" s="284" t="s">
        <v>1032</v>
      </c>
      <c r="C251" s="129" t="s">
        <v>561</v>
      </c>
      <c r="D251" s="171"/>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f t="shared" ref="AB251" si="106">SUM(D251:AA251)</f>
        <v>0</v>
      </c>
      <c r="AC251" s="85" t="str">
        <f>CONCATENATE(IF(D251&gt;D252," * &lt; 28 Days Defaulters for Age "&amp;D20&amp;" "&amp;D21&amp;" is more than Current On ART"&amp;CHAR(10),""),IF(E251&gt;E252," * &lt; 28 Days Defaulters for Age "&amp;D20&amp;" "&amp;E21&amp;" is more than Current On ART"&amp;CHAR(10),""),IF(F251&gt;F252," * &lt; 28 Days Defaulters for Age "&amp;F20&amp;" "&amp;F21&amp;" is more than Current On ART"&amp;CHAR(10),""),IF(G251&gt;G252," * &lt; 28 Days Defaulters for Age "&amp;F20&amp;" "&amp;G21&amp;" is more than Current On ART"&amp;CHAR(10),""),IF(H251&gt;H252," * &lt; 28 Days Defaulters for Age "&amp;H20&amp;" "&amp;H21&amp;" is more than Current On ART"&amp;CHAR(10),""),IF(I251&gt;I252," * &lt; 28 Days Defaulters for Age "&amp;H20&amp;" "&amp;I21&amp;" is more than Current On ART"&amp;CHAR(10),""),IF(J251&gt;J252," * &lt; 28 Days Defaulters for Age "&amp;J20&amp;" "&amp;J21&amp;" is more than Current On ART"&amp;CHAR(10),""),IF(K251&gt;K252," * &lt; 28 Days Defaulters for Age "&amp;J20&amp;" "&amp;K21&amp;" is more than Current On ART"&amp;CHAR(10),""),IF(L251&gt;L252," * &lt; 28 Days Defaulters for Age "&amp;L20&amp;" "&amp;L21&amp;" is more than Current On ART"&amp;CHAR(10),""),IF(M251&gt;M252," * &lt; 28 Days Defaulters for Age "&amp;L20&amp;" "&amp;M21&amp;" is more than Current On ART"&amp;CHAR(10),""),IF(N251&gt;N252," * &lt; 28 Days Defaulters for Age "&amp;N20&amp;" "&amp;N21&amp;" is more than Current On ART"&amp;CHAR(10),""),IF(O251&gt;O252," * &lt; 28 Days Defaulters for Age "&amp;N20&amp;" "&amp;O21&amp;" is more than Current On ART"&amp;CHAR(10),""),IF(P251&gt;P252," * &lt; 28 Days Defaulters for Age "&amp;P20&amp;" "&amp;P21&amp;" is more than Current On ART"&amp;CHAR(10),""),IF(Q251&gt;Q252," * &lt; 28 Days Defaulters for Age "&amp;P20&amp;" "&amp;Q21&amp;" is more than Current On ART"&amp;CHAR(10),""),IF(R251&gt;R252," * &lt; 28 Days Defaulters for Age "&amp;R20&amp;" "&amp;R21&amp;" is more than Current On ART"&amp;CHAR(10),""),IF(S251&gt;S252," * &lt; 28 Days Defaulters for Age "&amp;R20&amp;" "&amp;S21&amp;" is more than Current On ART"&amp;CHAR(10),""),IF(T251&gt;T252," * &lt; 28 Days Defaulters for Age "&amp;T20&amp;" "&amp;T21&amp;" is more than Current On ART"&amp;CHAR(10),""),IF(U251&gt;U252," * &lt; 28 Days Defaulters for Age "&amp;T20&amp;" "&amp;U21&amp;" is more than Current On ART"&amp;CHAR(10),""),IF(V251&gt;V252," * &lt; 28 Days Defaulters for Age "&amp;V20&amp;" "&amp;V21&amp;" is more than Current On ART"&amp;CHAR(10),""),IF(W251&gt;W252," * &lt; 28 Days Defaulters for Age "&amp;V20&amp;" "&amp;W21&amp;" is more than Current On ART"&amp;CHAR(10),""),IF(X251&gt;X252," * &lt; 28 Days Defaulters for Age "&amp;X20&amp;" "&amp;X21&amp;" is more than Current On ART"&amp;CHAR(10),""),IF(Y251&gt;Y252," * &lt; 28 Days Defaulters for Age "&amp;X20&amp;" "&amp;Y21&amp;" is more than Current On ART"&amp;CHAR(10),""),IF(Z251&gt;Z252," * &lt; 28 Days Defaulters for Age "&amp;Z20&amp;" "&amp;Z21&amp;" is more than Current On ART"&amp;CHAR(10),""),IF(AA251&gt;AA252," * &lt; 28 Days Defaulters for Age "&amp;Z20&amp;" "&amp;AA21&amp;" is more than Current On ART"&amp;CHAR(10),""))</f>
        <v/>
      </c>
      <c r="AD251" s="608"/>
      <c r="AE251" s="83"/>
      <c r="AF251" s="611"/>
      <c r="AG251" s="480">
        <v>250</v>
      </c>
    </row>
    <row r="252" spans="1:34" ht="32.15" thickBot="1" x14ac:dyDescent="0.9">
      <c r="A252" s="559"/>
      <c r="B252" s="317" t="s">
        <v>878</v>
      </c>
      <c r="C252" s="138" t="s">
        <v>302</v>
      </c>
      <c r="D252" s="174">
        <f>SUM(D253:D258)</f>
        <v>0</v>
      </c>
      <c r="E252" s="73">
        <f t="shared" ref="E252:AA252" si="107">SUM(E253:E258)</f>
        <v>0</v>
      </c>
      <c r="F252" s="73">
        <f t="shared" si="107"/>
        <v>0</v>
      </c>
      <c r="G252" s="73">
        <f t="shared" si="107"/>
        <v>0</v>
      </c>
      <c r="H252" s="73">
        <f t="shared" si="107"/>
        <v>0</v>
      </c>
      <c r="I252" s="73">
        <f t="shared" si="107"/>
        <v>0</v>
      </c>
      <c r="J252" s="73">
        <f t="shared" si="107"/>
        <v>0</v>
      </c>
      <c r="K252" s="73">
        <f t="shared" si="107"/>
        <v>0</v>
      </c>
      <c r="L252" s="73">
        <f t="shared" si="107"/>
        <v>0</v>
      </c>
      <c r="M252" s="73">
        <f t="shared" si="107"/>
        <v>0</v>
      </c>
      <c r="N252" s="73">
        <f t="shared" si="107"/>
        <v>0</v>
      </c>
      <c r="O252" s="73">
        <f t="shared" si="107"/>
        <v>0</v>
      </c>
      <c r="P252" s="73">
        <f t="shared" si="107"/>
        <v>0</v>
      </c>
      <c r="Q252" s="73">
        <f t="shared" si="107"/>
        <v>0</v>
      </c>
      <c r="R252" s="73">
        <f t="shared" si="107"/>
        <v>0</v>
      </c>
      <c r="S252" s="73">
        <f t="shared" si="107"/>
        <v>0</v>
      </c>
      <c r="T252" s="73">
        <f t="shared" si="107"/>
        <v>0</v>
      </c>
      <c r="U252" s="73">
        <f t="shared" si="107"/>
        <v>0</v>
      </c>
      <c r="V252" s="73">
        <f t="shared" si="107"/>
        <v>0</v>
      </c>
      <c r="W252" s="73">
        <f t="shared" si="107"/>
        <v>0</v>
      </c>
      <c r="X252" s="73">
        <f t="shared" si="107"/>
        <v>0</v>
      </c>
      <c r="Y252" s="73">
        <f t="shared" si="107"/>
        <v>0</v>
      </c>
      <c r="Z252" s="73">
        <f t="shared" si="107"/>
        <v>0</v>
      </c>
      <c r="AA252" s="73">
        <f t="shared" si="107"/>
        <v>0</v>
      </c>
      <c r="AB252" s="74">
        <f>SUM(AB253:AB258)</f>
        <v>0</v>
      </c>
      <c r="AC252" s="85" t="str">
        <f>CONCATENATE(IF(D252&lt;&gt;D265,""&amp;CHAR(10)&amp;"  * Current on ART by month of dispense F07-16 for age "&amp;D241&amp;" "&amp;D242&amp;" is not equal to Clients current On ART F07-03 age  "&amp;D241&amp;" "&amp;D242&amp;"",""),IF(E252&lt;&gt;E265,""&amp;CHAR(10)&amp;"  * Current on ART by month of dispense F07-16 for age "&amp;D241&amp;" "&amp;E242&amp;" is not equal to Clients current On ART F07-03 age  "&amp;D241&amp;" "&amp;E242&amp;"",""),IF(F252&lt;&gt;F265,""&amp;CHAR(10)&amp;"  * Current on ART by month of dispense F07-16 for age "&amp;F241&amp;" "&amp;F242&amp;" is not equal to Clients current On ART F07-03 age  "&amp;F241&amp;" "&amp;F242&amp;"",""),IF(G252&lt;&gt;G265,""&amp;CHAR(10)&amp;"  * Current on ART by month of dispense F07-16 for age "&amp;F241&amp;" "&amp;G242&amp;" is not equal to Clients current On ART F07-03 age  "&amp;F241&amp;" "&amp;G242&amp;"",""),IF(H252&lt;&gt;H265,""&amp;CHAR(10)&amp;"  * Current on ART by month of dispense F07-16 for age "&amp;H241&amp;" "&amp;H242&amp;" is not equal to Clients current On ART F07-03 age  "&amp;H241&amp;" "&amp;H242&amp;"",""),IF(I252&lt;&gt;I265,""&amp;CHAR(10)&amp;"  * Current on ART by month of dispense F07-16 for age "&amp;H241&amp;" "&amp;I242&amp;" is not equal to Clients current On ART F07-03 age  "&amp;H241&amp;" "&amp;I242&amp;"",""),IF(J252&lt;&gt;J265,""&amp;CHAR(10)&amp;"  * Current on ART by month of dispense F07-16 for age "&amp;J241&amp;" "&amp;J242&amp;" is not equal to Clients current On ART F07-03 age  "&amp;J241&amp;" "&amp;J242&amp;"",""),IF(K252&lt;&gt;K265,""&amp;CHAR(10)&amp;"  * Current on ART by month of dispense F07-16 for age "&amp;J241&amp;" "&amp;K242&amp;" is not equal to Clients current On ART F07-03 age  "&amp;J241&amp;" "&amp;K242&amp;"",""),IF(L252&lt;&gt;L265,""&amp;CHAR(10)&amp;"  * Current on ART by month of dispense F07-16 for age "&amp;L241&amp;" "&amp;L242&amp;" is not equal to Clients current On ART F07-03 age  "&amp;L241&amp;" "&amp;L242&amp;"",""),IF(M252&lt;&gt;M265,""&amp;CHAR(10)&amp;"  * Current on ART by month of dispense F07-16 for age "&amp;L241&amp;" "&amp;M242&amp;" is not equal to Clients current On ART F07-03 age  "&amp;L241&amp;" "&amp;M242&amp;"",""),IF(N252&lt;&gt;N265,""&amp;CHAR(10)&amp;"  * Current on ART by month of dispense F07-16 for age "&amp;N241&amp;" "&amp;N242&amp;" is not equal to Clients current On ART F07-03 age  "&amp;N241&amp;" "&amp;N242&amp;"",""),IF(O252&lt;&gt;O265,""&amp;CHAR(10)&amp;"  * Current on ART by month of dispense F07-16 for age "&amp;N241&amp;" "&amp;O242&amp;" is not equal to Clients current On ART F07-03 age  "&amp;N241&amp;" "&amp;O242&amp;"",""),IF(P252&lt;&gt;P265,""&amp;CHAR(10)&amp;"  * Current on ART by month of dispense F07-16 for age "&amp;P241&amp;" "&amp;P242&amp;" is not equal to Clients current On ART F07-03 age  "&amp;P241&amp;" "&amp;P242&amp;"",""),IF(Q252&lt;&gt;Q265,""&amp;CHAR(10)&amp;"  * Current on ART by month of dispense F07-16 for age "&amp;P241&amp;" "&amp;Q242&amp;" is not equal to Clients current On ART F07-03 age  "&amp;P241&amp;" "&amp;Q242&amp;"",""),IF(R252&lt;&gt;R265,""&amp;CHAR(10)&amp;"  * Current on ART by month of dispense F07-16 for age "&amp;R241&amp;" "&amp;R242&amp;" is not equal to Clients current On ART F07-03 age  "&amp;R241&amp;" "&amp;R242&amp;"",""),IF(S252&lt;&gt;S265,""&amp;CHAR(10)&amp;"  * Current on ART by month of dispense F07-16 for age "&amp;R241&amp;" "&amp;S242&amp;" is not equal to Clients current On ART F07-03 age  "&amp;R241&amp;" "&amp;S242&amp;"",""),IF(T252&lt;&gt;T265,""&amp;CHAR(10)&amp;"  * Current on ART by month of dispense F07-16 for age "&amp;T241&amp;" "&amp;T242&amp;" is not equal to Clients current On ART F07-03 age  "&amp;T241&amp;" "&amp;T242&amp;"",""),IF(U252&lt;&gt;U265,""&amp;CHAR(10)&amp;"  * Current on ART by month of dispense F07-16 for age "&amp;T241&amp;" "&amp;U242&amp;" is not equal to Clients current On ART F07-03 age  "&amp;T241&amp;" "&amp;U242&amp;"",""),IF(V252&lt;&gt;V265,""&amp;CHAR(10)&amp;"  * Current on ART by month of dispense F07-16 for age "&amp;V241&amp;" "&amp;V242&amp;" is not equal to Clients current On ART F07-03 age  "&amp;V241&amp;" "&amp;V242&amp;"",""),IF(W252&lt;&gt;W265,""&amp;CHAR(10)&amp;"  * Current on ART by month of dispense F07-16 for age "&amp;V241&amp;" "&amp;W242&amp;" is not equal to Clients current On ART F07-03 age  "&amp;V241&amp;" "&amp;W242&amp;"",""),IF(X252&lt;&gt;X265,""&amp;CHAR(10)&amp;"  * Current on ART by month of dispense F07-16 for age "&amp;X241&amp;" "&amp;X242&amp;" is not equal to Clients current On ART F07-03 age  "&amp;X241&amp;" "&amp;X242&amp;"",""),IF(Y252&lt;&gt;Y265,""&amp;CHAR(10)&amp;"  * Current on ART by month of dispense F07-16 for age "&amp;X241&amp;" "&amp;Y242&amp;" is not equal to Clients current On ART F07-03 age  "&amp;X241&amp;" "&amp;Y242&amp;"",""),IF(Z252&lt;&gt;Z265,""&amp;CHAR(10)&amp;"  * Current on ART by month of dispense F07-16 for age "&amp;Z241&amp;" "&amp;Z242&amp;" is not equal to Clients current On ART F07-03 age  "&amp;Z241&amp;" "&amp;Z242&amp;"",""),IF(AA252&lt;&gt;AA265,""&amp;CHAR(10)&amp;"  * Current on ART by month of dispense F07-16 for age "&amp;Z241&amp;" "&amp;AA242&amp;" is not equal to Clients current On ART F07-03 age  "&amp;Z241&amp;" "&amp;AA242&amp;"",""))</f>
        <v/>
      </c>
      <c r="AD252" s="608"/>
      <c r="AE252" s="83"/>
      <c r="AF252" s="611"/>
      <c r="AG252" s="480">
        <v>251</v>
      </c>
    </row>
    <row r="253" spans="1:34" x14ac:dyDescent="0.85">
      <c r="A253" s="560" t="s">
        <v>441</v>
      </c>
      <c r="B253" s="313" t="s">
        <v>396</v>
      </c>
      <c r="C253" s="134" t="s">
        <v>410</v>
      </c>
      <c r="D253" s="171"/>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f t="shared" si="105"/>
        <v>0</v>
      </c>
      <c r="AC253" s="85"/>
      <c r="AD253" s="608"/>
      <c r="AE253" s="83"/>
      <c r="AF253" s="611"/>
      <c r="AG253" s="480">
        <v>252</v>
      </c>
    </row>
    <row r="254" spans="1:34" x14ac:dyDescent="0.85">
      <c r="A254" s="561"/>
      <c r="B254" s="314" t="s">
        <v>391</v>
      </c>
      <c r="C254" s="136" t="s">
        <v>411</v>
      </c>
      <c r="D254" s="172"/>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37">
        <f t="shared" si="105"/>
        <v>0</v>
      </c>
      <c r="AC254" s="85"/>
      <c r="AD254" s="608"/>
      <c r="AE254" s="83"/>
      <c r="AF254" s="611"/>
      <c r="AG254" s="480">
        <v>253</v>
      </c>
    </row>
    <row r="255" spans="1:34" x14ac:dyDescent="0.85">
      <c r="A255" s="561"/>
      <c r="B255" s="314" t="s">
        <v>392</v>
      </c>
      <c r="C255" s="136" t="s">
        <v>412</v>
      </c>
      <c r="D255" s="172"/>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37">
        <f t="shared" si="105"/>
        <v>0</v>
      </c>
      <c r="AC255" s="85"/>
      <c r="AD255" s="608"/>
      <c r="AE255" s="83"/>
      <c r="AF255" s="611"/>
      <c r="AG255" s="480">
        <v>254</v>
      </c>
    </row>
    <row r="256" spans="1:34" x14ac:dyDescent="0.85">
      <c r="A256" s="561"/>
      <c r="B256" s="314" t="s">
        <v>393</v>
      </c>
      <c r="C256" s="136" t="s">
        <v>413</v>
      </c>
      <c r="D256" s="172"/>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37">
        <f t="shared" si="105"/>
        <v>0</v>
      </c>
      <c r="AC256" s="85"/>
      <c r="AD256" s="608"/>
      <c r="AE256" s="83"/>
      <c r="AF256" s="611"/>
      <c r="AG256" s="480">
        <v>255</v>
      </c>
    </row>
    <row r="257" spans="1:33" x14ac:dyDescent="0.85">
      <c r="A257" s="561"/>
      <c r="B257" s="314" t="s">
        <v>394</v>
      </c>
      <c r="C257" s="136" t="s">
        <v>414</v>
      </c>
      <c r="D257" s="172"/>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7">
        <f t="shared" si="105"/>
        <v>0</v>
      </c>
      <c r="AC257" s="85"/>
      <c r="AD257" s="608"/>
      <c r="AE257" s="83"/>
      <c r="AF257" s="611"/>
      <c r="AG257" s="480">
        <v>256</v>
      </c>
    </row>
    <row r="258" spans="1:33" ht="31.3" thickBot="1" x14ac:dyDescent="0.9">
      <c r="A258" s="562"/>
      <c r="B258" s="315" t="s">
        <v>395</v>
      </c>
      <c r="C258" s="138" t="s">
        <v>415</v>
      </c>
      <c r="D258" s="151"/>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40">
        <f t="shared" si="105"/>
        <v>0</v>
      </c>
      <c r="AC258" s="85"/>
      <c r="AD258" s="608"/>
      <c r="AE258" s="83"/>
      <c r="AF258" s="611"/>
      <c r="AG258" s="480">
        <v>257</v>
      </c>
    </row>
    <row r="259" spans="1:33" ht="30.75" customHeight="1" x14ac:dyDescent="0.85">
      <c r="A259" s="560" t="s">
        <v>442</v>
      </c>
      <c r="B259" s="313" t="s">
        <v>445</v>
      </c>
      <c r="C259" s="134" t="s">
        <v>421</v>
      </c>
      <c r="D259" s="171"/>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f t="shared" si="105"/>
        <v>0</v>
      </c>
      <c r="AC259" s="85"/>
      <c r="AD259" s="608"/>
      <c r="AE259" s="83"/>
      <c r="AF259" s="611"/>
      <c r="AG259" s="480">
        <v>258</v>
      </c>
    </row>
    <row r="260" spans="1:33" x14ac:dyDescent="0.85">
      <c r="A260" s="561"/>
      <c r="B260" s="314" t="s">
        <v>416</v>
      </c>
      <c r="C260" s="136" t="s">
        <v>422</v>
      </c>
      <c r="D260" s="172"/>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7">
        <f t="shared" si="105"/>
        <v>0</v>
      </c>
      <c r="AC260" s="85"/>
      <c r="AD260" s="608"/>
      <c r="AE260" s="83"/>
      <c r="AF260" s="611"/>
      <c r="AG260" s="480">
        <v>259</v>
      </c>
    </row>
    <row r="261" spans="1:33" x14ac:dyDescent="0.85">
      <c r="A261" s="561"/>
      <c r="B261" s="314" t="s">
        <v>417</v>
      </c>
      <c r="C261" s="136" t="s">
        <v>423</v>
      </c>
      <c r="D261" s="172"/>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7">
        <f t="shared" si="105"/>
        <v>0</v>
      </c>
      <c r="AC261" s="85"/>
      <c r="AD261" s="608"/>
      <c r="AE261" s="83"/>
      <c r="AF261" s="611"/>
      <c r="AG261" s="480">
        <v>260</v>
      </c>
    </row>
    <row r="262" spans="1:33" x14ac:dyDescent="0.85">
      <c r="A262" s="561"/>
      <c r="B262" s="314" t="s">
        <v>418</v>
      </c>
      <c r="C262" s="136" t="s">
        <v>424</v>
      </c>
      <c r="D262" s="172"/>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7">
        <f t="shared" si="105"/>
        <v>0</v>
      </c>
      <c r="AC262" s="85"/>
      <c r="AD262" s="608"/>
      <c r="AE262" s="83"/>
      <c r="AF262" s="611"/>
      <c r="AG262" s="480">
        <v>261</v>
      </c>
    </row>
    <row r="263" spans="1:33" x14ac:dyDescent="0.85">
      <c r="A263" s="561"/>
      <c r="B263" s="319" t="s">
        <v>419</v>
      </c>
      <c r="C263" s="136" t="s">
        <v>425</v>
      </c>
      <c r="D263" s="172"/>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7">
        <f t="shared" si="105"/>
        <v>0</v>
      </c>
      <c r="AC263" s="85"/>
      <c r="AD263" s="608"/>
      <c r="AE263" s="83"/>
      <c r="AF263" s="611"/>
      <c r="AG263" s="480">
        <v>262</v>
      </c>
    </row>
    <row r="264" spans="1:33" x14ac:dyDescent="0.85">
      <c r="A264" s="561"/>
      <c r="B264" s="319" t="s">
        <v>420</v>
      </c>
      <c r="C264" s="136" t="s">
        <v>426</v>
      </c>
      <c r="D264" s="172"/>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7">
        <f t="shared" si="105"/>
        <v>0</v>
      </c>
      <c r="AC264" s="85"/>
      <c r="AD264" s="608"/>
      <c r="AE264" s="83"/>
      <c r="AF264" s="611"/>
      <c r="AG264" s="480">
        <v>263</v>
      </c>
    </row>
    <row r="265" spans="1:33" ht="32.15" thickBot="1" x14ac:dyDescent="0.9">
      <c r="A265" s="561"/>
      <c r="B265" s="320" t="s">
        <v>440</v>
      </c>
      <c r="C265" s="138" t="s">
        <v>444</v>
      </c>
      <c r="D265" s="174">
        <f>SUM(D259:D264)</f>
        <v>0</v>
      </c>
      <c r="E265" s="73">
        <f t="shared" ref="E265:AA265" si="108">SUM(E259:E264)</f>
        <v>0</v>
      </c>
      <c r="F265" s="73">
        <f t="shared" si="108"/>
        <v>0</v>
      </c>
      <c r="G265" s="73">
        <f t="shared" si="108"/>
        <v>0</v>
      </c>
      <c r="H265" s="73">
        <f t="shared" si="108"/>
        <v>0</v>
      </c>
      <c r="I265" s="73">
        <f t="shared" si="108"/>
        <v>0</v>
      </c>
      <c r="J265" s="73">
        <f t="shared" si="108"/>
        <v>0</v>
      </c>
      <c r="K265" s="73">
        <f t="shared" si="108"/>
        <v>0</v>
      </c>
      <c r="L265" s="73">
        <f t="shared" si="108"/>
        <v>0</v>
      </c>
      <c r="M265" s="73">
        <f t="shared" si="108"/>
        <v>0</v>
      </c>
      <c r="N265" s="73">
        <f t="shared" si="108"/>
        <v>0</v>
      </c>
      <c r="O265" s="73">
        <f t="shared" si="108"/>
        <v>0</v>
      </c>
      <c r="P265" s="73">
        <f t="shared" si="108"/>
        <v>0</v>
      </c>
      <c r="Q265" s="73">
        <f t="shared" si="108"/>
        <v>0</v>
      </c>
      <c r="R265" s="73">
        <f t="shared" si="108"/>
        <v>0</v>
      </c>
      <c r="S265" s="73">
        <f t="shared" si="108"/>
        <v>0</v>
      </c>
      <c r="T265" s="73">
        <f t="shared" si="108"/>
        <v>0</v>
      </c>
      <c r="U265" s="73">
        <f t="shared" si="108"/>
        <v>0</v>
      </c>
      <c r="V265" s="73">
        <f t="shared" si="108"/>
        <v>0</v>
      </c>
      <c r="W265" s="73">
        <f t="shared" si="108"/>
        <v>0</v>
      </c>
      <c r="X265" s="73">
        <f t="shared" si="108"/>
        <v>0</v>
      </c>
      <c r="Y265" s="73">
        <f t="shared" si="108"/>
        <v>0</v>
      </c>
      <c r="Z265" s="73">
        <f t="shared" si="108"/>
        <v>0</v>
      </c>
      <c r="AA265" s="73">
        <f t="shared" si="108"/>
        <v>0</v>
      </c>
      <c r="AB265" s="40">
        <f t="shared" si="105"/>
        <v>0</v>
      </c>
      <c r="AC265" s="85"/>
      <c r="AD265" s="608"/>
      <c r="AE265" s="83"/>
      <c r="AF265" s="611"/>
      <c r="AG265" s="480">
        <v>264</v>
      </c>
    </row>
    <row r="266" spans="1:33" ht="31.3" thickBot="1" x14ac:dyDescent="0.9">
      <c r="A266" s="562"/>
      <c r="B266" s="311" t="s">
        <v>462</v>
      </c>
      <c r="C266" s="170" t="s">
        <v>446</v>
      </c>
      <c r="D266" s="176"/>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6">
        <f t="shared" si="105"/>
        <v>0</v>
      </c>
      <c r="AC266" s="85"/>
      <c r="AD266" s="757"/>
      <c r="AE266" s="83"/>
      <c r="AF266" s="759"/>
      <c r="AG266" s="480">
        <v>265</v>
      </c>
    </row>
    <row r="267" spans="1:33" x14ac:dyDescent="0.85">
      <c r="A267" s="679" t="s">
        <v>615</v>
      </c>
      <c r="B267" s="321" t="s">
        <v>606</v>
      </c>
      <c r="C267" s="129" t="s">
        <v>558</v>
      </c>
      <c r="D267" s="171"/>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f t="shared" si="105"/>
        <v>0</v>
      </c>
      <c r="AC267" s="82" t="str">
        <f>CONCATENATE(IF(D278&gt;D267," *  confirmed TB positive newly started on TB treatment "&amp;$D$20&amp;" "&amp;$D$21&amp;" is more than Screening positive for TB Newly enrolled on ART"&amp;CHAR(10),""),IF(E278&gt;E267," *  confirmed TB positive newly started on TB treatment "&amp;$D$20&amp;" "&amp;$E$21&amp;" is more than Screening positive for TB Newly enrolled on ART"&amp;CHAR(10),""),IF(F278&gt;F267," *  confirmed TB positive newly started on TB treatment "&amp;$F$20&amp;" "&amp;$F$21&amp;" is more than Screening positive for TB Newly enrolled on ART"&amp;CHAR(10),""),IF(G278&gt;G267," *  confirmed TB positive newly started on TB treatment "&amp;$F$20&amp;" "&amp;$G$21&amp;" is more than Screening positive for TB Newly enrolled on ART"&amp;CHAR(10),""),IF(H278&gt;H267," *  confirmed TB positive newly started on TB treatment "&amp;$H$20&amp;" "&amp;$H$21&amp;" is more than Screening positive for TB Newly enrolled on ART"&amp;CHAR(10),""),IF(I278&gt;I267," *  confirmed TB positive newly started on TB treatment "&amp;$H$20&amp;" "&amp;$I$21&amp;" is more than Screening positive for TB Newly enrolled on ART"&amp;CHAR(10),""),IF(J278&gt;J267," *  confirmed TB positive newly started on TB treatment "&amp;$J$20&amp;" "&amp;$J$21&amp;" is more than Screening positive for TB Newly enrolled on ART"&amp;CHAR(10),""),IF(K278&gt;K267," *  confirmed TB positive newly started on TB treatment "&amp;$J$20&amp;" "&amp;$K$21&amp;" is more than Screening positive for TB Newly enrolled on ART"&amp;CHAR(10),""),IF(L278&gt;L267," *  confirmed TB positive newly started on TB treatment "&amp;$L$20&amp;" "&amp;$L$21&amp;" is more than Screening positive for TB Newly enrolled on ART"&amp;CHAR(10),""),IF(M278&gt;M267," *  confirmed TB positive newly started on TB treatment "&amp;$L$20&amp;" "&amp;$M$21&amp;" is more than Screening positive for TB Newly enrolled on ART"&amp;CHAR(10),""),IF(N278&gt;N267," *  confirmed TB positive newly started on TB treatment "&amp;$N$20&amp;" "&amp;$N$21&amp;" is more than Screening positive for TB Newly enrolled on ART"&amp;CHAR(10),""),IF(O278&gt;O267," *  confirmed TB positive newly started on TB treatment "&amp;$N$20&amp;" "&amp;$O$21&amp;" is more than Screening positive for TB Newly enrolled on ART"&amp;CHAR(10),""),IF(P278&gt;P267," *  confirmed TB positive newly started on TB treatment "&amp;$P$20&amp;" "&amp;$P$21&amp;" is more than Screening positive for TB Newly enrolled on ART"&amp;CHAR(10),""),IF(Q278&gt;Q267," *  confirmed TB positive newly started on TB treatment "&amp;$P$20&amp;" "&amp;$Q$21&amp;" is more than Screening positive for TB Newly enrolled on ART"&amp;CHAR(10),""),IF(R278&gt;R267," *  confirmed TB positive newly started on TB treatment "&amp;$R$20&amp;" "&amp;$R$21&amp;" is more than Screening positive for TB Newly enrolled on ART"&amp;CHAR(10),""),IF(S278&gt;S267," *  confirmed TB positive newly started on TB treatment "&amp;$R$20&amp;" "&amp;$S$21&amp;" is more than Screening positive for TB Newly enrolled on ART"&amp;CHAR(10),""),IF(T278&gt;T267," *  confirmed TB positive newly started on TB treatment "&amp;$T$20&amp;" "&amp;$T$21&amp;" is more than Screening positive for TB Newly enrolled on ART"&amp;CHAR(10),""),IF(U278&gt;U267," *  confirmed TB positive newly started on TB treatment "&amp;$T$20&amp;" "&amp;$U$21&amp;" is more than Screening positive for TB Newly enrolled on ART"&amp;CHAR(10),""),IF(V278&gt;V267," *  confirmed TB positive newly started on TB treatment "&amp;$V$20&amp;" "&amp;$V$21&amp;" is more than Screening positive for TB Newly enrolled on ART"&amp;CHAR(10),""),IF(W278&gt;W267," *  confirmed TB positive newly started on TB treatment "&amp;$V$20&amp;" "&amp;$W$21&amp;" is more than Screening positive for TB Newly enrolled on ART"&amp;CHAR(10),""),IF(X278&gt;X267," *  confirmed TB positive newly started on TB treatment "&amp;$X$20&amp;" "&amp;$X$21&amp;" is more than Screening positive for TB Newly enrolled on ART"&amp;CHAR(10),""),IF(Y278&gt;Y267," *  confirmed TB positive newly started on TB treatment "&amp;$X$20&amp;" "&amp;$Y$21&amp;" is more than Screening positive for TB Newly enrolled on ART"&amp;CHAR(10),""),IF(Z278&gt;Z267," *  confirmed TB positive newly started on TB treatment "&amp;$Z$20&amp;" "&amp;$Z$21&amp;" is more than Screening positive for TB Newly enrolled on ART"&amp;CHAR(10),""),IF(AA278&gt;AA267," *  confirmed TB positive newly started on TB treatment "&amp;$Z$20&amp;" "&amp;$AA$21&amp;" is more than Screening positive for TB Newly enrolled on ART"&amp;CHAR(10),""))</f>
        <v/>
      </c>
      <c r="AD267" s="607" t="str">
        <f>CONCATENATE(AC267,AC268,AC269,AC270,AC271,AC272,AC273,AC274,AC275,AC276,AC277,AC278,AC279,AC280)</f>
        <v/>
      </c>
      <c r="AE267" s="83"/>
      <c r="AF267" s="610" t="str">
        <f>CONCATENATE(AE267,AE268,AE269,AE270,AE271,AE272,AE273,AE274,AE275,AE276,AE277,AE278,AE279,AE280)</f>
        <v/>
      </c>
      <c r="AG267" s="480">
        <v>266</v>
      </c>
    </row>
    <row r="268" spans="1:33" x14ac:dyDescent="0.85">
      <c r="A268" s="680"/>
      <c r="B268" s="319" t="s">
        <v>607</v>
      </c>
      <c r="C268" s="146" t="s">
        <v>559</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37">
        <f t="shared" si="105"/>
        <v>0</v>
      </c>
      <c r="AC268" s="85" t="str">
        <f>CONCATENATE(IF(D279&gt;D268," *  Confirmed TB positive already on ART and on TB treatment "&amp;$D$20&amp;" "&amp;$D$21&amp;" is more than Screening positive for TB Previously enrolled on ART"&amp;CHAR(10),""),IF(E279&gt;E268," *  Confirmed TB positive already on ART and on TB treatment "&amp;$D$20&amp;" "&amp;$E$21&amp;" is more than Screening positive for TB Previously enrolled on ART"&amp;CHAR(10),""),IF(F279&gt;F268," *  Confirmed TB positive already on ART and on TB treatment "&amp;$F$20&amp;" "&amp;$F$21&amp;" is more than Screening positive for TB Previously enrolled on ART"&amp;CHAR(10),""),IF(G279&gt;G268," *  Confirmed TB positive already on ART and on TB treatment "&amp;$F$20&amp;" "&amp;$G$21&amp;" is more than Screening positive for TB Previously enrolled on ART"&amp;CHAR(10),""),IF(H279&gt;H268," *  Confirmed TB positive already on ART and on TB treatment "&amp;$H$20&amp;" "&amp;$H$21&amp;" is more than Screening positive for TB Previously enrolled on ART"&amp;CHAR(10),""),IF(I279&gt;I268," *  Confirmed TB positive already on ART and on TB treatment "&amp;$H$20&amp;" "&amp;$I$21&amp;" is more than Screening positive for TB Previously enrolled on ART"&amp;CHAR(10),""),IF(J279&gt;J268," *  Confirmed TB positive already on ART and on TB treatment "&amp;$J$20&amp;" "&amp;$J$21&amp;" is more than Screening positive for TB Previously enrolled on ART"&amp;CHAR(10),""),IF(K279&gt;K268," *  Confirmed TB positive already on ART and on TB treatment "&amp;$J$20&amp;" "&amp;$K$21&amp;" is more than Screening positive for TB Previously enrolled on ART"&amp;CHAR(10),""),IF(L279&gt;L268," *  Confirmed TB positive already on ART and on TB treatment "&amp;$L$20&amp;" "&amp;$L$21&amp;" is more than Screening positive for TB Previously enrolled on ART"&amp;CHAR(10),""),IF(M279&gt;M268," *  Confirmed TB positive already on ART and on TB treatment "&amp;$L$20&amp;" "&amp;$M$21&amp;" is more than Screening positive for TB Previously enrolled on ART"&amp;CHAR(10),""),IF(N279&gt;N268," *  Confirmed TB positive already on ART and on TB treatment "&amp;$N$20&amp;" "&amp;$N$21&amp;" is more than Screening positive for TB Previously enrolled on ART"&amp;CHAR(10),""),IF(O279&gt;O268," *  Confirmed TB positive already on ART and on TB treatment "&amp;$N$20&amp;" "&amp;$O$21&amp;" is more than Screening positive for TB Previously enrolled on ART"&amp;CHAR(10),""),IF(P279&gt;P268," *  Confirmed TB positive already on ART and on TB treatment "&amp;$P$20&amp;" "&amp;$P$21&amp;" is more than Screening positive for TB Previously enrolled on ART"&amp;CHAR(10),""),IF(Q279&gt;Q268," *  Confirmed TB positive already on ART and on TB treatment "&amp;$P$20&amp;" "&amp;$Q$21&amp;" is more than Screening positive for TB Previously enrolled on ART"&amp;CHAR(10),""),IF(R279&gt;R268," *  Confirmed TB positive already on ART and on TB treatment "&amp;$R$20&amp;" "&amp;$R$21&amp;" is more than Screening positive for TB Previously enrolled on ART"&amp;CHAR(10),""),IF(S279&gt;S268," *  Confirmed TB positive already on ART and on TB treatment "&amp;$R$20&amp;" "&amp;$S$21&amp;" is more than Screening positive for TB Previously enrolled on ART"&amp;CHAR(10),""),IF(T279&gt;T268," *  Confirmed TB positive already on ART and on TB treatment "&amp;$T$20&amp;" "&amp;$T$21&amp;" is more than Screening positive for TB Previously enrolled on ART"&amp;CHAR(10),""),IF(U279&gt;U268," *  Confirmed TB positive already on ART and on TB treatment "&amp;$T$20&amp;" "&amp;$U$21&amp;" is more than Screening positive for TB Previously enrolled on ART"&amp;CHAR(10),""),IF(V279&gt;V268," *  Confirmed TB positive already on ART and on TB treatment "&amp;$V$20&amp;" "&amp;$V$21&amp;" is more than Screening positive for TB Previously enrolled on ART"&amp;CHAR(10),""),IF(W279&gt;W268," *  Confirmed TB positive already on ART and on TB treatment "&amp;$V$20&amp;" "&amp;$W$21&amp;" is more than Screening positive for TB Previously enrolled on ART"&amp;CHAR(10),""),IF(X279&gt;X268," *  Confirmed TB positive already on ART and on TB treatment "&amp;$X$20&amp;" "&amp;$X$21&amp;" is more than Screening positive for TB Previously enrolled on ART"&amp;CHAR(10),""),IF(Y279&gt;Y268," *  Confirmed TB positive already on ART and on TB treatment "&amp;$X$20&amp;" "&amp;$Y$21&amp;" is more than Screening positive for TB Previously enrolled on ART"&amp;CHAR(10),""),IF(Z279&gt;Z268," *  Confirmed TB positive already on ART and on TB treatment "&amp;$Z$20&amp;" "&amp;$Z$21&amp;" is more than Screening positive for TB Previously enrolled on ART"&amp;CHAR(10),""),IF(AA279&gt;AA268," *  Confirmed TB positive already on ART and on TB treatment "&amp;$Z$20&amp;" "&amp;$AA$21&amp;" is more than Screening positive for TB Previously enrolled on ART"&amp;CHAR(10),""))</f>
        <v/>
      </c>
      <c r="AD268" s="608"/>
      <c r="AE268" s="83"/>
      <c r="AF268" s="611"/>
      <c r="AG268" s="480">
        <v>267</v>
      </c>
    </row>
    <row r="269" spans="1:33" ht="32.15" thickBot="1" x14ac:dyDescent="0.9">
      <c r="A269" s="680"/>
      <c r="B269" s="320" t="s">
        <v>856</v>
      </c>
      <c r="C269" s="147" t="s">
        <v>557</v>
      </c>
      <c r="D269" s="174">
        <f t="shared" ref="D269:AA269" si="109">D267+D268</f>
        <v>0</v>
      </c>
      <c r="E269" s="73">
        <f t="shared" si="109"/>
        <v>0</v>
      </c>
      <c r="F269" s="73">
        <f t="shared" si="109"/>
        <v>0</v>
      </c>
      <c r="G269" s="73">
        <f t="shared" si="109"/>
        <v>0</v>
      </c>
      <c r="H269" s="73">
        <f t="shared" si="109"/>
        <v>0</v>
      </c>
      <c r="I269" s="73">
        <f t="shared" si="109"/>
        <v>0</v>
      </c>
      <c r="J269" s="73">
        <f t="shared" si="109"/>
        <v>0</v>
      </c>
      <c r="K269" s="73">
        <f t="shared" si="109"/>
        <v>0</v>
      </c>
      <c r="L269" s="73">
        <f t="shared" si="109"/>
        <v>0</v>
      </c>
      <c r="M269" s="73">
        <f t="shared" si="109"/>
        <v>0</v>
      </c>
      <c r="N269" s="73">
        <f t="shared" si="109"/>
        <v>0</v>
      </c>
      <c r="O269" s="73">
        <f t="shared" si="109"/>
        <v>0</v>
      </c>
      <c r="P269" s="73">
        <f t="shared" si="109"/>
        <v>0</v>
      </c>
      <c r="Q269" s="73">
        <f t="shared" si="109"/>
        <v>0</v>
      </c>
      <c r="R269" s="73">
        <f t="shared" si="109"/>
        <v>0</v>
      </c>
      <c r="S269" s="73">
        <f t="shared" si="109"/>
        <v>0</v>
      </c>
      <c r="T269" s="73">
        <f t="shared" si="109"/>
        <v>0</v>
      </c>
      <c r="U269" s="73">
        <f t="shared" si="109"/>
        <v>0</v>
      </c>
      <c r="V269" s="73">
        <f t="shared" si="109"/>
        <v>0</v>
      </c>
      <c r="W269" s="73">
        <f t="shared" si="109"/>
        <v>0</v>
      </c>
      <c r="X269" s="73">
        <f t="shared" si="109"/>
        <v>0</v>
      </c>
      <c r="Y269" s="73">
        <f t="shared" si="109"/>
        <v>0</v>
      </c>
      <c r="Z269" s="73">
        <f t="shared" si="109"/>
        <v>0</v>
      </c>
      <c r="AA269" s="73">
        <f t="shared" si="109"/>
        <v>0</v>
      </c>
      <c r="AB269" s="40">
        <f t="shared" si="105"/>
        <v>0</v>
      </c>
      <c r="AC269" s="85"/>
      <c r="AD269" s="608"/>
      <c r="AE269" s="83"/>
      <c r="AF269" s="611"/>
      <c r="AG269" s="480">
        <v>268</v>
      </c>
    </row>
    <row r="270" spans="1:33" x14ac:dyDescent="0.85">
      <c r="A270" s="680"/>
      <c r="B270" s="322" t="s">
        <v>608</v>
      </c>
      <c r="C270" s="180" t="s">
        <v>560</v>
      </c>
      <c r="D270" s="150"/>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89">
        <f t="shared" si="105"/>
        <v>0</v>
      </c>
      <c r="AC270" s="85"/>
      <c r="AD270" s="608"/>
      <c r="AE270" s="83"/>
      <c r="AF270" s="611"/>
      <c r="AG270" s="480">
        <v>269</v>
      </c>
    </row>
    <row r="271" spans="1:33" x14ac:dyDescent="0.85">
      <c r="A271" s="680"/>
      <c r="B271" s="319" t="s">
        <v>609</v>
      </c>
      <c r="C271" s="146" t="s">
        <v>602</v>
      </c>
      <c r="D271" s="172"/>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37">
        <f t="shared" si="105"/>
        <v>0</v>
      </c>
      <c r="AC271" s="85"/>
      <c r="AD271" s="608"/>
      <c r="AE271" s="83"/>
      <c r="AF271" s="611"/>
      <c r="AG271" s="480">
        <v>270</v>
      </c>
    </row>
    <row r="272" spans="1:33" ht="32.15" thickBot="1" x14ac:dyDescent="0.9">
      <c r="A272" s="680"/>
      <c r="B272" s="320" t="s">
        <v>857</v>
      </c>
      <c r="C272" s="181" t="s">
        <v>304</v>
      </c>
      <c r="D272" s="177">
        <f>SUM(D271,D270,D269)</f>
        <v>0</v>
      </c>
      <c r="E272" s="75">
        <f t="shared" ref="E272:AA272" si="110">SUM(E271,E270,E269)</f>
        <v>0</v>
      </c>
      <c r="F272" s="75">
        <f t="shared" si="110"/>
        <v>0</v>
      </c>
      <c r="G272" s="75">
        <f t="shared" si="110"/>
        <v>0</v>
      </c>
      <c r="H272" s="75">
        <f t="shared" si="110"/>
        <v>0</v>
      </c>
      <c r="I272" s="75">
        <f t="shared" si="110"/>
        <v>0</v>
      </c>
      <c r="J272" s="75">
        <f t="shared" si="110"/>
        <v>0</v>
      </c>
      <c r="K272" s="75">
        <f t="shared" si="110"/>
        <v>0</v>
      </c>
      <c r="L272" s="75">
        <f t="shared" si="110"/>
        <v>0</v>
      </c>
      <c r="M272" s="75">
        <f t="shared" si="110"/>
        <v>0</v>
      </c>
      <c r="N272" s="75">
        <f t="shared" si="110"/>
        <v>0</v>
      </c>
      <c r="O272" s="75">
        <f t="shared" si="110"/>
        <v>0</v>
      </c>
      <c r="P272" s="75">
        <f t="shared" si="110"/>
        <v>0</v>
      </c>
      <c r="Q272" s="75">
        <f t="shared" si="110"/>
        <v>0</v>
      </c>
      <c r="R272" s="75">
        <f t="shared" si="110"/>
        <v>0</v>
      </c>
      <c r="S272" s="75">
        <f t="shared" si="110"/>
        <v>0</v>
      </c>
      <c r="T272" s="75">
        <f t="shared" si="110"/>
        <v>0</v>
      </c>
      <c r="U272" s="75">
        <f t="shared" si="110"/>
        <v>0</v>
      </c>
      <c r="V272" s="75">
        <f t="shared" si="110"/>
        <v>0</v>
      </c>
      <c r="W272" s="75">
        <f t="shared" si="110"/>
        <v>0</v>
      </c>
      <c r="X272" s="75">
        <f t="shared" si="110"/>
        <v>0</v>
      </c>
      <c r="Y272" s="75">
        <f t="shared" si="110"/>
        <v>0</v>
      </c>
      <c r="Z272" s="75">
        <f t="shared" si="110"/>
        <v>0</v>
      </c>
      <c r="AA272" s="75">
        <f t="shared" si="110"/>
        <v>0</v>
      </c>
      <c r="AB272" s="40">
        <f t="shared" si="105"/>
        <v>0</v>
      </c>
      <c r="AC272" s="85" t="str">
        <f>CONCATENATE(IF(D272&gt;D252," * Total Screened For TB  for Age "&amp;D20&amp;" "&amp;D21&amp;" is more than Current On ART "&amp;CHAR(10),""),IF(E272&gt;E252," * Total Screened For TB  for Age "&amp;D20&amp;" "&amp;E21&amp;" is more than Current On ART "&amp;CHAR(10),""),IF(F272&gt;F252," * Total Screened For TB  for Age "&amp;F20&amp;" "&amp;F21&amp;" is more than Current On ART "&amp;CHAR(10),""),IF(G272&gt;G252," * Total Screened For TB  for Age "&amp;F20&amp;" "&amp;G21&amp;" is more than Current On ART "&amp;CHAR(10),""),IF(H272&gt;H252," * Total Screened For TB  for Age "&amp;H20&amp;" "&amp;H21&amp;" is more than Current On ART "&amp;CHAR(10),""),IF(I272&gt;I252," * Total Screened For TB  for Age "&amp;H20&amp;" "&amp;I21&amp;" is more than Current On ART "&amp;CHAR(10),""),IF(J272&gt;J252," * Total Screened For TB  for Age "&amp;J20&amp;" "&amp;J21&amp;" is more than Current On ART "&amp;CHAR(10),""),IF(K272&gt;K252," * Total Screened For TB  for Age "&amp;J20&amp;" "&amp;K21&amp;" is more than Current On ART "&amp;CHAR(10),""),IF(L272&gt;L252," * Total Screened For TB  for Age "&amp;L20&amp;" "&amp;L21&amp;" is more than Current On ART "&amp;CHAR(10),""),IF(M272&gt;M252," * Total Screened For TB  for Age "&amp;L20&amp;" "&amp;M21&amp;" is more than Current On ART "&amp;CHAR(10),""),IF(N272&gt;N252," * Total Screened For TB  for Age "&amp;N20&amp;" "&amp;N21&amp;" is more than Current On ART "&amp;CHAR(10),""),IF(O272&gt;O252," * Total Screened For TB  for Age "&amp;N20&amp;" "&amp;O21&amp;" is more than Current On ART "&amp;CHAR(10),""),IF(P272&gt;P252," * Total Screened For TB  for Age "&amp;P20&amp;" "&amp;P21&amp;" is more than Current On ART "&amp;CHAR(10),""),IF(Q272&gt;Q252," * Total Screened For TB  for Age "&amp;P20&amp;" "&amp;Q21&amp;" is more than Current On ART "&amp;CHAR(10),""),IF(R272&gt;R252," * Total Screened For TB  for Age "&amp;R20&amp;" "&amp;R21&amp;" is more than Current On ART "&amp;CHAR(10),""),IF(S272&gt;S252," * Total Screened For TB  for Age "&amp;R20&amp;" "&amp;S21&amp;" is more than Current On ART "&amp;CHAR(10),""),IF(T272&gt;T252," * Total Screened For TB  for Age "&amp;T20&amp;" "&amp;T21&amp;" is more than Current On ART "&amp;CHAR(10),""),IF(U272&gt;U252," * Total Screened For TB  for Age "&amp;T20&amp;" "&amp;U21&amp;" is more than Current On ART "&amp;CHAR(10),""),IF(V272&gt;V252," * Total Screened For TB  for Age "&amp;V20&amp;" "&amp;V21&amp;" is more than Current On ART "&amp;CHAR(10),""),IF(W272&gt;W252," * Total Screened For TB  for Age "&amp;V20&amp;" "&amp;W21&amp;" is more than Current On ART "&amp;CHAR(10),""),IF(X272&gt;X252," * Total Screened For TB  for Age "&amp;X20&amp;" "&amp;X21&amp;" is more than Current On ART "&amp;CHAR(10),""),IF(Y272&gt;Y252," * Total Screened For TB  for Age "&amp;X20&amp;" "&amp;Y21&amp;" is more than Current On ART "&amp;CHAR(10),""),IF(Z272&gt;Z252," * Total Screened For TB  for Age "&amp;Z20&amp;" "&amp;Z21&amp;" is more than Current On ART "&amp;CHAR(10),""),IF(AA272&gt;AA252," * Total Screened For TB  for Age "&amp;Z20&amp;" "&amp;AA21&amp;" is more than Current On ART "&amp;CHAR(10),""))</f>
        <v/>
      </c>
      <c r="AD272" s="608"/>
      <c r="AE272" s="83" t="str">
        <f>CONCATENATE(IF(D272&lt;D252," * Screened for TB for Age "&amp;D20&amp;" "&amp;D21&amp;" is less than Current On ART"&amp;CHAR(10),""),IF(E272&lt;E252," * Screened for TB for Age "&amp;D20&amp;" "&amp;E21&amp;" is less than Current On ART"&amp;CHAR(10),""),IF(F272&lt;F252," * Screened for TB for Age "&amp;F20&amp;" "&amp;F21&amp;" is less than Current On ART"&amp;CHAR(10),""),IF(G272&lt;G252," * Screened for TB for Age "&amp;F20&amp;" "&amp;G21&amp;" is less than Current On ART"&amp;CHAR(10),""),IF(H272&lt;H252," * Screened for TB for Age "&amp;H20&amp;" "&amp;H21&amp;" is less than Current On ART"&amp;CHAR(10),""),IF(I272&lt;I252," * Screened for TB for Age "&amp;H20&amp;" "&amp;I21&amp;" is less than Current On ART"&amp;CHAR(10),""),IF(J272&lt;J252," * Screened for TB for Age "&amp;J20&amp;" "&amp;J21&amp;" is less than Current On ART"&amp;CHAR(10),""),IF(K272&lt;K252," * Screened for TB for Age "&amp;J20&amp;" "&amp;K21&amp;" is less than Current On ART"&amp;CHAR(10),""),IF(L272&lt;L252," * Screened for TB for Age "&amp;L20&amp;" "&amp;L21&amp;" is less than Current On ART"&amp;CHAR(10),""),IF(M272&lt;M252," * Screened for TB for Age "&amp;L20&amp;" "&amp;M21&amp;" is less than Current On ART"&amp;CHAR(10),""),IF(N272&lt;N252," * Screened for TB for Age "&amp;N20&amp;" "&amp;N21&amp;" is less than Current On ART"&amp;CHAR(10),""),IF(O272&lt;O252," * Screened for TB for Age "&amp;N20&amp;" "&amp;O21&amp;" is less than Current On ART"&amp;CHAR(10),""),IF(P272&lt;P252," * Screened for TB for Age "&amp;P20&amp;" "&amp;P21&amp;" is less than Current On ART"&amp;CHAR(10),""),IF(Q272&lt;Q252," * Screened for TB for Age "&amp;P20&amp;" "&amp;Q21&amp;" is less than Current On ART"&amp;CHAR(10),""),IF(R272&lt;R252," * Screened for TB for Age "&amp;R20&amp;" "&amp;R21&amp;" is less than Current On ART"&amp;CHAR(10),""),IF(S272&lt;S252," * Screened for TB for Age "&amp;R20&amp;" "&amp;S21&amp;" is less than Current On ART"&amp;CHAR(10),""),IF(T272&lt;T252," * Screened for TB for Age "&amp;T20&amp;" "&amp;T21&amp;" is less than Current On ART"&amp;CHAR(10),""),IF(U272&lt;U252," * Screened for TB for Age "&amp;T20&amp;" "&amp;U21&amp;" is less than Current On ART"&amp;CHAR(10),""),IF(V272&lt;V252," * Screened for TB for Age "&amp;V20&amp;" "&amp;V21&amp;" is less than Current On ART"&amp;CHAR(10),""),IF(W272&lt;W252," * Screened for TB for Age "&amp;V20&amp;" "&amp;W21&amp;" is less than Current On ART"&amp;CHAR(10),""),IF(X272&lt;X252," * Screened for TB for Age "&amp;X20&amp;" "&amp;X21&amp;" is less than Current On ART"&amp;CHAR(10),""),IF(Y272&lt;Y252," * Screened for TB for Age "&amp;X20&amp;" "&amp;Y21&amp;" is less than Current On ART"&amp;CHAR(10),""),IF(Z272&lt;Z252," * Screened for TB for Age "&amp;Z20&amp;" "&amp;Z21&amp;" is less than Current On ART"&amp;CHAR(10),""),IF(AA272&lt;AA252," * Screened for TB for Age "&amp;Z20&amp;" "&amp;AA21&amp;" is less than Current On ART"&amp;CHAR(10),""))</f>
        <v/>
      </c>
      <c r="AF272" s="611"/>
      <c r="AG272" s="480">
        <v>271</v>
      </c>
    </row>
    <row r="273" spans="1:34" ht="31.75" x14ac:dyDescent="0.85">
      <c r="A273" s="680"/>
      <c r="B273" s="321" t="s">
        <v>875</v>
      </c>
      <c r="C273" s="129" t="s">
        <v>603</v>
      </c>
      <c r="D273" s="171"/>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f t="shared" si="105"/>
        <v>0</v>
      </c>
      <c r="AC273" s="85"/>
      <c r="AD273" s="608"/>
      <c r="AE273" s="83"/>
      <c r="AF273" s="611"/>
      <c r="AG273" s="480">
        <v>272</v>
      </c>
    </row>
    <row r="274" spans="1:34" s="9" customFormat="1" ht="63.45" x14ac:dyDescent="0.85">
      <c r="A274" s="680"/>
      <c r="B274" s="319" t="s">
        <v>876</v>
      </c>
      <c r="C274" s="130" t="s">
        <v>604</v>
      </c>
      <c r="D274" s="172"/>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7">
        <f t="shared" si="105"/>
        <v>0</v>
      </c>
      <c r="AC274" s="85"/>
      <c r="AD274" s="608"/>
      <c r="AE274" s="84"/>
      <c r="AF274" s="611"/>
      <c r="AG274" s="480">
        <v>273</v>
      </c>
      <c r="AH274" s="336"/>
    </row>
    <row r="275" spans="1:34" ht="31.75" x14ac:dyDescent="0.85">
      <c r="A275" s="680"/>
      <c r="B275" s="319" t="s">
        <v>877</v>
      </c>
      <c r="C275" s="146" t="s">
        <v>605</v>
      </c>
      <c r="D275" s="172"/>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37">
        <f t="shared" si="105"/>
        <v>0</v>
      </c>
      <c r="AC275" s="85"/>
      <c r="AD275" s="608"/>
      <c r="AE275" s="83"/>
      <c r="AF275" s="611"/>
      <c r="AG275" s="480">
        <v>274</v>
      </c>
    </row>
    <row r="276" spans="1:34" ht="32.25" customHeight="1" thickBot="1" x14ac:dyDescent="0.9">
      <c r="A276" s="680"/>
      <c r="B276" s="320" t="s">
        <v>858</v>
      </c>
      <c r="C276" s="147" t="s">
        <v>613</v>
      </c>
      <c r="D276" s="251">
        <f t="shared" ref="D276:AA276" si="111">SUM(D273:D275)</f>
        <v>0</v>
      </c>
      <c r="E276" s="251">
        <f t="shared" si="111"/>
        <v>0</v>
      </c>
      <c r="F276" s="251">
        <f t="shared" si="111"/>
        <v>0</v>
      </c>
      <c r="G276" s="251">
        <f t="shared" si="111"/>
        <v>0</v>
      </c>
      <c r="H276" s="251">
        <f t="shared" si="111"/>
        <v>0</v>
      </c>
      <c r="I276" s="251">
        <f t="shared" si="111"/>
        <v>0</v>
      </c>
      <c r="J276" s="251">
        <f t="shared" si="111"/>
        <v>0</v>
      </c>
      <c r="K276" s="251">
        <f t="shared" si="111"/>
        <v>0</v>
      </c>
      <c r="L276" s="251">
        <f t="shared" si="111"/>
        <v>0</v>
      </c>
      <c r="M276" s="251">
        <f t="shared" si="111"/>
        <v>0</v>
      </c>
      <c r="N276" s="251">
        <f t="shared" si="111"/>
        <v>0</v>
      </c>
      <c r="O276" s="251">
        <f t="shared" si="111"/>
        <v>0</v>
      </c>
      <c r="P276" s="251">
        <f t="shared" si="111"/>
        <v>0</v>
      </c>
      <c r="Q276" s="251">
        <f t="shared" si="111"/>
        <v>0</v>
      </c>
      <c r="R276" s="251">
        <f t="shared" si="111"/>
        <v>0</v>
      </c>
      <c r="S276" s="251">
        <f t="shared" si="111"/>
        <v>0</v>
      </c>
      <c r="T276" s="251">
        <f t="shared" si="111"/>
        <v>0</v>
      </c>
      <c r="U276" s="251">
        <f t="shared" si="111"/>
        <v>0</v>
      </c>
      <c r="V276" s="251">
        <f t="shared" si="111"/>
        <v>0</v>
      </c>
      <c r="W276" s="251">
        <f t="shared" si="111"/>
        <v>0</v>
      </c>
      <c r="X276" s="251">
        <f t="shared" si="111"/>
        <v>0</v>
      </c>
      <c r="Y276" s="251">
        <f t="shared" si="111"/>
        <v>0</v>
      </c>
      <c r="Z276" s="251">
        <f t="shared" si="111"/>
        <v>0</v>
      </c>
      <c r="AA276" s="251">
        <f t="shared" si="111"/>
        <v>0</v>
      </c>
      <c r="AB276" s="40">
        <f t="shared" si="105"/>
        <v>0</v>
      </c>
      <c r="AC276" s="82" t="str">
        <f>CONCATENATE(IF(D277&gt;D276," *  Positive Result Returned For bacteriologic diagnosis "&amp;$D$20&amp;" "&amp;$D$21&amp;" is more than Total Patients whose specimens were sent"&amp;CHAR(10),""),IF(E277&gt;E276," *  Positive Result Returned For bacteriologic diagnosis "&amp;$D$20&amp;" "&amp;$E$21&amp;" is more than Total Patients whose specimens were sent"&amp;CHAR(10),""),IF(F277&gt;F276," *  Positive Result Returned For bacteriologic diagnosis "&amp;$F$20&amp;" "&amp;$F$21&amp;" is more than Total Patients whose specimens were sent"&amp;CHAR(10),""),IF(G277&gt;G276," *  Positive Result Returned For bacteriologic diagnosis "&amp;$F$20&amp;" "&amp;$G$21&amp;" is more than Total Patients whose specimens were sent"&amp;CHAR(10),""),IF(H277&gt;H276," *  Positive Result Returned For bacteriologic diagnosis "&amp;$H$20&amp;" "&amp;$H$21&amp;" is more than Total Patients whose specimens were sent"&amp;CHAR(10),""),IF(I277&gt;I276," *  Positive Result Returned For bacteriologic diagnosis "&amp;$H$20&amp;" "&amp;$I$21&amp;" is more than Total Patients whose specimens were sent"&amp;CHAR(10),""),IF(J277&gt;J276," *  Positive Result Returned For bacteriologic diagnosis "&amp;$J$20&amp;" "&amp;$J$21&amp;" is more than Total Patients whose specimens were sent"&amp;CHAR(10),""),IF(K277&gt;K276," *  Positive Result Returned For bacteriologic diagnosis "&amp;$J$20&amp;" "&amp;$K$21&amp;" is more than Total Patients whose specimens were sent"&amp;CHAR(10),""),IF(L277&gt;L276," *  Positive Result Returned For bacteriologic diagnosis "&amp;$L$20&amp;" "&amp;$L$21&amp;" is more than Total Patients whose specimens were sent"&amp;CHAR(10),""),IF(M277&gt;M276," *  Positive Result Returned For bacteriologic diagnosis "&amp;$L$20&amp;" "&amp;$M$21&amp;" is more than Total Patients whose specimens were sent"&amp;CHAR(10),""),IF(N277&gt;N276," *  Positive Result Returned For bacteriologic diagnosis "&amp;$N$20&amp;" "&amp;$N$21&amp;" is more than Total Patients whose specimens were sent"&amp;CHAR(10),""),IF(O277&gt;O276," *  Positive Result Returned For bacteriologic diagnosis "&amp;$N$20&amp;" "&amp;$O$21&amp;" is more than Total Patients whose specimens were sent"&amp;CHAR(10),""),IF(P277&gt;P276," *  Positive Result Returned For bacteriologic diagnosis "&amp;$P$20&amp;" "&amp;$P$21&amp;" is more than Total Patients whose specimens were sent"&amp;CHAR(10),""),IF(Q277&gt;Q276," *  Positive Result Returned For bacteriologic diagnosis "&amp;$P$20&amp;" "&amp;$Q$21&amp;" is more than Total Patients whose specimens were sent"&amp;CHAR(10),""),IF(R277&gt;R276," *  Positive Result Returned For bacteriologic diagnosis "&amp;$R$20&amp;" "&amp;$R$21&amp;" is more than Total Patients whose specimens were sent"&amp;CHAR(10),""),IF(S277&gt;S276," *  Positive Result Returned For bacteriologic diagnosis "&amp;$R$20&amp;" "&amp;$S$21&amp;" is more than Total Patients whose specimens were sent"&amp;CHAR(10),""),IF(T277&gt;T276," *  Positive Result Returned For bacteriologic diagnosis "&amp;$T$20&amp;" "&amp;$T$21&amp;" is more than Total Patients whose specimens were sent"&amp;CHAR(10),""),IF(U277&gt;U276," *  Positive Result Returned For bacteriologic diagnosis "&amp;$T$20&amp;" "&amp;$U$21&amp;" is more than Total Patients whose specimens were sent"&amp;CHAR(10),""),IF(V277&gt;V276," *  Positive Result Returned For bacteriologic diagnosis "&amp;$V$20&amp;" "&amp;$V$21&amp;" is more than Total Patients whose specimens were sent"&amp;CHAR(10),""),IF(W277&gt;W276," *  Positive Result Returned For bacteriologic diagnosis "&amp;$V$20&amp;" "&amp;$W$21&amp;" is more than Total Patients whose specimens were sent"&amp;CHAR(10),""),IF(X277&gt;X276," *  Positive Result Returned For bacteriologic diagnosis "&amp;$X$20&amp;" "&amp;$X$21&amp;" is more than Total Patients whose specimens were sent"&amp;CHAR(10),""),IF(Y277&gt;Y276," *  Positive Result Returned For bacteriologic diagnosis "&amp;$X$20&amp;" "&amp;$Y$21&amp;" is more than Total Patients whose specimens were sent"&amp;CHAR(10),""),IF(Z277&gt;Z276," *  Positive Result Returned For bacteriologic diagnosis "&amp;$Z$20&amp;" "&amp;$Z$21&amp;" is more than Total Patients whose specimens were sent"&amp;CHAR(10),""),IF(AA277&gt;AA276," *  Positive Result Returned For bacteriologic diagnosis "&amp;$Z$20&amp;" "&amp;$AA$21&amp;" is more than Total Patients whose specimens were sent"&amp;CHAR(10),""))</f>
        <v/>
      </c>
      <c r="AD276" s="608"/>
      <c r="AE276" s="83"/>
      <c r="AF276" s="611"/>
      <c r="AG276" s="480">
        <v>275</v>
      </c>
    </row>
    <row r="277" spans="1:34" ht="62.15" thickBot="1" x14ac:dyDescent="0.9">
      <c r="A277" s="681"/>
      <c r="B277" s="311" t="s">
        <v>610</v>
      </c>
      <c r="C277" s="182" t="s">
        <v>614</v>
      </c>
      <c r="D277" s="176"/>
      <c r="E277" s="324"/>
      <c r="F277" s="324"/>
      <c r="G277" s="324"/>
      <c r="H277" s="324"/>
      <c r="I277" s="324"/>
      <c r="J277" s="324"/>
      <c r="K277" s="324"/>
      <c r="L277" s="324"/>
      <c r="M277" s="324"/>
      <c r="N277" s="324"/>
      <c r="O277" s="324"/>
      <c r="P277" s="324"/>
      <c r="Q277" s="324"/>
      <c r="R277" s="324"/>
      <c r="S277" s="324"/>
      <c r="T277" s="324"/>
      <c r="U277" s="324"/>
      <c r="V277" s="324"/>
      <c r="W277" s="324"/>
      <c r="X277" s="324"/>
      <c r="Y277" s="324"/>
      <c r="Z277" s="324"/>
      <c r="AA277" s="324"/>
      <c r="AB277" s="66">
        <f t="shared" si="105"/>
        <v>0</v>
      </c>
      <c r="AC277" s="82" t="str">
        <f>CONCATENATE(IF(D272&lt;D276," *  Total Screened For TB "&amp;$D$20&amp;" "&amp;$D$21&amp;" is less than Total Patients whose specimens were sent"&amp;CHAR(10),""),IF(E272&lt;E276," *  Total Screened For TB "&amp;$D$20&amp;" "&amp;$E$21&amp;" is less than Total Patients whose specimens were sent"&amp;CHAR(10),""),IF(F272&lt;F276," *  Total Screened For TB "&amp;$F$20&amp;" "&amp;$F$21&amp;" is less than Total Patients whose specimens were sent"&amp;CHAR(10),""),IF(G272&lt;G276," *  Total Screened For TB "&amp;$F$20&amp;" "&amp;$G$21&amp;" is less than Total Patients whose specimens were sent"&amp;CHAR(10),""),IF(H272&lt;H276," *  Total Screened For TB "&amp;$H$20&amp;" "&amp;$H$21&amp;" is less than Total Patients whose specimens were sent"&amp;CHAR(10),""),IF(I272&lt;I276," *  Total Screened For TB "&amp;$H$20&amp;" "&amp;$I$21&amp;" is less than Total Patients whose specimens were sent"&amp;CHAR(10),""),IF(J272&lt;J276," *  Total Screened For TB "&amp;$J$20&amp;" "&amp;$J$21&amp;" is less than Total Patients whose specimens were sent"&amp;CHAR(10),""),IF(K272&lt;K276," *  Total Screened For TB "&amp;$J$20&amp;" "&amp;$K$21&amp;" is less than Total Patients whose specimens were sent"&amp;CHAR(10),""),IF(L272&lt;L276," *  Total Screened For TB "&amp;$L$20&amp;" "&amp;$L$21&amp;" is less than Total Patients whose specimens were sent"&amp;CHAR(10),""),IF(M272&lt;M276," *  Total Screened For TB "&amp;$L$20&amp;" "&amp;$M$21&amp;" is less than Total Patients whose specimens were sent"&amp;CHAR(10),""),IF(N272&lt;N276," *  Total Screened For TB "&amp;$N$20&amp;" "&amp;$N$21&amp;" is less than Total Patients whose specimens were sent"&amp;CHAR(10),""),IF(O272&lt;O276," *  Total Screened For TB "&amp;$N$20&amp;" "&amp;$O$21&amp;" is less than Total Patients whose specimens were sent"&amp;CHAR(10),""),IF(P272&lt;P276," *  Total Screened For TB "&amp;$P$20&amp;" "&amp;$P$21&amp;" is less than Total Patients whose specimens were sent"&amp;CHAR(10),""),IF(Q272&lt;Q276," *  Total Screened For TB "&amp;$P$20&amp;" "&amp;$Q$21&amp;" is less than Total Patients whose specimens were sent"&amp;CHAR(10),""),IF(R272&lt;R276," *  Total Screened For TB "&amp;$R$20&amp;" "&amp;$R$21&amp;" is less than Total Patients whose specimens were sent"&amp;CHAR(10),""),IF(S272&lt;S276," *  Total Screened For TB "&amp;$R$20&amp;" "&amp;$S$21&amp;" is less than Total Patients whose specimens were sent"&amp;CHAR(10),""),IF(T272&lt;T276," *  Total Screened For TB "&amp;$T$20&amp;" "&amp;$T$21&amp;" is less than Total Patients whose specimens were sent"&amp;CHAR(10),""),IF(U272&lt;U276," *  Total Screened For TB "&amp;$T$20&amp;" "&amp;$U$21&amp;" is less than Total Patients whose specimens were sent"&amp;CHAR(10),""),IF(V272&lt;V276," *  Total Screened For TB "&amp;$V$20&amp;" "&amp;$V$21&amp;" is less than Total Patients whose specimens were sent"&amp;CHAR(10),""),IF(W272&lt;W276," *  Total Screened For TB "&amp;$V$20&amp;" "&amp;$W$21&amp;" is less than Total Patients whose specimens were sent"&amp;CHAR(10),""),IF(X272&lt;X276," *  Total Screened For TB "&amp;$X$20&amp;" "&amp;$X$21&amp;" is less than Total Patients whose specimens were sent"&amp;CHAR(10),""),IF(Y272&lt;Y276," *  Total Screened For TB "&amp;$X$20&amp;" "&amp;$Y$21&amp;" is less than Total Patients whose specimens were sent"&amp;CHAR(10),""),IF(Z272&lt;Z276," *  Total Screened For TB "&amp;$Z$20&amp;" "&amp;$Z$21&amp;" is less than Total Patients whose specimens were sent"&amp;CHAR(10),""),IF(AA272&lt;AA276," *  Total Screened For TB "&amp;$Z$20&amp;" "&amp;$AA$21&amp;" is less than Total Patients whose specimens were sent"&amp;CHAR(10),""))</f>
        <v/>
      </c>
      <c r="AD277" s="608"/>
      <c r="AE277" s="83"/>
      <c r="AF277" s="611"/>
      <c r="AG277" s="480">
        <v>276</v>
      </c>
    </row>
    <row r="278" spans="1:34" x14ac:dyDescent="0.85">
      <c r="A278" s="594" t="s">
        <v>862</v>
      </c>
      <c r="B278" s="308" t="s">
        <v>612</v>
      </c>
      <c r="C278" s="129" t="s">
        <v>617</v>
      </c>
      <c r="D278" s="171"/>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f t="shared" ref="AB278" si="112">SUM(D278:AA278)</f>
        <v>0</v>
      </c>
      <c r="AC278" s="85"/>
      <c r="AD278" s="608"/>
      <c r="AE278" s="83"/>
      <c r="AF278" s="611"/>
      <c r="AG278" s="480">
        <v>277</v>
      </c>
    </row>
    <row r="279" spans="1:34" x14ac:dyDescent="0.85">
      <c r="A279" s="595"/>
      <c r="B279" s="305" t="s">
        <v>861</v>
      </c>
      <c r="C279" s="146" t="s">
        <v>618</v>
      </c>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37">
        <f t="shared" ref="AB279" si="113">SUM(D279:AA279)</f>
        <v>0</v>
      </c>
      <c r="AC279" s="255" t="str">
        <f>CONCATENATE(IF(D280&gt;D277," *  Confirmed ART Patients TB positive and started on TB treatment "&amp;$D$20&amp;" "&amp;$D$21&amp;" is less than  ART patients who had a positive result returned F07-50"&amp;CHAR(10),""),IF(E280&gt;E277," *  Confirmed ART Patients TB positive and started on TB treatment "&amp;$D$20&amp;" "&amp;$E$21&amp;" is less than  ART patients who had a positive result returned F07-50"&amp;CHAR(10),""),IF(F280&gt;F277," *  Confirmed ART Patients TB positive and started on TB treatment "&amp;$F$20&amp;" "&amp;$F$21&amp;" is less than  ART patients who had a positive result returned F07-50"&amp;CHAR(10),""),IF(G280&gt;G277," *  Confirmed ART Patients TB positive and started on TB treatment "&amp;$F$20&amp;" "&amp;$G$21&amp;" is less than  ART patients who had a positive result returned F07-50"&amp;CHAR(10),""),IF(H280&gt;H277," *  Confirmed ART Patients TB positive and started on TB treatment "&amp;$H$20&amp;" "&amp;$H$21&amp;" is less than  ART patients who had a positive result returned F07-50"&amp;CHAR(10),""),IF(I280&gt;I277," *  Confirmed ART Patients TB positive and started on TB treatment "&amp;$H$20&amp;" "&amp;$I$21&amp;" is less than  ART patients who had a positive result returned F07-50"&amp;CHAR(10),""),IF(J280&gt;J277," *  Confirmed ART Patients TB positive and started on TB treatment "&amp;$J$20&amp;" "&amp;$J$21&amp;" is less than  ART patients who had a positive result returned F07-50"&amp;CHAR(10),""),IF(K280&gt;K277," *  Confirmed ART Patients TB positive and started on TB treatment "&amp;$J$20&amp;" "&amp;$K$21&amp;" is less than  ART patients who had a positive result returned F07-50"&amp;CHAR(10),""),IF(L280&gt;L277," *  Confirmed ART Patients TB positive and started on TB treatment "&amp;$L$20&amp;" "&amp;$L$21&amp;" is less than  ART patients who had a positive result returned F07-50"&amp;CHAR(10),""),IF(M280&gt;M277," *  Confirmed ART Patients TB positive and started on TB treatment "&amp;$L$20&amp;" "&amp;$M$21&amp;" is less than  ART patients who had a positive result returned F07-50"&amp;CHAR(10),""),IF(N280&gt;N277," *  Confirmed ART Patients TB positive and started on TB treatment "&amp;$N$20&amp;" "&amp;$N$21&amp;" is less than  ART patients who had a positive result returned F07-50"&amp;CHAR(10),""),IF(O280&gt;O277," *  Confirmed ART Patients TB positive and started on TB treatment "&amp;$N$20&amp;" "&amp;$O$21&amp;" is less than  ART patients who had a positive result returned F07-50"&amp;CHAR(10),""),IF(P280&gt;P277," *  Confirmed ART Patients TB positive and started on TB treatment "&amp;$P$20&amp;" "&amp;$P$21&amp;" is less than  ART patients who had a positive result returned F07-50"&amp;CHAR(10),""),IF(Q280&gt;Q277," *  Confirmed ART Patients TB positive and started on TB treatment "&amp;$P$20&amp;" "&amp;$Q$21&amp;" is less than  ART patients who had a positive result returned F07-50"&amp;CHAR(10),""),IF(R280&gt;R277," *  Confirmed ART Patients TB positive and started on TB treatment "&amp;$R$20&amp;" "&amp;$R$21&amp;" is less than  ART patients who had a positive result returned F07-50"&amp;CHAR(10),""),IF(S280&gt;S277," *  Confirmed ART Patients TB positive and started on TB treatment "&amp;$R$20&amp;" "&amp;$S$21&amp;" is less than  ART patients who had a positive result returned F07-50"&amp;CHAR(10),""),IF(T280&gt;T277," *  Confirmed ART Patients TB positive and started on TB treatment "&amp;$T$20&amp;" "&amp;$T$21&amp;" is less than  ART patients who had a positive result returned F07-50"&amp;CHAR(10),""),IF(U280&gt;U277," *  Confirmed ART Patients TB positive and started on TB treatment "&amp;$T$20&amp;" "&amp;$U$21&amp;" is less than  ART patients who had a positive result returned F07-50"&amp;CHAR(10),""),IF(V280&gt;V277," *  Confirmed ART Patients TB positive and started on TB treatment "&amp;$V$20&amp;" "&amp;$V$21&amp;" is less than  ART patients who had a positive result returned F07-50"&amp;CHAR(10),""),IF(W280&gt;W277," *  Confirmed ART Patients TB positive and started on TB treatment "&amp;$V$20&amp;" "&amp;$W$21&amp;" is less than  ART patients who had a positive result returned F07-50"&amp;CHAR(10),""),IF(X280&gt;X277," *  Confirmed ART Patients TB positive and started on TB treatment "&amp;$X$20&amp;" "&amp;$X$21&amp;" is less than  ART patients who had a positive result returned F07-50"&amp;CHAR(10),""),IF(Y280&gt;Y277," *  Confirmed ART Patients TB positive and started on TB treatment "&amp;$X$20&amp;" "&amp;$Y$21&amp;" is less than  ART patients who had a positive result returned F07-50"&amp;CHAR(10),""),IF(Z280&gt;Z277," *  Confirmed ART Patients TB positive and started on TB treatment "&amp;$Z$20&amp;" "&amp;$Z$21&amp;" is less than  ART patients who had a positive result returned F07-50"&amp;CHAR(10),""),IF(AA280&gt;AA277," *  Confirmed ART Patients TB positive and started on TB treatment "&amp;$Z$20&amp;" "&amp;$AA$21&amp;" is less than  ART patients who had a positive result returned F07-50"&amp;CHAR(10),""))</f>
        <v/>
      </c>
      <c r="AD279" s="608"/>
      <c r="AE279" s="83"/>
      <c r="AF279" s="611"/>
      <c r="AG279" s="480">
        <v>278</v>
      </c>
    </row>
    <row r="280" spans="1:34" ht="63.9" thickBot="1" x14ac:dyDescent="0.9">
      <c r="A280" s="678"/>
      <c r="B280" s="317" t="s">
        <v>860</v>
      </c>
      <c r="C280" s="147" t="s">
        <v>619</v>
      </c>
      <c r="D280" s="174">
        <f>D278+D279</f>
        <v>0</v>
      </c>
      <c r="E280" s="318">
        <f t="shared" ref="E280:AA280" si="114">E278+E279</f>
        <v>0</v>
      </c>
      <c r="F280" s="318">
        <f t="shared" si="114"/>
        <v>0</v>
      </c>
      <c r="G280" s="318">
        <f t="shared" si="114"/>
        <v>0</v>
      </c>
      <c r="H280" s="318">
        <f t="shared" si="114"/>
        <v>0</v>
      </c>
      <c r="I280" s="318">
        <f t="shared" si="114"/>
        <v>0</v>
      </c>
      <c r="J280" s="318">
        <f t="shared" si="114"/>
        <v>0</v>
      </c>
      <c r="K280" s="318">
        <f t="shared" si="114"/>
        <v>0</v>
      </c>
      <c r="L280" s="318">
        <f t="shared" si="114"/>
        <v>0</v>
      </c>
      <c r="M280" s="318">
        <f t="shared" si="114"/>
        <v>0</v>
      </c>
      <c r="N280" s="318">
        <f t="shared" si="114"/>
        <v>0</v>
      </c>
      <c r="O280" s="318">
        <f t="shared" si="114"/>
        <v>0</v>
      </c>
      <c r="P280" s="318">
        <f t="shared" si="114"/>
        <v>0</v>
      </c>
      <c r="Q280" s="318">
        <f t="shared" si="114"/>
        <v>0</v>
      </c>
      <c r="R280" s="318">
        <f t="shared" si="114"/>
        <v>0</v>
      </c>
      <c r="S280" s="318">
        <f t="shared" si="114"/>
        <v>0</v>
      </c>
      <c r="T280" s="318">
        <f t="shared" si="114"/>
        <v>0</v>
      </c>
      <c r="U280" s="318">
        <f t="shared" si="114"/>
        <v>0</v>
      </c>
      <c r="V280" s="318">
        <f t="shared" si="114"/>
        <v>0</v>
      </c>
      <c r="W280" s="318">
        <f t="shared" si="114"/>
        <v>0</v>
      </c>
      <c r="X280" s="318">
        <f t="shared" si="114"/>
        <v>0</v>
      </c>
      <c r="Y280" s="318">
        <f t="shared" si="114"/>
        <v>0</v>
      </c>
      <c r="Z280" s="318">
        <f t="shared" si="114"/>
        <v>0</v>
      </c>
      <c r="AA280" s="318">
        <f t="shared" si="114"/>
        <v>0</v>
      </c>
      <c r="AB280" s="40">
        <f t="shared" ref="AB280" si="115">SUM(D280:AA280)</f>
        <v>0</v>
      </c>
      <c r="AC280" s="85" t="str">
        <f>CONCATENATE(IF(D280&gt;D272," * ART Patients TB positive and started on TB Treatment  for Age "&amp;D20&amp;" "&amp;D21&amp;" is more than Total Screened for TB"&amp;CHAR(10),""),IF(E280&gt;E272," * ART Patients TB positive and started on TB Treatment  for Age "&amp;D20&amp;" "&amp;E21&amp;" is more than Total Screened for TB"&amp;CHAR(10),""),IF(F280&gt;F272," * ART Patients TB positive and started on TB Treatment  for Age "&amp;F20&amp;" "&amp;F21&amp;" is more than Total Screened for TB"&amp;CHAR(10),""),IF(G280&gt;G272," * ART Patients TB positive and started on TB Treatment  for Age "&amp;F20&amp;" "&amp;G21&amp;" is more than Total Screened for TB"&amp;CHAR(10),""),IF(H280&gt;H272," * ART Patients TB positive and started on TB Treatment  for Age "&amp;H20&amp;" "&amp;H21&amp;" is more than Total Screened for TB"&amp;CHAR(10),""),IF(I280&gt;I272," * ART Patients TB positive and started on TB Treatment  for Age "&amp;H20&amp;" "&amp;I21&amp;" is more than Total Screened for TB"&amp;CHAR(10),""),IF(J280&gt;J272," * ART Patients TB positive and started on TB Treatment  for Age "&amp;J20&amp;" "&amp;J21&amp;" is more than Total Screened for TB"&amp;CHAR(10),""),IF(K280&gt;K272," * ART Patients TB positive and started on TB Treatment  for Age "&amp;J20&amp;" "&amp;K21&amp;" is more than Total Screened for TB"&amp;CHAR(10),""),IF(L280&gt;L272," * ART Patients TB positive and started on TB Treatment  for Age "&amp;L20&amp;" "&amp;L21&amp;" is more than Total Screened for TB"&amp;CHAR(10),""),IF(M280&gt;M272," * ART Patients TB positive and started on TB Treatment  for Age "&amp;L20&amp;" "&amp;M21&amp;" is more than Total Screened for TB"&amp;CHAR(10),""),IF(N280&gt;N272," * ART Patients TB positive and started on TB Treatment  for Age "&amp;N20&amp;" "&amp;N21&amp;" is more than Total Screened for TB"&amp;CHAR(10),""),IF(O280&gt;O272," * ART Patients TB positive and started on TB Treatment  for Age "&amp;N20&amp;" "&amp;O21&amp;" is more than Total Screened for TB"&amp;CHAR(10),""),IF(P280&gt;P272," * ART Patients TB positive and started on TB Treatment  for Age "&amp;P20&amp;" "&amp;P21&amp;" is more than Total Screened for TB"&amp;CHAR(10),""),IF(Q280&gt;Q272," * ART Patients TB positive and started on TB Treatment  for Age "&amp;P20&amp;" "&amp;Q21&amp;" is more than Total Screened for TB"&amp;CHAR(10),""),IF(R280&gt;R272," * ART Patients TB positive and started on TB Treatment  for Age "&amp;R20&amp;" "&amp;R21&amp;" is more than Total Screened for TB"&amp;CHAR(10),""),IF(S280&gt;S272," * ART Patients TB positive and started on TB Treatment  for Age "&amp;R20&amp;" "&amp;S21&amp;" is more than Total Screened for TB"&amp;CHAR(10),""),IF(T280&gt;T272," * ART Patients TB positive and started on TB Treatment  for Age "&amp;T20&amp;" "&amp;T21&amp;" is more than Total Screened for TB"&amp;CHAR(10),""),IF(U280&gt;U272," * ART Patients TB positive and started on TB Treatment  for Age "&amp;T20&amp;" "&amp;U21&amp;" is more than Total Screened for TB"&amp;CHAR(10),""),IF(V280&gt;V272," * ART Patients TB positive and started on TB Treatment  for Age "&amp;V20&amp;" "&amp;V21&amp;" is more than Total Screened for TB"&amp;CHAR(10),""),IF(W280&gt;W272," * ART Patients TB positive and started on TB Treatment  for Age "&amp;V20&amp;" "&amp;W21&amp;" is more than Total Screened for TB"&amp;CHAR(10),""),IF(X280&gt;X272," * ART Patients TB positive and started on TB Treatment  for Age "&amp;X20&amp;" "&amp;X21&amp;" is more than Total Screened for TB"&amp;CHAR(10),""),IF(Y280&gt;Y272," * ART Patients TB positive and started on TB Treatment  for Age "&amp;X20&amp;" "&amp;Y21&amp;" is more than Total Screened for TB"&amp;CHAR(10),""),IF(Z280&gt;Z272," * ART Patients TB positive and started on TB Treatment  for Age "&amp;Z20&amp;" "&amp;Z21&amp;" is more than Total Screened for TB"&amp;CHAR(10),""),IF(AA280&gt;AA272," * ART Patients TB positive and started on TB Treatment  for Age "&amp;Z20&amp;" "&amp;AA21&amp;" is more than Total Screened for TB"&amp;CHAR(10),""))</f>
        <v/>
      </c>
      <c r="AD280" s="757"/>
      <c r="AE280" s="83"/>
      <c r="AF280" s="759"/>
      <c r="AG280" s="480">
        <v>279</v>
      </c>
    </row>
    <row r="281" spans="1:34" ht="31.75" x14ac:dyDescent="0.85">
      <c r="A281" s="594" t="s">
        <v>616</v>
      </c>
      <c r="B281" s="323" t="s">
        <v>1033</v>
      </c>
      <c r="C281" s="129" t="s">
        <v>620</v>
      </c>
      <c r="D281" s="178">
        <f>D8+D11+D15</f>
        <v>0</v>
      </c>
      <c r="E281" s="325">
        <f t="shared" ref="E281:AB281" si="116">E8+E11+E15</f>
        <v>0</v>
      </c>
      <c r="F281" s="325">
        <f t="shared" si="116"/>
        <v>0</v>
      </c>
      <c r="G281" s="325">
        <f t="shared" si="116"/>
        <v>0</v>
      </c>
      <c r="H281" s="325">
        <f t="shared" si="116"/>
        <v>0</v>
      </c>
      <c r="I281" s="325">
        <f t="shared" si="116"/>
        <v>0</v>
      </c>
      <c r="J281" s="325">
        <f t="shared" si="116"/>
        <v>0</v>
      </c>
      <c r="K281" s="325">
        <f t="shared" si="116"/>
        <v>0</v>
      </c>
      <c r="L281" s="325">
        <f t="shared" si="116"/>
        <v>0</v>
      </c>
      <c r="M281" s="325">
        <f t="shared" si="116"/>
        <v>0</v>
      </c>
      <c r="N281" s="325">
        <f t="shared" si="116"/>
        <v>0</v>
      </c>
      <c r="O281" s="325">
        <f t="shared" si="116"/>
        <v>0</v>
      </c>
      <c r="P281" s="325">
        <f t="shared" si="116"/>
        <v>0</v>
      </c>
      <c r="Q281" s="325">
        <f t="shared" si="116"/>
        <v>0</v>
      </c>
      <c r="R281" s="325">
        <f t="shared" si="116"/>
        <v>0</v>
      </c>
      <c r="S281" s="325">
        <f t="shared" si="116"/>
        <v>0</v>
      </c>
      <c r="T281" s="325">
        <f t="shared" si="116"/>
        <v>0</v>
      </c>
      <c r="U281" s="325">
        <f t="shared" si="116"/>
        <v>0</v>
      </c>
      <c r="V281" s="325">
        <f t="shared" si="116"/>
        <v>0</v>
      </c>
      <c r="W281" s="325">
        <f t="shared" si="116"/>
        <v>0</v>
      </c>
      <c r="X281" s="325">
        <f t="shared" si="116"/>
        <v>0</v>
      </c>
      <c r="Y281" s="325">
        <f t="shared" si="116"/>
        <v>0</v>
      </c>
      <c r="Z281" s="325">
        <f t="shared" si="116"/>
        <v>0</v>
      </c>
      <c r="AA281" s="325">
        <f t="shared" si="116"/>
        <v>0</v>
      </c>
      <c r="AB281" s="325">
        <f t="shared" si="116"/>
        <v>0</v>
      </c>
      <c r="AC281" s="85"/>
      <c r="AD281" s="607" t="str">
        <f>CONCATENATE(AC281,AC282,AC283,AC284,AC285,AC286,AC287,AC288)</f>
        <v/>
      </c>
      <c r="AE281" s="83"/>
      <c r="AF281" s="610" t="str">
        <f>CONCATENATE(AE281,AE282,AE283,AE284,AE285,AE286,AE287,AE288)</f>
        <v/>
      </c>
      <c r="AG281" s="480">
        <v>280</v>
      </c>
    </row>
    <row r="282" spans="1:34" ht="30.75" customHeight="1" x14ac:dyDescent="0.85">
      <c r="A282" s="595"/>
      <c r="B282" s="305" t="s">
        <v>1052</v>
      </c>
      <c r="C282" s="146" t="s">
        <v>621</v>
      </c>
      <c r="D282" s="172"/>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37">
        <f>SUM(D282:AA282)</f>
        <v>0</v>
      </c>
      <c r="AC282" s="85"/>
      <c r="AD282" s="608"/>
      <c r="AE282" s="83"/>
      <c r="AF282" s="611"/>
      <c r="AG282" s="480">
        <v>281</v>
      </c>
    </row>
    <row r="283" spans="1:34" x14ac:dyDescent="0.85">
      <c r="A283" s="595"/>
      <c r="B283" s="305" t="s">
        <v>601</v>
      </c>
      <c r="C283" s="146" t="s">
        <v>622</v>
      </c>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37">
        <f t="shared" ref="AB283:AB288" si="117">SUM(D283:AA283)</f>
        <v>0</v>
      </c>
      <c r="AC283" s="85"/>
      <c r="AD283" s="608"/>
      <c r="AE283" s="83"/>
      <c r="AF283" s="611"/>
      <c r="AG283" s="480">
        <v>282</v>
      </c>
    </row>
    <row r="284" spans="1:34" ht="31.75" x14ac:dyDescent="0.85">
      <c r="A284" s="595"/>
      <c r="B284" s="305" t="s">
        <v>875</v>
      </c>
      <c r="C284" s="146" t="s">
        <v>623</v>
      </c>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c r="AA284" s="172"/>
      <c r="AB284" s="243">
        <f t="shared" si="117"/>
        <v>0</v>
      </c>
      <c r="AC284" s="85"/>
      <c r="AD284" s="608"/>
      <c r="AE284" s="83"/>
      <c r="AF284" s="611"/>
      <c r="AG284" s="480">
        <v>283</v>
      </c>
    </row>
    <row r="285" spans="1:34" ht="63.45" x14ac:dyDescent="0.85">
      <c r="A285" s="595"/>
      <c r="B285" s="305" t="s">
        <v>876</v>
      </c>
      <c r="C285" s="146" t="s">
        <v>624</v>
      </c>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243">
        <f t="shared" si="117"/>
        <v>0</v>
      </c>
      <c r="AC285" s="85"/>
      <c r="AD285" s="608"/>
      <c r="AE285" s="83"/>
      <c r="AF285" s="611"/>
      <c r="AG285" s="480">
        <v>284</v>
      </c>
    </row>
    <row r="286" spans="1:34" ht="31.75" x14ac:dyDescent="0.85">
      <c r="A286" s="595"/>
      <c r="B286" s="305" t="s">
        <v>877</v>
      </c>
      <c r="C286" s="146" t="s">
        <v>625</v>
      </c>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c r="AA286" s="172"/>
      <c r="AB286" s="243">
        <f t="shared" si="117"/>
        <v>0</v>
      </c>
      <c r="AC286" s="85"/>
      <c r="AD286" s="608"/>
      <c r="AE286" s="83"/>
      <c r="AF286" s="611"/>
      <c r="AG286" s="480">
        <v>285</v>
      </c>
    </row>
    <row r="287" spans="1:34" ht="61.75" x14ac:dyDescent="0.85">
      <c r="A287" s="595"/>
      <c r="B287" s="305" t="s">
        <v>610</v>
      </c>
      <c r="C287" s="146" t="s">
        <v>626</v>
      </c>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243">
        <f t="shared" si="117"/>
        <v>0</v>
      </c>
      <c r="AC287" s="85"/>
      <c r="AD287" s="608"/>
      <c r="AE287" s="83"/>
      <c r="AF287" s="611"/>
      <c r="AG287" s="480">
        <v>286</v>
      </c>
    </row>
    <row r="288" spans="1:34" ht="31.3" thickBot="1" x14ac:dyDescent="0.9">
      <c r="A288" s="596"/>
      <c r="B288" s="312" t="s">
        <v>611</v>
      </c>
      <c r="C288" s="147" t="s">
        <v>863</v>
      </c>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243">
        <f t="shared" si="117"/>
        <v>0</v>
      </c>
      <c r="AC288" s="194"/>
      <c r="AD288" s="609"/>
      <c r="AE288" s="97"/>
      <c r="AF288" s="612"/>
      <c r="AG288" s="480">
        <v>287</v>
      </c>
    </row>
    <row r="289" spans="1:34" ht="35.15" thickBot="1" x14ac:dyDescent="0.9">
      <c r="A289" s="568" t="s">
        <v>133</v>
      </c>
      <c r="B289" s="569"/>
      <c r="C289" s="569"/>
      <c r="D289" s="569"/>
      <c r="E289" s="569"/>
      <c r="F289" s="569"/>
      <c r="G289" s="569"/>
      <c r="H289" s="569"/>
      <c r="I289" s="569"/>
      <c r="J289" s="569"/>
      <c r="K289" s="569"/>
      <c r="L289" s="569"/>
      <c r="M289" s="569"/>
      <c r="N289" s="569"/>
      <c r="O289" s="569"/>
      <c r="P289" s="569"/>
      <c r="Q289" s="569"/>
      <c r="R289" s="569"/>
      <c r="S289" s="569"/>
      <c r="T289" s="569"/>
      <c r="U289" s="569"/>
      <c r="V289" s="569"/>
      <c r="W289" s="569"/>
      <c r="X289" s="569"/>
      <c r="Y289" s="569"/>
      <c r="Z289" s="569"/>
      <c r="AA289" s="569"/>
      <c r="AB289" s="569"/>
      <c r="AC289" s="569"/>
      <c r="AD289" s="569"/>
      <c r="AE289" s="569"/>
      <c r="AF289" s="570"/>
      <c r="AG289" s="480">
        <v>288</v>
      </c>
    </row>
    <row r="290" spans="1:34" ht="26.25" customHeight="1" x14ac:dyDescent="0.85">
      <c r="A290" s="578" t="s">
        <v>37</v>
      </c>
      <c r="B290" s="601" t="s">
        <v>347</v>
      </c>
      <c r="C290" s="655" t="s">
        <v>328</v>
      </c>
      <c r="D290" s="635" t="s">
        <v>0</v>
      </c>
      <c r="E290" s="635"/>
      <c r="F290" s="635" t="s">
        <v>1</v>
      </c>
      <c r="G290" s="635"/>
      <c r="H290" s="635" t="s">
        <v>2</v>
      </c>
      <c r="I290" s="635"/>
      <c r="J290" s="635" t="s">
        <v>3</v>
      </c>
      <c r="K290" s="635"/>
      <c r="L290" s="635" t="s">
        <v>4</v>
      </c>
      <c r="M290" s="635"/>
      <c r="N290" s="635" t="s">
        <v>5</v>
      </c>
      <c r="O290" s="635"/>
      <c r="P290" s="635" t="s">
        <v>6</v>
      </c>
      <c r="Q290" s="635"/>
      <c r="R290" s="635" t="s">
        <v>7</v>
      </c>
      <c r="S290" s="635"/>
      <c r="T290" s="635" t="s">
        <v>8</v>
      </c>
      <c r="U290" s="635"/>
      <c r="V290" s="635" t="s">
        <v>23</v>
      </c>
      <c r="W290" s="635"/>
      <c r="X290" s="635" t="s">
        <v>24</v>
      </c>
      <c r="Y290" s="635"/>
      <c r="Z290" s="635" t="s">
        <v>9</v>
      </c>
      <c r="AA290" s="635"/>
      <c r="AB290" s="584" t="s">
        <v>19</v>
      </c>
      <c r="AC290" s="663" t="s">
        <v>381</v>
      </c>
      <c r="AD290" s="575" t="s">
        <v>387</v>
      </c>
      <c r="AE290" s="571" t="s">
        <v>388</v>
      </c>
      <c r="AF290" s="566" t="s">
        <v>388</v>
      </c>
      <c r="AG290" s="480">
        <v>289</v>
      </c>
    </row>
    <row r="291" spans="1:34" ht="27" customHeight="1" thickBot="1" x14ac:dyDescent="0.9">
      <c r="A291" s="579"/>
      <c r="B291" s="602"/>
      <c r="C291" s="656"/>
      <c r="D291" s="30" t="s">
        <v>10</v>
      </c>
      <c r="E291" s="30" t="s">
        <v>11</v>
      </c>
      <c r="F291" s="30" t="s">
        <v>10</v>
      </c>
      <c r="G291" s="30" t="s">
        <v>11</v>
      </c>
      <c r="H291" s="30" t="s">
        <v>10</v>
      </c>
      <c r="I291" s="30" t="s">
        <v>11</v>
      </c>
      <c r="J291" s="30" t="s">
        <v>10</v>
      </c>
      <c r="K291" s="30" t="s">
        <v>11</v>
      </c>
      <c r="L291" s="30" t="s">
        <v>10</v>
      </c>
      <c r="M291" s="30" t="s">
        <v>11</v>
      </c>
      <c r="N291" s="30" t="s">
        <v>10</v>
      </c>
      <c r="O291" s="30" t="s">
        <v>11</v>
      </c>
      <c r="P291" s="30" t="s">
        <v>10</v>
      </c>
      <c r="Q291" s="30" t="s">
        <v>11</v>
      </c>
      <c r="R291" s="30" t="s">
        <v>10</v>
      </c>
      <c r="S291" s="30" t="s">
        <v>11</v>
      </c>
      <c r="T291" s="30" t="s">
        <v>10</v>
      </c>
      <c r="U291" s="30" t="s">
        <v>11</v>
      </c>
      <c r="V291" s="30" t="s">
        <v>10</v>
      </c>
      <c r="W291" s="30" t="s">
        <v>11</v>
      </c>
      <c r="X291" s="30" t="s">
        <v>10</v>
      </c>
      <c r="Y291" s="30" t="s">
        <v>11</v>
      </c>
      <c r="Z291" s="30" t="s">
        <v>10</v>
      </c>
      <c r="AA291" s="30" t="s">
        <v>11</v>
      </c>
      <c r="AB291" s="585"/>
      <c r="AC291" s="664"/>
      <c r="AD291" s="574"/>
      <c r="AE291" s="572"/>
      <c r="AF291" s="567"/>
      <c r="AG291" s="480">
        <v>290</v>
      </c>
    </row>
    <row r="292" spans="1:34" x14ac:dyDescent="0.85">
      <c r="A292" s="563" t="s">
        <v>390</v>
      </c>
      <c r="B292" s="284" t="s">
        <v>396</v>
      </c>
      <c r="C292" s="187" t="s">
        <v>397</v>
      </c>
      <c r="D292" s="183"/>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36">
        <f t="shared" ref="AB292:AB302" si="118">SUM(D292:AA292)</f>
        <v>0</v>
      </c>
      <c r="AC292" s="196"/>
      <c r="AD292" s="682" t="str">
        <f>CONCATENATE(AC298,AC301,AC303,AC304,AC305,AC306,AC307,AC308,AC309,AC310)</f>
        <v/>
      </c>
      <c r="AE292" s="86"/>
      <c r="AF292" s="688" t="str">
        <f>CONCATENATE(AE298,AE301,AE303,AE304,AE305,AE306,AE307,AE308,AE309,AE310)</f>
        <v/>
      </c>
      <c r="AG292" s="480">
        <v>291</v>
      </c>
    </row>
    <row r="293" spans="1:34" x14ac:dyDescent="0.85">
      <c r="A293" s="564"/>
      <c r="B293" s="276" t="s">
        <v>391</v>
      </c>
      <c r="C293" s="137" t="s">
        <v>398</v>
      </c>
      <c r="D293" s="184"/>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37">
        <f t="shared" si="118"/>
        <v>0</v>
      </c>
      <c r="AC293" s="196"/>
      <c r="AD293" s="683"/>
      <c r="AE293" s="86"/>
      <c r="AF293" s="689"/>
      <c r="AG293" s="480">
        <v>292</v>
      </c>
    </row>
    <row r="294" spans="1:34" x14ac:dyDescent="0.85">
      <c r="A294" s="564"/>
      <c r="B294" s="276" t="s">
        <v>392</v>
      </c>
      <c r="C294" s="137" t="s">
        <v>399</v>
      </c>
      <c r="D294" s="184"/>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37">
        <f t="shared" si="118"/>
        <v>0</v>
      </c>
      <c r="AC294" s="196"/>
      <c r="AD294" s="683"/>
      <c r="AE294" s="86"/>
      <c r="AF294" s="689"/>
      <c r="AG294" s="480">
        <v>293</v>
      </c>
    </row>
    <row r="295" spans="1:34" x14ac:dyDescent="0.85">
      <c r="A295" s="564"/>
      <c r="B295" s="276" t="s">
        <v>393</v>
      </c>
      <c r="C295" s="137" t="s">
        <v>400</v>
      </c>
      <c r="D295" s="184"/>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37">
        <f t="shared" si="118"/>
        <v>0</v>
      </c>
      <c r="AC295" s="196"/>
      <c r="AD295" s="683"/>
      <c r="AE295" s="86"/>
      <c r="AF295" s="689"/>
      <c r="AG295" s="480">
        <v>294</v>
      </c>
    </row>
    <row r="296" spans="1:34" x14ac:dyDescent="0.85">
      <c r="A296" s="564"/>
      <c r="B296" s="276" t="s">
        <v>394</v>
      </c>
      <c r="C296" s="137" t="s">
        <v>401</v>
      </c>
      <c r="D296" s="184"/>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37">
        <f t="shared" si="118"/>
        <v>0</v>
      </c>
      <c r="AC296" s="196"/>
      <c r="AD296" s="683"/>
      <c r="AE296" s="86"/>
      <c r="AF296" s="689"/>
      <c r="AG296" s="480">
        <v>295</v>
      </c>
    </row>
    <row r="297" spans="1:34" ht="31.3" thickBot="1" x14ac:dyDescent="0.9">
      <c r="A297" s="565"/>
      <c r="B297" s="282" t="s">
        <v>395</v>
      </c>
      <c r="C297" s="188" t="s">
        <v>402</v>
      </c>
      <c r="D297" s="185"/>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40">
        <f t="shared" si="118"/>
        <v>0</v>
      </c>
      <c r="AC297" s="196"/>
      <c r="AD297" s="683"/>
      <c r="AE297" s="86"/>
      <c r="AF297" s="689"/>
      <c r="AG297" s="480">
        <v>296</v>
      </c>
    </row>
    <row r="298" spans="1:34" x14ac:dyDescent="0.85">
      <c r="A298" s="555" t="s">
        <v>27</v>
      </c>
      <c r="B298" s="284" t="s">
        <v>723</v>
      </c>
      <c r="C298" s="134" t="s">
        <v>305</v>
      </c>
      <c r="D298" s="171"/>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f t="shared" si="118"/>
        <v>0</v>
      </c>
      <c r="AC298" s="85" t="str">
        <f>CONCATENATE(IF(D298&lt;SUM(D304,D305,D306,D307,D308,D309,D310)," * Total Died  for Age "&amp;D20&amp;" "&amp;D21&amp;" is less than sum of Total Causes of Death F08-05 to F08-11"&amp;CHAR(10),""),IF(E298&lt;SUM(E304,E305,E306,E307,E308,E309,E310)," * Total Died  for Age "&amp;D20&amp;" "&amp;E21&amp;" is less than sum of Total Causes of Death F08-05 to F08-11"&amp;CHAR(10),""),IF(F298&lt;SUM(F304,F305,F306,F307,F308,F309,F310)," * Total Died  for Age "&amp;F20&amp;" "&amp;F21&amp;" is less than sum of Total Causes of Death F08-05 to F08-11"&amp;CHAR(10),""),IF(G298&lt;SUM(G304,G305,G306,G307,G308,G309,G310)," * Total Died  for Age "&amp;F20&amp;" "&amp;G21&amp;" is less than sum of Total Causes of Death F08-05 to F08-11"&amp;CHAR(10),""),IF(H298&lt;SUM(H304,H305,H306,H307,H308,H309,H310)," * Total Died  for Age "&amp;H20&amp;" "&amp;H21&amp;" is less than sum of Total Causes of Death F08-05 to F08-11"&amp;CHAR(10),""),IF(I298&lt;SUM(I304,I305,I306,I307,I308,I309,I310)," * Total Died  for Age "&amp;H20&amp;" "&amp;I21&amp;" is less than sum of Total Causes of Death F08-05 to F08-11"&amp;CHAR(10),""),IF(J298&lt;SUM(J304,J305,J306,J307,J308,J309,J310)," * Total Died  for Age "&amp;J20&amp;" "&amp;J21&amp;" is less than sum of Total Causes of Death F08-05 to F08-11"&amp;CHAR(10),""),IF(K298&lt;SUM(K304,K305,K306,K307,K308,K309,K310)," * Total Died  for Age "&amp;J20&amp;" "&amp;K21&amp;" is less than sum of Total Causes of Death F08-05 to F08-11"&amp;CHAR(10),""),IF(L298&lt;SUM(L304,L305,L306,L307,L308,L309,L310)," * Total Died  for Age "&amp;L20&amp;" "&amp;L21&amp;" is less than sum of Total Causes of Death F08-05 to F08-11"&amp;CHAR(10),""),IF(M298&lt;SUM(M304,M305,M306,M307,M308,M309,M310)," * Total Died  for Age "&amp;L20&amp;" "&amp;M21&amp;" is less than sum of Total Causes of Death F08-05 to F08-11"&amp;CHAR(10),""),IF(N298&lt;SUM(N304,N305,N306,N307,N308,N309,N310)," * Total Died  for Age "&amp;N20&amp;" "&amp;N21&amp;" is less than sum of Total Causes of Death F08-05 to F08-11"&amp;CHAR(10),""),IF(O298&lt;SUM(O304,O305,O306,O307,O308,O309,O310)," * Total Died  for Age "&amp;N20&amp;" "&amp;O21&amp;" is less than sum of Total Causes of Death F08-05 to F08-11"&amp;CHAR(10),""),IF(P298&lt;SUM(P304,P305,P306,P307,P308,P309,P310)," * Total Died  for Age "&amp;P20&amp;" "&amp;P21&amp;" is less than sum of Total Causes of Death F08-05 to F08-11"&amp;CHAR(10),""),IF(Q298&lt;SUM(Q304,Q305,Q306,Q307,Q308,Q309,Q310)," * Total Died  for Age "&amp;P20&amp;" "&amp;Q21&amp;" is less than sum of Total Causes of Death F08-05 to F08-11"&amp;CHAR(10),""),IF(R298&lt;SUM(R304,R305,R306,R307,R308,R309,R310)," * Total Died  for Age "&amp;R20&amp;" "&amp;R21&amp;" is less than sum of Total Causes of Death F08-05 to F08-11"&amp;CHAR(10),""),IF(S298&lt;SUM(S304,S305,S306,S307,S308,S309,S310)," * Total Died  for Age "&amp;R20&amp;" "&amp;S21&amp;" is less than sum of Total Causes of Death F08-05 to F08-11"&amp;CHAR(10),""),IF(T298&lt;SUM(T304,T305,T306,T307,T308,T309,T310)," * Total Died  for Age "&amp;T20&amp;" "&amp;T21&amp;" is less than sum of Total Causes of Death F08-05 to F08-11"&amp;CHAR(10),""),IF(U298&lt;SUM(U304,U305,U306,U307,U308,U309,U310)," * Total Died  for Age "&amp;T20&amp;" "&amp;U21&amp;" is less than sum of Total Causes of Death F08-05 to F08-11"&amp;CHAR(10),""),IF(V298&lt;SUM(V304,V305,V306,V307,V308,V309,V310)," * Total Died  for Age "&amp;V20&amp;" "&amp;V21&amp;" is less than sum of Total Causes of Death F08-05 to F08-11"&amp;CHAR(10),""),IF(W298&lt;SUM(W304,W305,W306,W307,W308,W309,W310)," * Total Died  for Age "&amp;V20&amp;" "&amp;W21&amp;" is less than sum of Total Causes of Death F08-05 to F08-11"&amp;CHAR(10),""),IF(X298&lt;SUM(X304,X305,X306,X307,X308,X309,X310)," * Total Died  for Age "&amp;X20&amp;" "&amp;X21&amp;" is less than sum of Total Causes of Death F08-05 to F08-11"&amp;CHAR(10),""),IF(Y298&lt;SUM(Y304,Y305,Y306,Y307,Y308,Y309,Y310)," * Total Died  for Age "&amp;X20&amp;" "&amp;Y21&amp;" is less than sum of Total Causes of Death F08-05 to F08-11"&amp;CHAR(10),""),IF(Z298&lt;SUM(Z304,Z305,Z306,Z307,Z308,Z309,Z310)," * Total Died  for Age "&amp;Z20&amp;" "&amp;Z21&amp;" is less than sum of Total Causes of Death F08-05 to F08-11"&amp;CHAR(10),""),IF(AA298&lt;SUM(AA304,AA305,AA306,AA307,AA308,AA309,AA310)," * Total Died  for Age "&amp;Z20&amp;" "&amp;AA21&amp;" is less than sum of Total Causes of Death F08-05 to F08-11"&amp;CHAR(10),""))</f>
        <v/>
      </c>
      <c r="AD298" s="683"/>
      <c r="AE298" s="83"/>
      <c r="AF298" s="689"/>
      <c r="AG298" s="480">
        <v>297</v>
      </c>
    </row>
    <row r="299" spans="1:34" s="9" customFormat="1" ht="61.75" x14ac:dyDescent="0.85">
      <c r="A299" s="556"/>
      <c r="B299" s="276" t="s">
        <v>600</v>
      </c>
      <c r="C299" s="135" t="s">
        <v>450</v>
      </c>
      <c r="D299" s="172"/>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37">
        <f t="shared" si="118"/>
        <v>0</v>
      </c>
      <c r="AC299" s="85"/>
      <c r="AD299" s="683"/>
      <c r="AE299" s="84"/>
      <c r="AF299" s="689"/>
      <c r="AG299" s="480">
        <v>298</v>
      </c>
      <c r="AH299" s="336"/>
    </row>
    <row r="300" spans="1:34" x14ac:dyDescent="0.85">
      <c r="A300" s="556"/>
      <c r="B300" s="276" t="s">
        <v>454</v>
      </c>
      <c r="C300" s="136" t="s">
        <v>451</v>
      </c>
      <c r="D300" s="172"/>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37">
        <f t="shared" si="118"/>
        <v>0</v>
      </c>
      <c r="AC300" s="85"/>
      <c r="AD300" s="683"/>
      <c r="AE300" s="83"/>
      <c r="AF300" s="689"/>
      <c r="AG300" s="480">
        <v>299</v>
      </c>
    </row>
    <row r="301" spans="1:34" x14ac:dyDescent="0.85">
      <c r="A301" s="556"/>
      <c r="B301" s="276" t="s">
        <v>724</v>
      </c>
      <c r="C301" s="136" t="s">
        <v>452</v>
      </c>
      <c r="D301" s="172"/>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37">
        <f t="shared" si="118"/>
        <v>0</v>
      </c>
      <c r="AC301" s="85"/>
      <c r="AD301" s="683"/>
      <c r="AE301" s="83"/>
      <c r="AF301" s="689"/>
      <c r="AG301" s="480">
        <v>300</v>
      </c>
    </row>
    <row r="302" spans="1:34" x14ac:dyDescent="0.85">
      <c r="A302" s="556"/>
      <c r="B302" s="276" t="s">
        <v>449</v>
      </c>
      <c r="C302" s="136" t="s">
        <v>453</v>
      </c>
      <c r="D302" s="172"/>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7">
        <f t="shared" si="118"/>
        <v>0</v>
      </c>
      <c r="AC302" s="85"/>
      <c r="AD302" s="683"/>
      <c r="AE302" s="83"/>
      <c r="AF302" s="689"/>
      <c r="AG302" s="480">
        <v>301</v>
      </c>
    </row>
    <row r="303" spans="1:34" ht="32.15" thickBot="1" x14ac:dyDescent="0.9">
      <c r="A303" s="557"/>
      <c r="B303" s="326" t="s">
        <v>461</v>
      </c>
      <c r="C303" s="189" t="s">
        <v>307</v>
      </c>
      <c r="D303" s="186">
        <f>SUM(D298:D302)</f>
        <v>0</v>
      </c>
      <c r="E303" s="78">
        <f t="shared" ref="E303:AB303" si="119">SUM(E298:E302)</f>
        <v>0</v>
      </c>
      <c r="F303" s="78">
        <f t="shared" si="119"/>
        <v>0</v>
      </c>
      <c r="G303" s="78">
        <f t="shared" si="119"/>
        <v>0</v>
      </c>
      <c r="H303" s="78">
        <f t="shared" si="119"/>
        <v>0</v>
      </c>
      <c r="I303" s="78">
        <f t="shared" si="119"/>
        <v>0</v>
      </c>
      <c r="J303" s="78">
        <f t="shared" si="119"/>
        <v>0</v>
      </c>
      <c r="K303" s="78">
        <f t="shared" si="119"/>
        <v>0</v>
      </c>
      <c r="L303" s="78">
        <f t="shared" si="119"/>
        <v>0</v>
      </c>
      <c r="M303" s="78">
        <f t="shared" si="119"/>
        <v>0</v>
      </c>
      <c r="N303" s="78">
        <f t="shared" si="119"/>
        <v>0</v>
      </c>
      <c r="O303" s="78">
        <f t="shared" si="119"/>
        <v>0</v>
      </c>
      <c r="P303" s="78">
        <f t="shared" si="119"/>
        <v>0</v>
      </c>
      <c r="Q303" s="78">
        <f t="shared" si="119"/>
        <v>0</v>
      </c>
      <c r="R303" s="78">
        <f t="shared" si="119"/>
        <v>0</v>
      </c>
      <c r="S303" s="78">
        <f t="shared" si="119"/>
        <v>0</v>
      </c>
      <c r="T303" s="78">
        <f t="shared" si="119"/>
        <v>0</v>
      </c>
      <c r="U303" s="78">
        <f t="shared" si="119"/>
        <v>0</v>
      </c>
      <c r="V303" s="78">
        <f t="shared" si="119"/>
        <v>0</v>
      </c>
      <c r="W303" s="78">
        <f t="shared" si="119"/>
        <v>0</v>
      </c>
      <c r="X303" s="78">
        <f t="shared" si="119"/>
        <v>0</v>
      </c>
      <c r="Y303" s="78">
        <f t="shared" si="119"/>
        <v>0</v>
      </c>
      <c r="Z303" s="78">
        <f t="shared" si="119"/>
        <v>0</v>
      </c>
      <c r="AA303" s="78">
        <f t="shared" si="119"/>
        <v>0</v>
      </c>
      <c r="AB303" s="79">
        <f t="shared" si="119"/>
        <v>0</v>
      </c>
      <c r="AC303" s="85"/>
      <c r="AD303" s="683"/>
      <c r="AE303" s="83"/>
      <c r="AF303" s="689"/>
      <c r="AG303" s="480">
        <v>302</v>
      </c>
    </row>
    <row r="304" spans="1:34" x14ac:dyDescent="0.85">
      <c r="A304" s="555" t="s">
        <v>1037</v>
      </c>
      <c r="B304" s="284" t="s">
        <v>317</v>
      </c>
      <c r="C304" s="134" t="s">
        <v>308</v>
      </c>
      <c r="D304" s="171"/>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f t="shared" ref="AB304:AB310" si="120">SUM(D304:AA304)</f>
        <v>0</v>
      </c>
      <c r="AC304" s="85"/>
      <c r="AD304" s="683"/>
      <c r="AE304" s="83"/>
      <c r="AF304" s="689"/>
      <c r="AG304" s="480">
        <v>303</v>
      </c>
    </row>
    <row r="305" spans="1:34" x14ac:dyDescent="0.85">
      <c r="A305" s="556"/>
      <c r="B305" s="276" t="s">
        <v>553</v>
      </c>
      <c r="C305" s="136" t="s">
        <v>309</v>
      </c>
      <c r="D305" s="172"/>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7">
        <f t="shared" si="120"/>
        <v>0</v>
      </c>
      <c r="AC305" s="85"/>
      <c r="AD305" s="683"/>
      <c r="AE305" s="83"/>
      <c r="AF305" s="689"/>
      <c r="AG305" s="480">
        <v>304</v>
      </c>
    </row>
    <row r="306" spans="1:34" x14ac:dyDescent="0.85">
      <c r="A306" s="556"/>
      <c r="B306" s="276" t="s">
        <v>725</v>
      </c>
      <c r="C306" s="136" t="s">
        <v>310</v>
      </c>
      <c r="D306" s="172"/>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7">
        <f t="shared" si="120"/>
        <v>0</v>
      </c>
      <c r="AC306" s="85"/>
      <c r="AD306" s="683"/>
      <c r="AE306" s="83"/>
      <c r="AF306" s="689"/>
      <c r="AG306" s="480">
        <v>305</v>
      </c>
    </row>
    <row r="307" spans="1:34" s="9" customFormat="1" ht="61.75" x14ac:dyDescent="0.85">
      <c r="A307" s="556"/>
      <c r="B307" s="276" t="s">
        <v>318</v>
      </c>
      <c r="C307" s="135" t="s">
        <v>311</v>
      </c>
      <c r="D307" s="172"/>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7">
        <f t="shared" si="120"/>
        <v>0</v>
      </c>
      <c r="AC307" s="85"/>
      <c r="AD307" s="683"/>
      <c r="AE307" s="84"/>
      <c r="AF307" s="689"/>
      <c r="AG307" s="480">
        <v>306</v>
      </c>
      <c r="AH307" s="336"/>
    </row>
    <row r="308" spans="1:34" x14ac:dyDescent="0.85">
      <c r="A308" s="556"/>
      <c r="B308" s="276" t="s">
        <v>554</v>
      </c>
      <c r="C308" s="136" t="s">
        <v>312</v>
      </c>
      <c r="D308" s="172"/>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7">
        <f t="shared" si="120"/>
        <v>0</v>
      </c>
      <c r="AC308" s="85"/>
      <c r="AD308" s="683"/>
      <c r="AE308" s="83"/>
      <c r="AF308" s="689"/>
      <c r="AG308" s="480">
        <v>307</v>
      </c>
    </row>
    <row r="309" spans="1:34" x14ac:dyDescent="0.85">
      <c r="A309" s="556"/>
      <c r="B309" s="276" t="s">
        <v>319</v>
      </c>
      <c r="C309" s="136" t="s">
        <v>313</v>
      </c>
      <c r="D309" s="172"/>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7">
        <f t="shared" si="120"/>
        <v>0</v>
      </c>
      <c r="AC309" s="85"/>
      <c r="AD309" s="683"/>
      <c r="AE309" s="83"/>
      <c r="AF309" s="689"/>
      <c r="AG309" s="480">
        <v>308</v>
      </c>
    </row>
    <row r="310" spans="1:34" ht="31.3" thickBot="1" x14ac:dyDescent="0.9">
      <c r="A310" s="557"/>
      <c r="B310" s="282" t="s">
        <v>320</v>
      </c>
      <c r="C310" s="138" t="s">
        <v>314</v>
      </c>
      <c r="D310" s="151"/>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40">
        <f t="shared" si="120"/>
        <v>0</v>
      </c>
      <c r="AC310" s="85"/>
      <c r="AD310" s="684"/>
      <c r="AE310" s="83"/>
      <c r="AF310" s="690"/>
      <c r="AG310" s="480">
        <v>309</v>
      </c>
    </row>
    <row r="311" spans="1:34" ht="35.15" thickBot="1" x14ac:dyDescent="0.9">
      <c r="A311" s="549" t="s">
        <v>582</v>
      </c>
      <c r="B311" s="549"/>
      <c r="C311" s="549"/>
      <c r="D311" s="549"/>
      <c r="E311" s="549"/>
      <c r="F311" s="549"/>
      <c r="G311" s="549"/>
      <c r="H311" s="549"/>
      <c r="I311" s="549"/>
      <c r="J311" s="549"/>
      <c r="K311" s="549"/>
      <c r="L311" s="549"/>
      <c r="M311" s="549"/>
      <c r="N311" s="549"/>
      <c r="O311" s="549"/>
      <c r="P311" s="549"/>
      <c r="Q311" s="549"/>
      <c r="R311" s="549"/>
      <c r="S311" s="549"/>
      <c r="T311" s="549"/>
      <c r="U311" s="549"/>
      <c r="V311" s="549"/>
      <c r="W311" s="549"/>
      <c r="X311" s="549"/>
      <c r="Y311" s="549"/>
      <c r="Z311" s="549"/>
      <c r="AA311" s="549"/>
      <c r="AB311" s="549"/>
      <c r="AC311" s="550"/>
      <c r="AD311" s="549"/>
      <c r="AE311" s="550"/>
      <c r="AF311" s="551"/>
      <c r="AG311" s="480">
        <v>310</v>
      </c>
    </row>
    <row r="312" spans="1:34" ht="30.75" customHeight="1" x14ac:dyDescent="0.85">
      <c r="A312" s="552" t="s">
        <v>525</v>
      </c>
      <c r="B312" s="284" t="s">
        <v>526</v>
      </c>
      <c r="C312" s="129" t="s">
        <v>529</v>
      </c>
      <c r="D312" s="190"/>
      <c r="E312" s="80"/>
      <c r="F312" s="35"/>
      <c r="G312" s="35"/>
      <c r="H312" s="35"/>
      <c r="I312" s="35"/>
      <c r="J312" s="35"/>
      <c r="K312" s="35"/>
      <c r="L312" s="35"/>
      <c r="M312" s="35"/>
      <c r="N312" s="35"/>
      <c r="O312" s="35"/>
      <c r="P312" s="35"/>
      <c r="Q312" s="35"/>
      <c r="R312" s="35"/>
      <c r="S312" s="35"/>
      <c r="T312" s="35"/>
      <c r="U312" s="35"/>
      <c r="V312" s="35"/>
      <c r="W312" s="35"/>
      <c r="X312" s="35"/>
      <c r="Y312" s="35"/>
      <c r="Z312" s="35"/>
      <c r="AA312" s="35"/>
      <c r="AB312" s="36">
        <f t="shared" ref="AB312" si="121">SUM(D312:AA312)</f>
        <v>0</v>
      </c>
      <c r="AC312" s="82" t="str">
        <f>CONCATENATE(IF(D313&gt;D312," * TB Cases with Known HIV Positive status "&amp;$D$20&amp;" "&amp;$D$21&amp;" is more than Total TB Cases New and relapsed"&amp;CHAR(10),""),IF(E313&gt;E312," * TB Cases with Known HIV Positive status "&amp;$D$20&amp;" "&amp;$E$21&amp;" is more than Total TB Cases New and relapsed"&amp;CHAR(10),""),IF(F313&gt;F312," * TB Cases with Known HIV Positive status "&amp;$F$20&amp;" "&amp;$F$21&amp;" is more than Total TB Cases New and relapsed"&amp;CHAR(10),""),IF(G313&gt;G312," * TB Cases with Known HIV Positive status "&amp;$F$20&amp;" "&amp;$G$21&amp;" is more than Total TB Cases New and relapsed"&amp;CHAR(10),""),IF(H313&gt;H312," * TB Cases with Known HIV Positive status "&amp;$H$20&amp;" "&amp;$H$21&amp;" is more than Total TB Cases New and relapsed"&amp;CHAR(10),""),IF(I313&gt;I312," * TB Cases with Known HIV Positive status "&amp;$H$20&amp;" "&amp;$I$21&amp;" is more than Total TB Cases New and relapsed"&amp;CHAR(10),""),IF(J313&gt;J312," * TB Cases with Known HIV Positive status "&amp;$J$20&amp;" "&amp;$J$21&amp;" is more than Total TB Cases New and relapsed"&amp;CHAR(10),""),IF(K313&gt;K312," * TB Cases with Known HIV Positive status "&amp;$J$20&amp;" "&amp;$K$21&amp;" is more than Total TB Cases New and relapsed"&amp;CHAR(10),""),IF(L313&gt;L312," * TB Cases with Known HIV Positive status "&amp;$L$20&amp;" "&amp;$L$21&amp;" is more than Total TB Cases New and relapsed"&amp;CHAR(10),""),IF(M313&gt;M312," * TB Cases with Known HIV Positive status "&amp;$L$20&amp;" "&amp;$M$21&amp;" is more than Total TB Cases New and relapsed"&amp;CHAR(10),""),IF(N313&gt;N312," * TB Cases with Known HIV Positive status "&amp;$N$20&amp;" "&amp;$N$21&amp;" is more than Total TB Cases New and relapsed"&amp;CHAR(10),""),IF(O313&gt;O312," * TB Cases with Known HIV Positive status "&amp;$N$20&amp;" "&amp;$O$21&amp;" is more than Total TB Cases New and relapsed"&amp;CHAR(10),""),IF(P313&gt;P312," * TB Cases with Known HIV Positive status "&amp;$P$20&amp;" "&amp;$P$21&amp;" is more than Total TB Cases New and relapsed"&amp;CHAR(10),""),IF(Q313&gt;Q312," * TB Cases with Known HIV Positive status "&amp;$P$20&amp;" "&amp;$Q$21&amp;" is more than Total TB Cases New and relapsed"&amp;CHAR(10),""),IF(R313&gt;R312," * TB Cases with Known HIV Positive status "&amp;$R$20&amp;" "&amp;$R$21&amp;" is more than Total TB Cases New and relapsed"&amp;CHAR(10),""),IF(S313&gt;S312," * TB Cases with Known HIV Positive status "&amp;$R$20&amp;" "&amp;$S$21&amp;" is more than Total TB Cases New and relapsed"&amp;CHAR(10),""),IF(T313&gt;T312," * TB Cases with Known HIV Positive status "&amp;$T$20&amp;" "&amp;$T$21&amp;" is more than Total TB Cases New and relapsed"&amp;CHAR(10),""),IF(U313&gt;U312," * TB Cases with Known HIV Positive status "&amp;$T$20&amp;" "&amp;$U$21&amp;" is more than Total TB Cases New and relapsed"&amp;CHAR(10),""),IF(V313&gt;V312," * TB Cases with Known HIV Positive status "&amp;$V$20&amp;" "&amp;$V$21&amp;" is more than Total TB Cases New and relapsed"&amp;CHAR(10),""),IF(W313&gt;W312," * TB Cases with Known HIV Positive status "&amp;$V$20&amp;" "&amp;$W$21&amp;" is more than Total TB Cases New and relapsed"&amp;CHAR(10),""),IF(X313&gt;X312," * TB Cases with Known HIV Positive status "&amp;$X$20&amp;" "&amp;$X$21&amp;" is more than Total TB Cases New and relapsed"&amp;CHAR(10),""),IF(Y313&gt;Y312," * TB Cases with Known HIV Positive status "&amp;$X$20&amp;" "&amp;$Y$21&amp;" is more than Total TB Cases New and relapsed"&amp;CHAR(10),""),IF(Z313&gt;Z312," * TB Cases with Known HIV Positive status "&amp;$Z$20&amp;" "&amp;$Z$21&amp;" is more than Total TB Cases New and relapsed"&amp;CHAR(10),""),IF(AA313&gt;AA312," * TB Cases with Known HIV Positive status "&amp;$Z$20&amp;" "&amp;$AA$21&amp;" is more than Total TB Cases New and relapsed"&amp;CHAR(10),""))</f>
        <v/>
      </c>
      <c r="AD312" s="682" t="str">
        <f>CONCATENATE(AC312,AC313,AC315,AC316,AC317,AC318,AC319,AC320,AC321)</f>
        <v/>
      </c>
      <c r="AE312" s="83"/>
      <c r="AF312" s="685" t="str">
        <f>CONCATENATE(AE312,AE313,AE314,AE315,AE316,AE317,AE318,AE319,AE320,AE321)</f>
        <v/>
      </c>
      <c r="AG312" s="479">
        <v>311</v>
      </c>
    </row>
    <row r="313" spans="1:34" s="7" customFormat="1" ht="61.75" x14ac:dyDescent="0.85">
      <c r="A313" s="553"/>
      <c r="B313" s="300" t="s">
        <v>552</v>
      </c>
      <c r="C313" s="146" t="s">
        <v>539</v>
      </c>
      <c r="D313" s="191"/>
      <c r="E313" s="22"/>
      <c r="F313" s="25"/>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37">
        <f t="shared" ref="AB313:AB321" si="122">SUM(D313:AA313)</f>
        <v>0</v>
      </c>
      <c r="AC313" s="94"/>
      <c r="AD313" s="683"/>
      <c r="AE313" s="83"/>
      <c r="AF313" s="686"/>
      <c r="AG313" s="479">
        <v>312</v>
      </c>
      <c r="AH313" s="335"/>
    </row>
    <row r="314" spans="1:34" s="7" customFormat="1" ht="31.75" x14ac:dyDescent="0.85">
      <c r="A314" s="553"/>
      <c r="B314" s="490" t="s">
        <v>527</v>
      </c>
      <c r="C314" s="146" t="s">
        <v>540</v>
      </c>
      <c r="D314" s="191"/>
      <c r="E314" s="22"/>
      <c r="F314" s="29">
        <f t="shared" ref="F314:AA314" si="123">F312-F313</f>
        <v>0</v>
      </c>
      <c r="G314" s="29">
        <f t="shared" si="123"/>
        <v>0</v>
      </c>
      <c r="H314" s="29">
        <f t="shared" si="123"/>
        <v>0</v>
      </c>
      <c r="I314" s="29">
        <f t="shared" si="123"/>
        <v>0</v>
      </c>
      <c r="J314" s="29">
        <f t="shared" si="123"/>
        <v>0</v>
      </c>
      <c r="K314" s="29">
        <f t="shared" si="123"/>
        <v>0</v>
      </c>
      <c r="L314" s="29">
        <f t="shared" si="123"/>
        <v>0</v>
      </c>
      <c r="M314" s="29">
        <f t="shared" si="123"/>
        <v>0</v>
      </c>
      <c r="N314" s="29">
        <f t="shared" si="123"/>
        <v>0</v>
      </c>
      <c r="O314" s="29">
        <f t="shared" si="123"/>
        <v>0</v>
      </c>
      <c r="P314" s="29">
        <f t="shared" si="123"/>
        <v>0</v>
      </c>
      <c r="Q314" s="29">
        <f t="shared" si="123"/>
        <v>0</v>
      </c>
      <c r="R314" s="29">
        <f t="shared" si="123"/>
        <v>0</v>
      </c>
      <c r="S314" s="29">
        <f t="shared" si="123"/>
        <v>0</v>
      </c>
      <c r="T314" s="29">
        <f t="shared" si="123"/>
        <v>0</v>
      </c>
      <c r="U314" s="29">
        <f t="shared" si="123"/>
        <v>0</v>
      </c>
      <c r="V314" s="29">
        <f t="shared" si="123"/>
        <v>0</v>
      </c>
      <c r="W314" s="29">
        <f t="shared" si="123"/>
        <v>0</v>
      </c>
      <c r="X314" s="29">
        <f t="shared" si="123"/>
        <v>0</v>
      </c>
      <c r="Y314" s="29">
        <f t="shared" si="123"/>
        <v>0</v>
      </c>
      <c r="Z314" s="29">
        <f t="shared" si="123"/>
        <v>0</v>
      </c>
      <c r="AA314" s="29">
        <f t="shared" si="123"/>
        <v>0</v>
      </c>
      <c r="AB314" s="37">
        <f t="shared" si="122"/>
        <v>0</v>
      </c>
      <c r="AC314" s="94"/>
      <c r="AD314" s="683"/>
      <c r="AE314" s="83" t="str">
        <f>CONCATENATE(IF(D314&gt;D315," * TB Cases newly tested for HIV "&amp;$D$20&amp;" "&amp;$D$21&amp;" is less than TB Cases eligible for Testing"&amp;CHAR(10),""),IF(E314&gt;E315," * TB Cases newly tested for HIV "&amp;$D$20&amp;" "&amp;$E$21&amp;" is less than TB Cases eligible for Testing"&amp;CHAR(10),""),IF(F314&gt;F315," * TB Cases newly tested for HIV "&amp;$F$20&amp;" "&amp;$F$21&amp;" is less than TB Cases eligible for Testing"&amp;CHAR(10),""),IF(G314&gt;G315," * TB Cases newly tested for HIV "&amp;$F$20&amp;" "&amp;$G$21&amp;" is less than TB Cases eligible for Testing"&amp;CHAR(10),""),IF(H314&gt;H315," * TB Cases newly tested for HIV "&amp;$H$20&amp;" "&amp;$H$21&amp;" is less than TB Cases eligible for Testing"&amp;CHAR(10),""),IF(I314&gt;I315," * TB Cases newly tested for HIV "&amp;$H$20&amp;" "&amp;$I$21&amp;" is less than TB Cases eligible for Testing"&amp;CHAR(10),""),IF(J314&gt;J315," * TB Cases newly tested for HIV "&amp;$J$20&amp;" "&amp;$J$21&amp;" is less than TB Cases eligible for Testing"&amp;CHAR(10),""),IF(K314&gt;K315," * TB Cases newly tested for HIV "&amp;$J$20&amp;" "&amp;$K$21&amp;" is less than TB Cases eligible for Testing"&amp;CHAR(10),""),IF(L314&gt;L315," * TB Cases newly tested for HIV "&amp;$L$20&amp;" "&amp;$L$21&amp;" is less than TB Cases eligible for Testing"&amp;CHAR(10),""),IF(M314&gt;M315," * TB Cases newly tested for HIV "&amp;$L$20&amp;" "&amp;$M$21&amp;" is less than TB Cases eligible for Testing"&amp;CHAR(10),""),IF(N314&gt;N315," * TB Cases newly tested for HIV "&amp;$N$20&amp;" "&amp;$N$21&amp;" is less than TB Cases eligible for Testing"&amp;CHAR(10),""),IF(O314&gt;O315," * TB Cases newly tested for HIV "&amp;$N$20&amp;" "&amp;$O$21&amp;" is less than TB Cases eligible for Testing"&amp;CHAR(10),""),IF(P314&gt;P315," * TB Cases newly tested for HIV "&amp;$P$20&amp;" "&amp;$P$21&amp;" is less than TB Cases eligible for Testing"&amp;CHAR(10),""),IF(Q314&gt;Q315," * TB Cases newly tested for HIV "&amp;$P$20&amp;" "&amp;$Q$21&amp;" is less than TB Cases eligible for Testing"&amp;CHAR(10),""),IF(R314&gt;R315," * TB Cases newly tested for HIV "&amp;$R$20&amp;" "&amp;$R$21&amp;" is less than TB Cases eligible for Testing"&amp;CHAR(10),""),IF(S314&gt;S315," * TB Cases newly tested for HIV "&amp;$R$20&amp;" "&amp;$S$21&amp;" is less than TB Cases eligible for Testing"&amp;CHAR(10),""),IF(T314&gt;T315," * TB Cases newly tested for HIV "&amp;$T$20&amp;" "&amp;$T$21&amp;" is less than TB Cases eligible for Testing"&amp;CHAR(10),""),IF(U314&gt;U315," * TB Cases newly tested for HIV "&amp;$T$20&amp;" "&amp;$U$21&amp;" is less than TB Cases eligible for Testing"&amp;CHAR(10),""),IF(V314&gt;V315," * TB Cases newly tested for HIV "&amp;$V$20&amp;" "&amp;$V$21&amp;" is less than TB Cases eligible for Testing"&amp;CHAR(10),""),IF(W314&gt;W315," * TB Cases newly tested for HIV "&amp;$V$20&amp;" "&amp;$W$21&amp;" is less than TB Cases eligible for Testing"&amp;CHAR(10),""),IF(X314&gt;X315," * TB Cases newly tested for HIV "&amp;$X$20&amp;" "&amp;$X$21&amp;" is less than TB Cases eligible for Testing"&amp;CHAR(10),""),IF(Y314&gt;Y315," * TB Cases newly tested for HIV "&amp;$X$20&amp;" "&amp;$Y$21&amp;" is less than TB Cases eligible for Testing"&amp;CHAR(10),""),IF(Z314&gt;Z315," * TB Cases newly tested for HIV "&amp;$Z$20&amp;" "&amp;$Z$21&amp;" is less than TB Cases eligible for Testing"&amp;CHAR(10),""),IF(AA314&gt;AA315," * TB Cases newly tested for HIV "&amp;$Z$20&amp;" "&amp;$AA$21&amp;" is less than TB Cases eligible for Testing"&amp;CHAR(10),""))</f>
        <v/>
      </c>
      <c r="AF314" s="686"/>
      <c r="AG314" s="479">
        <v>313</v>
      </c>
      <c r="AH314" s="335"/>
    </row>
    <row r="315" spans="1:34" s="15" customFormat="1" x14ac:dyDescent="0.85">
      <c r="A315" s="553"/>
      <c r="B315" s="300" t="s">
        <v>549</v>
      </c>
      <c r="C315" s="130" t="s">
        <v>541</v>
      </c>
      <c r="D315" s="191"/>
      <c r="E315" s="22"/>
      <c r="F315" s="24"/>
      <c r="G315" s="24"/>
      <c r="H315" s="24"/>
      <c r="I315" s="24"/>
      <c r="J315" s="24"/>
      <c r="K315" s="24"/>
      <c r="L315" s="24"/>
      <c r="M315" s="24"/>
      <c r="N315" s="24"/>
      <c r="O315" s="24"/>
      <c r="P315" s="24"/>
      <c r="Q315" s="24"/>
      <c r="R315" s="24"/>
      <c r="S315" s="24"/>
      <c r="T315" s="24"/>
      <c r="U315" s="24"/>
      <c r="V315" s="24"/>
      <c r="W315" s="24"/>
      <c r="X315" s="24"/>
      <c r="Y315" s="24"/>
      <c r="Z315" s="24"/>
      <c r="AA315" s="24"/>
      <c r="AB315" s="37">
        <f t="shared" si="122"/>
        <v>0</v>
      </c>
      <c r="AC315" s="82" t="str">
        <f>CONCATENATE(IF(D312&lt;D315," * TB Cases newly tested for HIV "&amp;$D$20&amp;" "&amp;$D$21&amp;" is more than Total TB Cases New and relapsed"&amp;CHAR(10),""),IF(E312&lt;E315," * TB Cases newly tested for HIV "&amp;$D$20&amp;" "&amp;$E$21&amp;" is more than Total TB Cases New and relapsed"&amp;CHAR(10),""),IF(F312&lt;F315," * TB Cases newly tested for HIV "&amp;$F$20&amp;" "&amp;$F$21&amp;" is more than Total TB Cases New and relapsed"&amp;CHAR(10),""),IF(G312&lt;G315," * TB Cases newly tested for HIV "&amp;$F$20&amp;" "&amp;$G$21&amp;" is more than Total TB Cases New and relapsed"&amp;CHAR(10),""),IF(H312&lt;H315," * TB Cases newly tested for HIV "&amp;$H$20&amp;" "&amp;$H$21&amp;" is more than Total TB Cases New and relapsed"&amp;CHAR(10),""),IF(I312&lt;I315," * TB Cases newly tested for HIV "&amp;$H$20&amp;" "&amp;$I$21&amp;" is more than Total TB Cases New and relapsed"&amp;CHAR(10),""),IF(J312&lt;J315," * TB Cases newly tested for HIV "&amp;$J$20&amp;" "&amp;$J$21&amp;" is more than Total TB Cases New and relapsed"&amp;CHAR(10),""),IF(K312&lt;K315," * TB Cases newly tested for HIV "&amp;$J$20&amp;" "&amp;$K$21&amp;" is more than Total TB Cases New and relapsed"&amp;CHAR(10),""),IF(L312&lt;L315," * TB Cases newly tested for HIV "&amp;$L$20&amp;" "&amp;$L$21&amp;" is more than Total TB Cases New and relapsed"&amp;CHAR(10),""),IF(M312&lt;M315," * TB Cases newly tested for HIV "&amp;$L$20&amp;" "&amp;$M$21&amp;" is more than Total TB Cases New and relapsed"&amp;CHAR(10),""),IF(N312&lt;N315," * TB Cases newly tested for HIV "&amp;$N$20&amp;" "&amp;$N$21&amp;" is more than Total TB Cases New and relapsed"&amp;CHAR(10),""),IF(O312&lt;O315," * TB Cases newly tested for HIV "&amp;$N$20&amp;" "&amp;$O$21&amp;" is more than Total TB Cases New and relapsed"&amp;CHAR(10),""),IF(P312&lt;P315," * TB Cases newly tested for HIV "&amp;$P$20&amp;" "&amp;$P$21&amp;" is more than Total TB Cases New and relapsed"&amp;CHAR(10),""),IF(Q312&lt;Q315," * TB Cases newly tested for HIV "&amp;$P$20&amp;" "&amp;$Q$21&amp;" is more than Total TB Cases New and relapsed"&amp;CHAR(10),""),IF(R312&lt;R315," * TB Cases newly tested for HIV "&amp;$R$20&amp;" "&amp;$R$21&amp;" is more than Total TB Cases New and relapsed"&amp;CHAR(10),""),IF(S312&lt;S315," * TB Cases newly tested for HIV "&amp;$R$20&amp;" "&amp;$S$21&amp;" is more than Total TB Cases New and relapsed"&amp;CHAR(10),""),IF(T312&lt;T315," * TB Cases newly tested for HIV "&amp;$T$20&amp;" "&amp;$T$21&amp;" is more than Total TB Cases New and relapsed"&amp;CHAR(10),""),IF(U312&lt;U315," * TB Cases newly tested for HIV "&amp;$T$20&amp;" "&amp;$U$21&amp;" is more than Total TB Cases New and relapsed"&amp;CHAR(10),""),IF(V312&lt;V315," * TB Cases newly tested for HIV "&amp;$V$20&amp;" "&amp;$V$21&amp;" is more than Total TB Cases New and relapsed"&amp;CHAR(10),""),IF(W312&lt;W315," * TB Cases newly tested for HIV "&amp;$V$20&amp;" "&amp;$W$21&amp;" is more than Total TB Cases New and relapsed"&amp;CHAR(10),""),IF(X312&lt;X315," * TB Cases newly tested for HIV "&amp;$X$20&amp;" "&amp;$X$21&amp;" is more than Total TB Cases New and relapsed"&amp;CHAR(10),""),IF(Y312&lt;Y315," * TB Cases newly tested for HIV "&amp;$X$20&amp;" "&amp;$Y$21&amp;" is more than Total TB Cases New and relapsed"&amp;CHAR(10),""),IF(Z312&lt;Z315," * TB Cases newly tested for HIV "&amp;$Z$20&amp;" "&amp;$Z$21&amp;" is more than Total TB Cases New and relapsed"&amp;CHAR(10),""),IF(AA312&lt;AA315," * TB Cases newly tested for HIV "&amp;$Z$20&amp;" "&amp;$AA$21&amp;" is more than Total TB Cases New and relapsed"&amp;CHAR(10),""))</f>
        <v/>
      </c>
      <c r="AD315" s="683"/>
      <c r="AE315" s="84"/>
      <c r="AF315" s="686"/>
      <c r="AG315" s="479">
        <v>314</v>
      </c>
      <c r="AH315" s="336"/>
    </row>
    <row r="316" spans="1:34" s="7" customFormat="1" ht="31.75" x14ac:dyDescent="0.85">
      <c r="A316" s="553"/>
      <c r="B316" s="490" t="s">
        <v>528</v>
      </c>
      <c r="C316" s="146" t="s">
        <v>542</v>
      </c>
      <c r="D316" s="191"/>
      <c r="E316" s="22"/>
      <c r="F316" s="29">
        <f t="shared" ref="F316:AA316" si="124">F315+F313</f>
        <v>0</v>
      </c>
      <c r="G316" s="236">
        <f t="shared" si="124"/>
        <v>0</v>
      </c>
      <c r="H316" s="236">
        <f t="shared" si="124"/>
        <v>0</v>
      </c>
      <c r="I316" s="236">
        <f t="shared" si="124"/>
        <v>0</v>
      </c>
      <c r="J316" s="236">
        <f t="shared" si="124"/>
        <v>0</v>
      </c>
      <c r="K316" s="236">
        <f t="shared" si="124"/>
        <v>0</v>
      </c>
      <c r="L316" s="236">
        <f t="shared" si="124"/>
        <v>0</v>
      </c>
      <c r="M316" s="236">
        <f t="shared" si="124"/>
        <v>0</v>
      </c>
      <c r="N316" s="236">
        <f t="shared" si="124"/>
        <v>0</v>
      </c>
      <c r="O316" s="236">
        <f t="shared" si="124"/>
        <v>0</v>
      </c>
      <c r="P316" s="236">
        <f t="shared" si="124"/>
        <v>0</v>
      </c>
      <c r="Q316" s="236">
        <f t="shared" si="124"/>
        <v>0</v>
      </c>
      <c r="R316" s="236">
        <f t="shared" si="124"/>
        <v>0</v>
      </c>
      <c r="S316" s="236">
        <f t="shared" si="124"/>
        <v>0</v>
      </c>
      <c r="T316" s="236">
        <f t="shared" si="124"/>
        <v>0</v>
      </c>
      <c r="U316" s="236">
        <f t="shared" si="124"/>
        <v>0</v>
      </c>
      <c r="V316" s="236">
        <f t="shared" si="124"/>
        <v>0</v>
      </c>
      <c r="W316" s="236">
        <f t="shared" si="124"/>
        <v>0</v>
      </c>
      <c r="X316" s="236">
        <f t="shared" si="124"/>
        <v>0</v>
      </c>
      <c r="Y316" s="236">
        <f t="shared" si="124"/>
        <v>0</v>
      </c>
      <c r="Z316" s="236">
        <f t="shared" si="124"/>
        <v>0</v>
      </c>
      <c r="AA316" s="236">
        <f t="shared" si="124"/>
        <v>0</v>
      </c>
      <c r="AB316" s="37">
        <f t="shared" si="122"/>
        <v>0</v>
      </c>
      <c r="AC316" s="82" t="str">
        <f>CONCATENATE(IF(D312&lt;D316," * TB cases with documented HIV status "&amp;$D$20&amp;" "&amp;$D$21&amp;" is more than Total TB Cases New and relapsed"&amp;CHAR(10),""),IF(E312&lt;E316," * TB cases with documented HIV status "&amp;$D$20&amp;" "&amp;$E$21&amp;" is more than Total TB Cases New and relapsed"&amp;CHAR(10),""),IF(F312&lt;F316," * TB cases with documented HIV status "&amp;$F$20&amp;" "&amp;$F$21&amp;" is more than Total TB Cases New and relapsed"&amp;CHAR(10),""),IF(G312&lt;G316," * TB cases with documented HIV status "&amp;$F$20&amp;" "&amp;$G$21&amp;" is more than Total TB Cases New and relapsed"&amp;CHAR(10),""),IF(H312&lt;H316," * TB cases with documented HIV status "&amp;$H$20&amp;" "&amp;$H$21&amp;" is more than Total TB Cases New and relapsed"&amp;CHAR(10),""),IF(I312&lt;I316," * TB cases with documented HIV status "&amp;$H$20&amp;" "&amp;$I$21&amp;" is more than Total TB Cases New and relapsed"&amp;CHAR(10),""),IF(J312&lt;J316," * TB cases with documented HIV status "&amp;$J$20&amp;" "&amp;$J$21&amp;" is more than Total TB Cases New and relapsed"&amp;CHAR(10),""),IF(K312&lt;K316," * TB cases with documented HIV status "&amp;$J$20&amp;" "&amp;$K$21&amp;" is more than Total TB Cases New and relapsed"&amp;CHAR(10),""),IF(L312&lt;L316," * TB cases with documented HIV status "&amp;$L$20&amp;" "&amp;$L$21&amp;" is more than Total TB Cases New and relapsed"&amp;CHAR(10),""),IF(M312&lt;M316," * TB cases with documented HIV status "&amp;$L$20&amp;" "&amp;$M$21&amp;" is more than Total TB Cases New and relapsed"&amp;CHAR(10),""),IF(N312&lt;N316," * TB cases with documented HIV status "&amp;$N$20&amp;" "&amp;$N$21&amp;" is more than Total TB Cases New and relapsed"&amp;CHAR(10),""),IF(O312&lt;O316," * TB cases with documented HIV status "&amp;$N$20&amp;" "&amp;$O$21&amp;" is more than Total TB Cases New and relapsed"&amp;CHAR(10),""),IF(P312&lt;P316," * TB cases with documented HIV status "&amp;$P$20&amp;" "&amp;$P$21&amp;" is more than Total TB Cases New and relapsed"&amp;CHAR(10),""),IF(Q312&lt;Q316," * TB cases with documented HIV status "&amp;$P$20&amp;" "&amp;$Q$21&amp;" is more than Total TB Cases New and relapsed"&amp;CHAR(10),""),IF(R312&lt;R316," * TB cases with documented HIV status "&amp;$R$20&amp;" "&amp;$R$21&amp;" is more than Total TB Cases New and relapsed"&amp;CHAR(10),""),IF(S312&lt;S316," * TB cases with documented HIV status "&amp;$R$20&amp;" "&amp;$S$21&amp;" is more than Total TB Cases New and relapsed"&amp;CHAR(10),""),IF(T312&lt;T316," * TB cases with documented HIV status "&amp;$T$20&amp;" "&amp;$T$21&amp;" is more than Total TB Cases New and relapsed"&amp;CHAR(10),""),IF(U312&lt;U316," * TB cases with documented HIV status "&amp;$T$20&amp;" "&amp;$U$21&amp;" is more than Total TB Cases New and relapsed"&amp;CHAR(10),""),IF(V312&lt;V316," * TB cases with documented HIV status "&amp;$V$20&amp;" "&amp;$V$21&amp;" is more than Total TB Cases New and relapsed"&amp;CHAR(10),""),IF(W312&lt;W316," * TB cases with documented HIV status "&amp;$V$20&amp;" "&amp;$W$21&amp;" is more than Total TB Cases New and relapsed"&amp;CHAR(10),""),IF(X312&lt;X316," * TB cases with documented HIV status "&amp;$X$20&amp;" "&amp;$X$21&amp;" is more than Total TB Cases New and relapsed"&amp;CHAR(10),""),IF(Y312&lt;Y316," * TB cases with documented HIV status "&amp;$X$20&amp;" "&amp;$Y$21&amp;" is more than Total TB Cases New and relapsed"&amp;CHAR(10),""),IF(Z312&lt;Z316," * TB cases with documented HIV status "&amp;$Z$20&amp;" "&amp;$Z$21&amp;" is more than Total TB Cases New and relapsed"&amp;CHAR(10),""),IF(AA312&lt;AA316," * TB cases with documented HIV status "&amp;$Z$20&amp;" "&amp;$AA$21&amp;" is more than Total TB Cases New and relapsed"&amp;CHAR(10),""))</f>
        <v/>
      </c>
      <c r="AD316" s="683"/>
      <c r="AE316" s="83"/>
      <c r="AF316" s="686"/>
      <c r="AG316" s="479">
        <v>315</v>
      </c>
      <c r="AH316" s="335"/>
    </row>
    <row r="317" spans="1:34" x14ac:dyDescent="0.85">
      <c r="A317" s="553"/>
      <c r="B317" s="300" t="s">
        <v>551</v>
      </c>
      <c r="C317" s="146" t="s">
        <v>543</v>
      </c>
      <c r="D317" s="191"/>
      <c r="E317" s="22"/>
      <c r="F317" s="19"/>
      <c r="G317" s="19"/>
      <c r="H317" s="232"/>
      <c r="I317" s="232"/>
      <c r="J317" s="232"/>
      <c r="K317" s="232"/>
      <c r="L317" s="232"/>
      <c r="M317" s="232"/>
      <c r="N317" s="232"/>
      <c r="O317" s="232"/>
      <c r="P317" s="232"/>
      <c r="Q317" s="232"/>
      <c r="R317" s="232"/>
      <c r="S317" s="232"/>
      <c r="T317" s="232"/>
      <c r="U317" s="232"/>
      <c r="V317" s="232"/>
      <c r="W317" s="232"/>
      <c r="X317" s="232"/>
      <c r="Y317" s="232"/>
      <c r="Z317" s="232"/>
      <c r="AA317" s="232"/>
      <c r="AB317" s="37">
        <f t="shared" si="122"/>
        <v>0</v>
      </c>
      <c r="AC317" s="82" t="str">
        <f>CONCATENATE(IF(D315&lt;D317," * Newly Tested Positives "&amp;$D$20&amp;" "&amp;$D$21&amp;" is more than TB Cases newly tested for HIV"&amp;CHAR(10),""),IF(E315&lt;E317," * Newly Tested Positives "&amp;$D$20&amp;" "&amp;$E$21&amp;" is more than TB Cases newly tested for HIV"&amp;CHAR(10),""),IF(F315&lt;F317," * Newly Tested Positives "&amp;$F$20&amp;" "&amp;$F$21&amp;" is more than TB Cases newly tested for HIV"&amp;CHAR(10),""),IF(G315&lt;G317," * Newly Tested Positives "&amp;$F$20&amp;" "&amp;$G$21&amp;" is more than TB Cases newly tested for HIV"&amp;CHAR(10),""),IF(H315&lt;H317," * Newly Tested Positives "&amp;$H$20&amp;" "&amp;$H$21&amp;" is more than TB Cases newly tested for HIV"&amp;CHAR(10),""),IF(I315&lt;I317," * Newly Tested Positives "&amp;$H$20&amp;" "&amp;$I$21&amp;" is more than TB Cases newly tested for HIV"&amp;CHAR(10),""),IF(J315&lt;J317," * Newly Tested Positives "&amp;$J$20&amp;" "&amp;$J$21&amp;" is more than TB Cases newly tested for HIV"&amp;CHAR(10),""),IF(K315&lt;K317," * Newly Tested Positives "&amp;$J$20&amp;" "&amp;$K$21&amp;" is more than TB Cases newly tested for HIV"&amp;CHAR(10),""),IF(L315&lt;L317," * Newly Tested Positives "&amp;$L$20&amp;" "&amp;$L$21&amp;" is more than TB Cases newly tested for HIV"&amp;CHAR(10),""),IF(M315&lt;M317," * Newly Tested Positives "&amp;$L$20&amp;" "&amp;$M$21&amp;" is more than TB Cases newly tested for HIV"&amp;CHAR(10),""),IF(N315&lt;N317," * Newly Tested Positives "&amp;$N$20&amp;" "&amp;$N$21&amp;" is more than TB Cases newly tested for HIV"&amp;CHAR(10),""),IF(O315&lt;O317," * Newly Tested Positives "&amp;$N$20&amp;" "&amp;$O$21&amp;" is more than TB Cases newly tested for HIV"&amp;CHAR(10),""),IF(P315&lt;P317," * Newly Tested Positives "&amp;$P$20&amp;" "&amp;$P$21&amp;" is more than TB Cases newly tested for HIV"&amp;CHAR(10),""),IF(Q315&lt;Q317," * Newly Tested Positives "&amp;$P$20&amp;" "&amp;$Q$21&amp;" is more than TB Cases newly tested for HIV"&amp;CHAR(10),""),IF(R315&lt;R317," * Newly Tested Positives "&amp;$R$20&amp;" "&amp;$R$21&amp;" is more than TB Cases newly tested for HIV"&amp;CHAR(10),""),IF(S315&lt;S317," * Newly Tested Positives "&amp;$R$20&amp;" "&amp;$S$21&amp;" is more than TB Cases newly tested for HIV"&amp;CHAR(10),""),IF(T315&lt;T317," * Newly Tested Positives "&amp;$T$20&amp;" "&amp;$T$21&amp;" is more than TB Cases newly tested for HIV"&amp;CHAR(10),""),IF(U315&lt;U317," * Newly Tested Positives "&amp;$T$20&amp;" "&amp;$U$21&amp;" is more than TB Cases newly tested for HIV"&amp;CHAR(10),""),IF(V315&lt;V317," * Newly Tested Positives "&amp;$V$20&amp;" "&amp;$V$21&amp;" is more than TB Cases newly tested for HIV"&amp;CHAR(10),""),IF(W315&lt;W317," * Newly Tested Positives "&amp;$V$20&amp;" "&amp;$W$21&amp;" is more than TB Cases newly tested for HIV"&amp;CHAR(10),""),IF(X315&lt;X317," * Newly Tested Positives "&amp;$X$20&amp;" "&amp;$X$21&amp;" is more than TB Cases newly tested for HIV"&amp;CHAR(10),""),IF(Y315&lt;Y317," * Newly Tested Positives "&amp;$X$20&amp;" "&amp;$Y$21&amp;" is more than TB Cases newly tested for HIV"&amp;CHAR(10),""),IF(Z315&lt;Z317," * Newly Tested Positives "&amp;$Z$20&amp;" "&amp;$Z$21&amp;" is more than TB Cases newly tested for HIV"&amp;CHAR(10),""),IF(AA315&lt;AA317," * Newly Tested Positives "&amp;$Z$20&amp;" "&amp;$AA$21&amp;" is more than TB Cases newly tested for HIV"&amp;CHAR(10),""))</f>
        <v/>
      </c>
      <c r="AD317" s="683"/>
      <c r="AE317" s="83"/>
      <c r="AF317" s="686"/>
      <c r="AG317" s="479">
        <v>316</v>
      </c>
    </row>
    <row r="318" spans="1:34" ht="32.15" thickBot="1" x14ac:dyDescent="0.9">
      <c r="A318" s="553"/>
      <c r="B318" s="491" t="s">
        <v>544</v>
      </c>
      <c r="C318" s="193" t="s">
        <v>545</v>
      </c>
      <c r="D318" s="192"/>
      <c r="E318" s="30"/>
      <c r="F318" s="90">
        <f t="shared" ref="F318:AA318" si="125">F317+F313</f>
        <v>0</v>
      </c>
      <c r="G318" s="90">
        <f t="shared" si="125"/>
        <v>0</v>
      </c>
      <c r="H318" s="90">
        <f t="shared" si="125"/>
        <v>0</v>
      </c>
      <c r="I318" s="90">
        <f t="shared" si="125"/>
        <v>0</v>
      </c>
      <c r="J318" s="90">
        <f t="shared" si="125"/>
        <v>0</v>
      </c>
      <c r="K318" s="90">
        <f t="shared" si="125"/>
        <v>0</v>
      </c>
      <c r="L318" s="90">
        <f t="shared" si="125"/>
        <v>0</v>
      </c>
      <c r="M318" s="90">
        <f t="shared" si="125"/>
        <v>0</v>
      </c>
      <c r="N318" s="90">
        <f t="shared" si="125"/>
        <v>0</v>
      </c>
      <c r="O318" s="90">
        <f t="shared" si="125"/>
        <v>0</v>
      </c>
      <c r="P318" s="90">
        <f t="shared" si="125"/>
        <v>0</v>
      </c>
      <c r="Q318" s="90">
        <f t="shared" si="125"/>
        <v>0</v>
      </c>
      <c r="R318" s="90">
        <f t="shared" si="125"/>
        <v>0</v>
      </c>
      <c r="S318" s="90">
        <f t="shared" si="125"/>
        <v>0</v>
      </c>
      <c r="T318" s="90">
        <f t="shared" si="125"/>
        <v>0</v>
      </c>
      <c r="U318" s="90">
        <f t="shared" si="125"/>
        <v>0</v>
      </c>
      <c r="V318" s="90">
        <f t="shared" si="125"/>
        <v>0</v>
      </c>
      <c r="W318" s="258">
        <f t="shared" si="125"/>
        <v>0</v>
      </c>
      <c r="X318" s="90">
        <f t="shared" si="125"/>
        <v>0</v>
      </c>
      <c r="Y318" s="90">
        <f t="shared" si="125"/>
        <v>0</v>
      </c>
      <c r="Z318" s="90">
        <f t="shared" si="125"/>
        <v>0</v>
      </c>
      <c r="AA318" s="90">
        <f t="shared" si="125"/>
        <v>0</v>
      </c>
      <c r="AB318" s="91">
        <f t="shared" si="122"/>
        <v>0</v>
      </c>
      <c r="AC318" s="85"/>
      <c r="AD318" s="683"/>
      <c r="AE318" s="83"/>
      <c r="AF318" s="686"/>
      <c r="AG318" s="479">
        <v>317</v>
      </c>
    </row>
    <row r="319" spans="1:34" ht="61.75" x14ac:dyDescent="0.85">
      <c r="A319" s="553"/>
      <c r="B319" s="327" t="s">
        <v>548</v>
      </c>
      <c r="C319" s="129" t="s">
        <v>546</v>
      </c>
      <c r="D319" s="190"/>
      <c r="E319" s="80"/>
      <c r="F319" s="35"/>
      <c r="G319" s="35"/>
      <c r="H319" s="35"/>
      <c r="I319" s="35"/>
      <c r="J319" s="35"/>
      <c r="K319" s="35"/>
      <c r="L319" s="35"/>
      <c r="M319" s="35"/>
      <c r="N319" s="35"/>
      <c r="O319" s="35"/>
      <c r="P319" s="35"/>
      <c r="Q319" s="35"/>
      <c r="R319" s="35"/>
      <c r="S319" s="35"/>
      <c r="T319" s="35"/>
      <c r="U319" s="35"/>
      <c r="V319" s="35"/>
      <c r="W319" s="35"/>
      <c r="X319" s="35"/>
      <c r="Y319" s="35"/>
      <c r="Z319" s="35"/>
      <c r="AA319" s="35"/>
      <c r="AB319" s="36">
        <f t="shared" si="122"/>
        <v>0</v>
      </c>
      <c r="AC319" s="82"/>
      <c r="AD319" s="683"/>
      <c r="AE319" s="82" t="str">
        <f>CONCATENATE(IF(D317&gt;D319," * Newly Tested Positives "&amp;$D$20&amp;" "&amp;$D$21&amp;" is more than Total Positive Clients newly started on ART"&amp;CHAR(10),""),IF(E317&gt;E319," * Newly Tested Positives "&amp;$D$20&amp;" "&amp;$E$21&amp;" is more than Total Positive Clients newly started on ART"&amp;CHAR(10),""),IF(F317&gt;F319," * Newly Tested Positives "&amp;$F$20&amp;" "&amp;$F$21&amp;" is more than Total Positive Clients newly started on ART"&amp;CHAR(10),""),IF(G317&gt;G319," * Newly Tested Positives "&amp;$F$20&amp;" "&amp;$G$21&amp;" is more than Total Positive Clients newly started on ART"&amp;CHAR(10),""),IF(H317&gt;H319," * Newly Tested Positives "&amp;$H$20&amp;" "&amp;$H$21&amp;" is more than Total Positive Clients newly started on ART"&amp;CHAR(10),""),IF(I317&gt;I319," * Newly Tested Positives "&amp;$H$20&amp;" "&amp;$I$21&amp;" is more than Total Positive Clients newly started on ART"&amp;CHAR(10),""),IF(J317&gt;J319," * Newly Tested Positives "&amp;$J$20&amp;" "&amp;$J$21&amp;" is more than Total Positive Clients newly started on ART"&amp;CHAR(10),""),IF(K317&gt;K319," * Newly Tested Positives "&amp;$J$20&amp;" "&amp;$K$21&amp;" is more than Total Positive Clients newly started on ART"&amp;CHAR(10),""),IF(L317&gt;L319," * Newly Tested Positives "&amp;$L$20&amp;" "&amp;$L$21&amp;" is more than Total Positive Clients newly started on ART"&amp;CHAR(10),""),IF(M317&gt;M319," * Newly Tested Positives "&amp;$L$20&amp;" "&amp;$M$21&amp;" is more than Total Positive Clients newly started on ART"&amp;CHAR(10),""),IF(N317&gt;N319," * Newly Tested Positives "&amp;$N$20&amp;" "&amp;$N$21&amp;" is more than Total Positive Clients newly started on ART"&amp;CHAR(10),""),IF(O317&gt;O319," * Newly Tested Positives "&amp;$N$20&amp;" "&amp;$O$21&amp;" is more than Total Positive Clients newly started on ART"&amp;CHAR(10),""),IF(P317&gt;P319," * Newly Tested Positives "&amp;$P$20&amp;" "&amp;$P$21&amp;" is more than Total Positive Clients newly started on ART"&amp;CHAR(10),""),IF(Q317&gt;Q319," * Newly Tested Positives "&amp;$P$20&amp;" "&amp;$Q$21&amp;" is more than Total Positive Clients newly started on ART"&amp;CHAR(10),""),IF(R317&gt;R319," * Newly Tested Positives "&amp;$R$20&amp;" "&amp;$R$21&amp;" is more than Total Positive Clients newly started on ART"&amp;CHAR(10),""),IF(S317&gt;S319," * Newly Tested Positives "&amp;$R$20&amp;" "&amp;$S$21&amp;" is more than Total Positive Clients newly started on ART"&amp;CHAR(10),""),IF(T317&gt;T319," * Newly Tested Positives "&amp;$T$20&amp;" "&amp;$T$21&amp;" is more than Total Positive Clients newly started on ART"&amp;CHAR(10),""),IF(U317&gt;U319," * Newly Tested Positives "&amp;$T$20&amp;" "&amp;$U$21&amp;" is more than Total Positive Clients newly started on ART"&amp;CHAR(10),""),IF(V317&gt;V319," * Newly Tested Positives "&amp;$V$20&amp;" "&amp;$V$21&amp;" is more than Total Positive Clients newly started on ART"&amp;CHAR(10),""),IF(W317&gt;W319," * Newly Tested Positives "&amp;$V$20&amp;" "&amp;$W$21&amp;" is more than Total Positive Clients newly started on ART"&amp;CHAR(10),""),IF(X317&gt;X319," * Newly Tested Positives "&amp;$X$20&amp;" "&amp;$X$21&amp;" is more than Total Positive Clients newly started on ART"&amp;CHAR(10),""),IF(Y317&gt;Y319," * Newly Tested Positives "&amp;$X$20&amp;" "&amp;$Y$21&amp;" is more than Total Positive Clients newly started on ART"&amp;CHAR(10),""),IF(Z317&gt;Z319," * Newly Tested Positives "&amp;$Z$20&amp;" "&amp;$Z$21&amp;" is more than Total Positive Clients newly started on ART"&amp;CHAR(10),""),IF(AA317&gt;AA319," * Newly Tested Positives "&amp;$Z$20&amp;" "&amp;$AA$21&amp;" is more than Total Positive Clients newly started on ART"&amp;CHAR(10),""))</f>
        <v/>
      </c>
      <c r="AF319" s="686"/>
      <c r="AG319" s="479">
        <v>318</v>
      </c>
    </row>
    <row r="320" spans="1:34" ht="61.75" x14ac:dyDescent="0.85">
      <c r="A320" s="553"/>
      <c r="B320" s="492" t="s">
        <v>550</v>
      </c>
      <c r="C320" s="146" t="s">
        <v>547</v>
      </c>
      <c r="D320" s="191"/>
      <c r="E320" s="22"/>
      <c r="F320" s="19"/>
      <c r="G320" s="232"/>
      <c r="H320" s="232"/>
      <c r="I320" s="232"/>
      <c r="J320" s="232"/>
      <c r="K320" s="232"/>
      <c r="L320" s="232"/>
      <c r="M320" s="232"/>
      <c r="N320" s="232"/>
      <c r="O320" s="232"/>
      <c r="P320" s="232"/>
      <c r="Q320" s="232"/>
      <c r="R320" s="232"/>
      <c r="S320" s="232"/>
      <c r="T320" s="232"/>
      <c r="U320" s="232"/>
      <c r="V320" s="232"/>
      <c r="W320" s="232"/>
      <c r="X320" s="232"/>
      <c r="Y320" s="232"/>
      <c r="Z320" s="232"/>
      <c r="AA320" s="232"/>
      <c r="AB320" s="37">
        <f t="shared" si="122"/>
        <v>0</v>
      </c>
      <c r="AC320" s="82" t="str">
        <f>CONCATENATE(IF(D313&lt;&gt;D320," * TB Cases Already on ART at entry in TB clinic "&amp;$D$20&amp;" "&amp;$D$21&amp;" is Not equal to  TB cases with known HIV +ve status"&amp;CHAR(10),""),IF(E313&lt;&gt;E320," * TB Cases Already on ART at entry in TB clinic "&amp;$D$20&amp;" "&amp;$E$21&amp;" is Not equal to  TB cases with known HIV +ve status"&amp;CHAR(10),""),IF(F313&lt;&gt;F320," * TB Cases Already on ART at entry in TB clinic "&amp;$F$20&amp;" "&amp;$F$21&amp;" is Not equal to  TB cases with known HIV +ve status"&amp;CHAR(10),""),IF(G313&lt;&gt;G320," * TB Cases Already on ART at entry in TB clinic "&amp;$F$20&amp;" "&amp;$G$21&amp;" is Not equal to  TB cases with known HIV +ve status"&amp;CHAR(10),""),IF(H313&lt;&gt;H320," * TB Cases Already on ART at entry in TB clinic "&amp;$H$20&amp;" "&amp;$H$21&amp;" is Not equal to  TB cases with known HIV +ve status"&amp;CHAR(10),""),IF(I313&lt;&gt;I320," * TB Cases Already on ART at entry in TB clinic "&amp;$H$20&amp;" "&amp;$I$21&amp;" is Not equal to  TB cases with known HIV +ve status"&amp;CHAR(10),""),IF(J313&lt;&gt;J320," * TB Cases Already on ART at entry in TB clinic "&amp;$J$20&amp;" "&amp;$J$21&amp;" is Not equal to  TB cases with known HIV +ve status"&amp;CHAR(10),""),IF(K313&lt;&gt;K320," * TB Cases Already on ART at entry in TB clinic "&amp;$J$20&amp;" "&amp;$K$21&amp;" is Not equal to  TB cases with known HIV +ve status"&amp;CHAR(10),""),IF(L313&lt;&gt;L320," * TB Cases Already on ART at entry in TB clinic "&amp;$L$20&amp;" "&amp;$L$21&amp;" is Not equal to  TB cases with known HIV +ve status"&amp;CHAR(10),""),IF(M313&lt;&gt;M320," * TB Cases Already on ART at entry in TB clinic "&amp;$L$20&amp;" "&amp;$M$21&amp;" is Not equal to  TB cases with known HIV +ve status"&amp;CHAR(10),""),IF(N313&lt;&gt;N320," * TB Cases Already on ART at entry in TB clinic "&amp;$N$20&amp;" "&amp;$N$21&amp;" is Not equal to  TB cases with known HIV +ve status"&amp;CHAR(10),""),IF(O313&lt;&gt;O320," * TB Cases Already on ART at entry in TB clinic "&amp;$N$20&amp;" "&amp;$O$21&amp;" is Not equal to  TB cases with known HIV +ve status"&amp;CHAR(10),""),IF(P313&lt;&gt;P320," * TB Cases Already on ART at entry in TB clinic "&amp;$P$20&amp;" "&amp;$P$21&amp;" is Not equal to  TB cases with known HIV +ve status"&amp;CHAR(10),""),IF(Q313&lt;&gt;Q320," * TB Cases Already on ART at entry in TB clinic "&amp;$P$20&amp;" "&amp;$Q$21&amp;" is Not equal to  TB cases with known HIV +ve status"&amp;CHAR(10),""),IF(R313&lt;&gt;R320," * TB Cases Already on ART at entry in TB clinic "&amp;$R$20&amp;" "&amp;$R$21&amp;" is Not equal to  TB cases with known HIV +ve status"&amp;CHAR(10),""),IF(S313&lt;&gt;S320," * TB Cases Already on ART at entry in TB clinic "&amp;$R$20&amp;" "&amp;$S$21&amp;" is Not equal to  TB cases with known HIV +ve status"&amp;CHAR(10),""),IF(T313&lt;&gt;T320," * TB Cases Already on ART at entry in TB clinic "&amp;$T$20&amp;" "&amp;$T$21&amp;" is Not equal to  TB cases with known HIV +ve status"&amp;CHAR(10),""),IF(U313&lt;&gt;U320," * TB Cases Already on ART at entry in TB clinic "&amp;$T$20&amp;" "&amp;$U$21&amp;" is Not equal to  TB cases with known HIV +ve status"&amp;CHAR(10),""),IF(V313&lt;&gt;V320," * TB Cases Already on ART at entry in TB clinic "&amp;$V$20&amp;" "&amp;$V$21&amp;" is Not equal to  TB cases with known HIV +ve status"&amp;CHAR(10),""),IF(W313&lt;&gt;W320," * TB Cases Already on ART at entry in TB clinic "&amp;$V$20&amp;" "&amp;$W$21&amp;" is Not equal to  TB cases with known HIV +ve status"&amp;CHAR(10),""),IF(X313&lt;&gt;X320," * TB Cases Already on ART at entry in TB clinic "&amp;$X$20&amp;" "&amp;$X$21&amp;" is Not equal to  TB cases with known HIV +ve status"&amp;CHAR(10),""),IF(Y313&lt;&gt;Y320," * TB Cases Already on ART at entry in TB clinic "&amp;$X$20&amp;" "&amp;$Y$21&amp;" is Not equal to  TB cases with known HIV +ve status"&amp;CHAR(10),""),IF(Z313&lt;&gt;Z320," * TB Cases Already on ART at entry in TB clinic "&amp;$Z$20&amp;" "&amp;$Z$21&amp;" is Not equal to  TB cases with known HIV +ve status"&amp;CHAR(10),""),IF(AA313&lt;&gt;AA320," * TB Cases Already on ART at entry in TB clinic "&amp;$Z$20&amp;" "&amp;$AA$21&amp;" is Not equal to  TB cases with known HIV +ve status"&amp;CHAR(10),""))</f>
        <v/>
      </c>
      <c r="AD320" s="683"/>
      <c r="AE320" s="83"/>
      <c r="AF320" s="686"/>
      <c r="AG320" s="479">
        <v>319</v>
      </c>
    </row>
    <row r="321" spans="1:34" ht="32.15" thickBot="1" x14ac:dyDescent="0.9">
      <c r="A321" s="554"/>
      <c r="B321" s="493" t="s">
        <v>556</v>
      </c>
      <c r="C321" s="147" t="s">
        <v>555</v>
      </c>
      <c r="D321" s="116"/>
      <c r="E321" s="81"/>
      <c r="F321" s="78">
        <f t="shared" ref="F321:AA321" si="126">F320+F319</f>
        <v>0</v>
      </c>
      <c r="G321" s="78">
        <f t="shared" si="126"/>
        <v>0</v>
      </c>
      <c r="H321" s="78">
        <f t="shared" si="126"/>
        <v>0</v>
      </c>
      <c r="I321" s="78">
        <f t="shared" si="126"/>
        <v>0</v>
      </c>
      <c r="J321" s="78">
        <f t="shared" si="126"/>
        <v>0</v>
      </c>
      <c r="K321" s="78">
        <f t="shared" si="126"/>
        <v>0</v>
      </c>
      <c r="L321" s="78">
        <f t="shared" si="126"/>
        <v>0</v>
      </c>
      <c r="M321" s="78">
        <f t="shared" si="126"/>
        <v>0</v>
      </c>
      <c r="N321" s="78">
        <f t="shared" si="126"/>
        <v>0</v>
      </c>
      <c r="O321" s="78">
        <f t="shared" si="126"/>
        <v>0</v>
      </c>
      <c r="P321" s="78">
        <f t="shared" si="126"/>
        <v>0</v>
      </c>
      <c r="Q321" s="78">
        <f t="shared" si="126"/>
        <v>0</v>
      </c>
      <c r="R321" s="78">
        <f t="shared" si="126"/>
        <v>0</v>
      </c>
      <c r="S321" s="78">
        <f t="shared" si="126"/>
        <v>0</v>
      </c>
      <c r="T321" s="78">
        <f t="shared" si="126"/>
        <v>0</v>
      </c>
      <c r="U321" s="78">
        <f t="shared" si="126"/>
        <v>0</v>
      </c>
      <c r="V321" s="78">
        <f t="shared" si="126"/>
        <v>0</v>
      </c>
      <c r="W321" s="78">
        <f t="shared" si="126"/>
        <v>0</v>
      </c>
      <c r="X321" s="78">
        <f t="shared" si="126"/>
        <v>0</v>
      </c>
      <c r="Y321" s="78">
        <f t="shared" si="126"/>
        <v>0</v>
      </c>
      <c r="Z321" s="78">
        <f t="shared" si="126"/>
        <v>0</v>
      </c>
      <c r="AA321" s="78">
        <f t="shared" si="126"/>
        <v>0</v>
      </c>
      <c r="AB321" s="40">
        <f t="shared" si="122"/>
        <v>0</v>
      </c>
      <c r="AC321" s="82" t="str">
        <f>CONCATENATE(IF(D316&lt;D321," * HIV coinfected clients started on ART "&amp;$D$20&amp;" "&amp;$D$21&amp;" is more than TB cases with documented HIV status"&amp;CHAR(10),""),IF(E316&lt;E321," * HIV coinfected clients started on ART "&amp;$D$20&amp;" "&amp;$E$21&amp;" is more than TB cases with documented HIV status"&amp;CHAR(10),""),IF(F316&lt;F321," * HIV coinfected clients started on ART "&amp;$F$20&amp;" "&amp;$F$21&amp;" is more than TB cases with documented HIV status"&amp;CHAR(10),""),IF(G316&lt;G321," * HIV coinfected clients started on ART "&amp;$F$20&amp;" "&amp;$G$21&amp;" is more than TB cases with documented HIV status"&amp;CHAR(10),""),IF(H316&lt;H321," * HIV coinfected clients started on ART "&amp;$H$20&amp;" "&amp;$H$21&amp;" is more than TB cases with documented HIV status"&amp;CHAR(10),""),IF(I316&lt;I321," * HIV coinfected clients started on ART "&amp;$H$20&amp;" "&amp;$I$21&amp;" is more than TB cases with documented HIV status"&amp;CHAR(10),""),IF(J316&lt;J321," * HIV coinfected clients started on ART "&amp;$J$20&amp;" "&amp;$J$21&amp;" is more than TB cases with documented HIV status"&amp;CHAR(10),""),IF(K316&lt;K321," * HIV coinfected clients started on ART "&amp;$J$20&amp;" "&amp;$K$21&amp;" is more than TB cases with documented HIV status"&amp;CHAR(10),""),IF(L316&lt;L321," * HIV coinfected clients started on ART "&amp;$L$20&amp;" "&amp;$L$21&amp;" is more than TB cases with documented HIV status"&amp;CHAR(10),""),IF(M316&lt;M321," * HIV coinfected clients started on ART "&amp;$L$20&amp;" "&amp;$M$21&amp;" is more than TB cases with documented HIV status"&amp;CHAR(10),""),IF(N316&lt;N321," * HIV coinfected clients started on ART "&amp;$N$20&amp;" "&amp;$N$21&amp;" is more than TB cases with documented HIV status"&amp;CHAR(10),""),IF(O316&lt;O321," * HIV coinfected clients started on ART "&amp;$N$20&amp;" "&amp;$O$21&amp;" is more than TB cases with documented HIV status"&amp;CHAR(10),""),IF(P316&lt;P321," * HIV coinfected clients started on ART "&amp;$P$20&amp;" "&amp;$P$21&amp;" is more than TB cases with documented HIV status"&amp;CHAR(10),""),IF(Q316&lt;Q321," * HIV coinfected clients started on ART "&amp;$P$20&amp;" "&amp;$Q$21&amp;" is more than TB cases with documented HIV status"&amp;CHAR(10),""),IF(R316&lt;R321," * HIV coinfected clients started on ART "&amp;$R$20&amp;" "&amp;$R$21&amp;" is more than TB cases with documented HIV status"&amp;CHAR(10),""),IF(S316&lt;S321," * HIV coinfected clients started on ART "&amp;$R$20&amp;" "&amp;$S$21&amp;" is more than TB cases with documented HIV status"&amp;CHAR(10),""),IF(T316&lt;T321," * HIV coinfected clients started on ART "&amp;$T$20&amp;" "&amp;$T$21&amp;" is more than TB cases with documented HIV status"&amp;CHAR(10),""),IF(U316&lt;U321," * HIV coinfected clients started on ART "&amp;$T$20&amp;" "&amp;$U$21&amp;" is more than TB cases with documented HIV status"&amp;CHAR(10),""),IF(V316&lt;V321," * HIV coinfected clients started on ART "&amp;$V$20&amp;" "&amp;$V$21&amp;" is more than TB cases with documented HIV status"&amp;CHAR(10),""),IF(W316&lt;W321," * HIV coinfected clients started on ART "&amp;$V$20&amp;" "&amp;$W$21&amp;" is more than TB cases with documented HIV status"&amp;CHAR(10),""),IF(X316&lt;X321," * HIV coinfected clients started on ART "&amp;$X$20&amp;" "&amp;$X$21&amp;" is more than TB cases with documented HIV status"&amp;CHAR(10),""),IF(Y316&lt;Y321," * HIV coinfected clients started on ART "&amp;$X$20&amp;" "&amp;$Y$21&amp;" is more than TB cases with documented HIV status"&amp;CHAR(10),""),IF(Z316&lt;Z321," * HIV coinfected clients started on ART "&amp;$Z$20&amp;" "&amp;$Z$21&amp;" is more than TB cases with documented HIV status"&amp;CHAR(10),""),IF(AA316&lt;AA321," * HIV coinfected clients started on ART "&amp;$Z$20&amp;" "&amp;$AA$21&amp;" is more than TB cases with documented HIV status"&amp;CHAR(10),""))</f>
        <v/>
      </c>
      <c r="AD321" s="684"/>
      <c r="AE321" s="83"/>
      <c r="AF321" s="687"/>
      <c r="AG321" s="479">
        <v>320</v>
      </c>
    </row>
    <row r="322" spans="1:34" ht="63" customHeight="1" thickBot="1" x14ac:dyDescent="1">
      <c r="A322" s="501" t="s">
        <v>470</v>
      </c>
      <c r="B322" s="265"/>
      <c r="F322" s="3"/>
      <c r="G322" s="3"/>
      <c r="I322" s="3"/>
      <c r="J322" s="3"/>
      <c r="M322" s="3"/>
      <c r="N322" s="3"/>
      <c r="O322" s="3"/>
      <c r="Q322" s="3"/>
      <c r="X322" s="3"/>
    </row>
    <row r="324" spans="1:34" ht="32.15" thickBot="1" x14ac:dyDescent="1">
      <c r="A324" s="495"/>
      <c r="B324" s="228"/>
      <c r="E324" s="3"/>
      <c r="F324" s="3"/>
      <c r="G324" s="3"/>
      <c r="H324" s="3"/>
      <c r="I324" s="3"/>
      <c r="J324" s="3"/>
      <c r="K324" s="3"/>
      <c r="L324" s="3"/>
      <c r="M324" s="3"/>
    </row>
    <row r="325" spans="1:34" s="506" customFormat="1" ht="41.25" customHeight="1" thickBot="1" x14ac:dyDescent="0.45">
      <c r="A325" s="735" t="s">
        <v>1043</v>
      </c>
      <c r="B325" s="736"/>
      <c r="C325" s="736"/>
      <c r="D325" s="736"/>
      <c r="E325" s="736"/>
      <c r="F325" s="736"/>
      <c r="G325" s="736"/>
      <c r="H325" s="736"/>
      <c r="I325" s="736"/>
      <c r="J325" s="736"/>
      <c r="K325" s="736"/>
      <c r="L325" s="736"/>
      <c r="M325" s="737" t="s">
        <v>1040</v>
      </c>
      <c r="N325" s="736"/>
      <c r="O325" s="736"/>
      <c r="P325" s="736"/>
      <c r="Q325" s="736"/>
      <c r="R325" s="736"/>
      <c r="S325" s="736"/>
      <c r="T325" s="736"/>
      <c r="U325" s="736"/>
      <c r="V325" s="736"/>
      <c r="W325" s="736"/>
      <c r="X325" s="736"/>
      <c r="Y325" s="736"/>
      <c r="Z325" s="736"/>
      <c r="AA325" s="736"/>
      <c r="AB325" s="736"/>
      <c r="AC325" s="736"/>
      <c r="AD325" s="736"/>
      <c r="AE325" s="736"/>
      <c r="AF325" s="738"/>
      <c r="AG325" s="505"/>
      <c r="AH325" s="505"/>
    </row>
    <row r="326" spans="1:34" ht="30.75" customHeight="1" x14ac:dyDescent="0.85">
      <c r="A326" s="726" t="str">
        <f>CONCATENATE(AD312,AD292,AD281,AD267,AD243,AD226,AD214,AD192,AD174,AD165,AD156,AD147,AD138,AD114,AD99,AD62,AD54,AD22,AD8)</f>
        <v/>
      </c>
      <c r="B326" s="727"/>
      <c r="C326" s="727"/>
      <c r="D326" s="727"/>
      <c r="E326" s="727"/>
      <c r="F326" s="727"/>
      <c r="G326" s="727"/>
      <c r="H326" s="727"/>
      <c r="I326" s="727"/>
      <c r="J326" s="727"/>
      <c r="K326" s="727"/>
      <c r="L326" s="728"/>
      <c r="M326" s="739" t="str">
        <f>IF(LEN(A326)&lt;=0,"","Please ensure you solve the errors appearing on the left . However, In the cases where the errors are valid and can be explained ( We expect this to be very rare cases), Please delete this message and type the  justification for the error here)")</f>
        <v/>
      </c>
      <c r="N326" s="740"/>
      <c r="O326" s="740"/>
      <c r="P326" s="740"/>
      <c r="Q326" s="740"/>
      <c r="R326" s="740"/>
      <c r="S326" s="740"/>
      <c r="T326" s="740"/>
      <c r="U326" s="740"/>
      <c r="V326" s="740"/>
      <c r="W326" s="740"/>
      <c r="X326" s="740"/>
      <c r="Y326" s="740"/>
      <c r="Z326" s="740"/>
      <c r="AA326" s="740"/>
      <c r="AB326" s="740"/>
      <c r="AC326" s="740"/>
      <c r="AD326" s="740"/>
      <c r="AE326" s="740"/>
      <c r="AF326" s="741"/>
    </row>
    <row r="327" spans="1:34" ht="25.5" customHeight="1" x14ac:dyDescent="0.85">
      <c r="A327" s="729"/>
      <c r="B327" s="730"/>
      <c r="C327" s="730"/>
      <c r="D327" s="730"/>
      <c r="E327" s="730"/>
      <c r="F327" s="730"/>
      <c r="G327" s="730"/>
      <c r="H327" s="730"/>
      <c r="I327" s="730"/>
      <c r="J327" s="730"/>
      <c r="K327" s="730"/>
      <c r="L327" s="731"/>
      <c r="M327" s="742"/>
      <c r="N327" s="743"/>
      <c r="O327" s="743"/>
      <c r="P327" s="743"/>
      <c r="Q327" s="743"/>
      <c r="R327" s="743"/>
      <c r="S327" s="743"/>
      <c r="T327" s="743"/>
      <c r="U327" s="743"/>
      <c r="V327" s="743"/>
      <c r="W327" s="743"/>
      <c r="X327" s="743"/>
      <c r="Y327" s="743"/>
      <c r="Z327" s="743"/>
      <c r="AA327" s="743"/>
      <c r="AB327" s="743"/>
      <c r="AC327" s="743"/>
      <c r="AD327" s="743"/>
      <c r="AE327" s="743"/>
      <c r="AF327" s="744"/>
    </row>
    <row r="328" spans="1:34" ht="30.75" customHeight="1" x14ac:dyDescent="0.85">
      <c r="A328" s="729"/>
      <c r="B328" s="730"/>
      <c r="C328" s="730"/>
      <c r="D328" s="730"/>
      <c r="E328" s="730"/>
      <c r="F328" s="730"/>
      <c r="G328" s="730"/>
      <c r="H328" s="730"/>
      <c r="I328" s="730"/>
      <c r="J328" s="730"/>
      <c r="K328" s="730"/>
      <c r="L328" s="731"/>
      <c r="M328" s="742"/>
      <c r="N328" s="743"/>
      <c r="O328" s="743"/>
      <c r="P328" s="743"/>
      <c r="Q328" s="743"/>
      <c r="R328" s="743"/>
      <c r="S328" s="743"/>
      <c r="T328" s="743"/>
      <c r="U328" s="743"/>
      <c r="V328" s="743"/>
      <c r="W328" s="743"/>
      <c r="X328" s="743"/>
      <c r="Y328" s="743"/>
      <c r="Z328" s="743"/>
      <c r="AA328" s="743"/>
      <c r="AB328" s="743"/>
      <c r="AC328" s="743"/>
      <c r="AD328" s="743"/>
      <c r="AE328" s="743"/>
      <c r="AF328" s="744"/>
    </row>
    <row r="329" spans="1:34" ht="25.5" customHeight="1" x14ac:dyDescent="0.85">
      <c r="A329" s="729"/>
      <c r="B329" s="730"/>
      <c r="C329" s="730"/>
      <c r="D329" s="730"/>
      <c r="E329" s="730"/>
      <c r="F329" s="730"/>
      <c r="G329" s="730"/>
      <c r="H329" s="730"/>
      <c r="I329" s="730"/>
      <c r="J329" s="730"/>
      <c r="K329" s="730"/>
      <c r="L329" s="731"/>
      <c r="M329" s="742"/>
      <c r="N329" s="743"/>
      <c r="O329" s="743"/>
      <c r="P329" s="743"/>
      <c r="Q329" s="743"/>
      <c r="R329" s="743"/>
      <c r="S329" s="743"/>
      <c r="T329" s="743"/>
      <c r="U329" s="743"/>
      <c r="V329" s="743"/>
      <c r="W329" s="743"/>
      <c r="X329" s="743"/>
      <c r="Y329" s="743"/>
      <c r="Z329" s="743"/>
      <c r="AA329" s="743"/>
      <c r="AB329" s="743"/>
      <c r="AC329" s="743"/>
      <c r="AD329" s="743"/>
      <c r="AE329" s="743"/>
      <c r="AF329" s="744"/>
    </row>
    <row r="330" spans="1:34" ht="25.5" customHeight="1" x14ac:dyDescent="0.85">
      <c r="A330" s="729"/>
      <c r="B330" s="730"/>
      <c r="C330" s="730"/>
      <c r="D330" s="730"/>
      <c r="E330" s="730"/>
      <c r="F330" s="730"/>
      <c r="G330" s="730"/>
      <c r="H330" s="730"/>
      <c r="I330" s="730"/>
      <c r="J330" s="730"/>
      <c r="K330" s="730"/>
      <c r="L330" s="731"/>
      <c r="M330" s="742"/>
      <c r="N330" s="743"/>
      <c r="O330" s="743"/>
      <c r="P330" s="743"/>
      <c r="Q330" s="743"/>
      <c r="R330" s="743"/>
      <c r="S330" s="743"/>
      <c r="T330" s="743"/>
      <c r="U330" s="743"/>
      <c r="V330" s="743"/>
      <c r="W330" s="743"/>
      <c r="X330" s="743"/>
      <c r="Y330" s="743"/>
      <c r="Z330" s="743"/>
      <c r="AA330" s="743"/>
      <c r="AB330" s="743"/>
      <c r="AC330" s="743"/>
      <c r="AD330" s="743"/>
      <c r="AE330" s="743"/>
      <c r="AF330" s="744"/>
    </row>
    <row r="331" spans="1:34" ht="25.5" customHeight="1" x14ac:dyDescent="0.85">
      <c r="A331" s="729"/>
      <c r="B331" s="730"/>
      <c r="C331" s="730"/>
      <c r="D331" s="730"/>
      <c r="E331" s="730"/>
      <c r="F331" s="730"/>
      <c r="G331" s="730"/>
      <c r="H331" s="730"/>
      <c r="I331" s="730"/>
      <c r="J331" s="730"/>
      <c r="K331" s="730"/>
      <c r="L331" s="731"/>
      <c r="M331" s="742"/>
      <c r="N331" s="743"/>
      <c r="O331" s="743"/>
      <c r="P331" s="743"/>
      <c r="Q331" s="743"/>
      <c r="R331" s="743"/>
      <c r="S331" s="743"/>
      <c r="T331" s="743"/>
      <c r="U331" s="743"/>
      <c r="V331" s="743"/>
      <c r="W331" s="743"/>
      <c r="X331" s="743"/>
      <c r="Y331" s="743"/>
      <c r="Z331" s="743"/>
      <c r="AA331" s="743"/>
      <c r="AB331" s="743"/>
      <c r="AC331" s="743"/>
      <c r="AD331" s="743"/>
      <c r="AE331" s="743"/>
      <c r="AF331" s="744"/>
    </row>
    <row r="332" spans="1:34" ht="25.5" customHeight="1" x14ac:dyDescent="0.85">
      <c r="A332" s="729"/>
      <c r="B332" s="730"/>
      <c r="C332" s="730"/>
      <c r="D332" s="730"/>
      <c r="E332" s="730"/>
      <c r="F332" s="730"/>
      <c r="G332" s="730"/>
      <c r="H332" s="730"/>
      <c r="I332" s="730"/>
      <c r="J332" s="730"/>
      <c r="K332" s="730"/>
      <c r="L332" s="731"/>
      <c r="M332" s="742"/>
      <c r="N332" s="743"/>
      <c r="O332" s="743"/>
      <c r="P332" s="743"/>
      <c r="Q332" s="743"/>
      <c r="R332" s="743"/>
      <c r="S332" s="743"/>
      <c r="T332" s="743"/>
      <c r="U332" s="743"/>
      <c r="V332" s="743"/>
      <c r="W332" s="743"/>
      <c r="X332" s="743"/>
      <c r="Y332" s="743"/>
      <c r="Z332" s="743"/>
      <c r="AA332" s="743"/>
      <c r="AB332" s="743"/>
      <c r="AC332" s="743"/>
      <c r="AD332" s="743"/>
      <c r="AE332" s="743"/>
      <c r="AF332" s="744"/>
    </row>
    <row r="333" spans="1:34" ht="25.5" customHeight="1" x14ac:dyDescent="0.85">
      <c r="A333" s="729"/>
      <c r="B333" s="730"/>
      <c r="C333" s="730"/>
      <c r="D333" s="730"/>
      <c r="E333" s="730"/>
      <c r="F333" s="730"/>
      <c r="G333" s="730"/>
      <c r="H333" s="730"/>
      <c r="I333" s="730"/>
      <c r="J333" s="730"/>
      <c r="K333" s="730"/>
      <c r="L333" s="731"/>
      <c r="M333" s="742"/>
      <c r="N333" s="743"/>
      <c r="O333" s="743"/>
      <c r="P333" s="743"/>
      <c r="Q333" s="743"/>
      <c r="R333" s="743"/>
      <c r="S333" s="743"/>
      <c r="T333" s="743"/>
      <c r="U333" s="743"/>
      <c r="V333" s="743"/>
      <c r="W333" s="743"/>
      <c r="X333" s="743"/>
      <c r="Y333" s="743"/>
      <c r="Z333" s="743"/>
      <c r="AA333" s="743"/>
      <c r="AB333" s="743"/>
      <c r="AC333" s="743"/>
      <c r="AD333" s="743"/>
      <c r="AE333" s="743"/>
      <c r="AF333" s="744"/>
    </row>
    <row r="334" spans="1:34" ht="25.5" customHeight="1" x14ac:dyDescent="0.85">
      <c r="A334" s="729"/>
      <c r="B334" s="730"/>
      <c r="C334" s="730"/>
      <c r="D334" s="730"/>
      <c r="E334" s="730"/>
      <c r="F334" s="730"/>
      <c r="G334" s="730"/>
      <c r="H334" s="730"/>
      <c r="I334" s="730"/>
      <c r="J334" s="730"/>
      <c r="K334" s="730"/>
      <c r="L334" s="731"/>
      <c r="M334" s="742"/>
      <c r="N334" s="743"/>
      <c r="O334" s="743"/>
      <c r="P334" s="743"/>
      <c r="Q334" s="743"/>
      <c r="R334" s="743"/>
      <c r="S334" s="743"/>
      <c r="T334" s="743"/>
      <c r="U334" s="743"/>
      <c r="V334" s="743"/>
      <c r="W334" s="743"/>
      <c r="X334" s="743"/>
      <c r="Y334" s="743"/>
      <c r="Z334" s="743"/>
      <c r="AA334" s="743"/>
      <c r="AB334" s="743"/>
      <c r="AC334" s="743"/>
      <c r="AD334" s="743"/>
      <c r="AE334" s="743"/>
      <c r="AF334" s="744"/>
    </row>
    <row r="335" spans="1:34" ht="25.5" customHeight="1" x14ac:dyDescent="0.85">
      <c r="A335" s="729"/>
      <c r="B335" s="730"/>
      <c r="C335" s="730"/>
      <c r="D335" s="730"/>
      <c r="E335" s="730"/>
      <c r="F335" s="730"/>
      <c r="G335" s="730"/>
      <c r="H335" s="730"/>
      <c r="I335" s="730"/>
      <c r="J335" s="730"/>
      <c r="K335" s="730"/>
      <c r="L335" s="731"/>
      <c r="M335" s="742"/>
      <c r="N335" s="743"/>
      <c r="O335" s="743"/>
      <c r="P335" s="743"/>
      <c r="Q335" s="743"/>
      <c r="R335" s="743"/>
      <c r="S335" s="743"/>
      <c r="T335" s="743"/>
      <c r="U335" s="743"/>
      <c r="V335" s="743"/>
      <c r="W335" s="743"/>
      <c r="X335" s="743"/>
      <c r="Y335" s="743"/>
      <c r="Z335" s="743"/>
      <c r="AA335" s="743"/>
      <c r="AB335" s="743"/>
      <c r="AC335" s="743"/>
      <c r="AD335" s="743"/>
      <c r="AE335" s="743"/>
      <c r="AF335" s="744"/>
    </row>
    <row r="336" spans="1:34" ht="25.5" customHeight="1" x14ac:dyDescent="0.85">
      <c r="A336" s="729"/>
      <c r="B336" s="730"/>
      <c r="C336" s="730"/>
      <c r="D336" s="730"/>
      <c r="E336" s="730"/>
      <c r="F336" s="730"/>
      <c r="G336" s="730"/>
      <c r="H336" s="730"/>
      <c r="I336" s="730"/>
      <c r="J336" s="730"/>
      <c r="K336" s="730"/>
      <c r="L336" s="731"/>
      <c r="M336" s="742"/>
      <c r="N336" s="743"/>
      <c r="O336" s="743"/>
      <c r="P336" s="743"/>
      <c r="Q336" s="743"/>
      <c r="R336" s="743"/>
      <c r="S336" s="743"/>
      <c r="T336" s="743"/>
      <c r="U336" s="743"/>
      <c r="V336" s="743"/>
      <c r="W336" s="743"/>
      <c r="X336" s="743"/>
      <c r="Y336" s="743"/>
      <c r="Z336" s="743"/>
      <c r="AA336" s="743"/>
      <c r="AB336" s="743"/>
      <c r="AC336" s="743"/>
      <c r="AD336" s="743"/>
      <c r="AE336" s="743"/>
      <c r="AF336" s="744"/>
    </row>
    <row r="337" spans="1:34" ht="25.5" customHeight="1" x14ac:dyDescent="0.85">
      <c r="A337" s="729"/>
      <c r="B337" s="730"/>
      <c r="C337" s="730"/>
      <c r="D337" s="730"/>
      <c r="E337" s="730"/>
      <c r="F337" s="730"/>
      <c r="G337" s="730"/>
      <c r="H337" s="730"/>
      <c r="I337" s="730"/>
      <c r="J337" s="730"/>
      <c r="K337" s="730"/>
      <c r="L337" s="731"/>
      <c r="M337" s="742"/>
      <c r="N337" s="743"/>
      <c r="O337" s="743"/>
      <c r="P337" s="743"/>
      <c r="Q337" s="743"/>
      <c r="R337" s="743"/>
      <c r="S337" s="743"/>
      <c r="T337" s="743"/>
      <c r="U337" s="743"/>
      <c r="V337" s="743"/>
      <c r="W337" s="743"/>
      <c r="X337" s="743"/>
      <c r="Y337" s="743"/>
      <c r="Z337" s="743"/>
      <c r="AA337" s="743"/>
      <c r="AB337" s="743"/>
      <c r="AC337" s="743"/>
      <c r="AD337" s="743"/>
      <c r="AE337" s="743"/>
      <c r="AF337" s="744"/>
    </row>
    <row r="338" spans="1:34" ht="25.5" customHeight="1" x14ac:dyDescent="0.85">
      <c r="A338" s="729"/>
      <c r="B338" s="730"/>
      <c r="C338" s="730"/>
      <c r="D338" s="730"/>
      <c r="E338" s="730"/>
      <c r="F338" s="730"/>
      <c r="G338" s="730"/>
      <c r="H338" s="730"/>
      <c r="I338" s="730"/>
      <c r="J338" s="730"/>
      <c r="K338" s="730"/>
      <c r="L338" s="731"/>
      <c r="M338" s="742"/>
      <c r="N338" s="743"/>
      <c r="O338" s="743"/>
      <c r="P338" s="743"/>
      <c r="Q338" s="743"/>
      <c r="R338" s="743"/>
      <c r="S338" s="743"/>
      <c r="T338" s="743"/>
      <c r="U338" s="743"/>
      <c r="V338" s="743"/>
      <c r="W338" s="743"/>
      <c r="X338" s="743"/>
      <c r="Y338" s="743"/>
      <c r="Z338" s="743"/>
      <c r="AA338" s="743"/>
      <c r="AB338" s="743"/>
      <c r="AC338" s="743"/>
      <c r="AD338" s="743"/>
      <c r="AE338" s="743"/>
      <c r="AF338" s="744"/>
    </row>
    <row r="339" spans="1:34" ht="25.5" customHeight="1" x14ac:dyDescent="0.85">
      <c r="A339" s="729"/>
      <c r="B339" s="730"/>
      <c r="C339" s="730"/>
      <c r="D339" s="730"/>
      <c r="E339" s="730"/>
      <c r="F339" s="730"/>
      <c r="G339" s="730"/>
      <c r="H339" s="730"/>
      <c r="I339" s="730"/>
      <c r="J339" s="730"/>
      <c r="K339" s="730"/>
      <c r="L339" s="731"/>
      <c r="M339" s="742"/>
      <c r="N339" s="743"/>
      <c r="O339" s="743"/>
      <c r="P339" s="743"/>
      <c r="Q339" s="743"/>
      <c r="R339" s="743"/>
      <c r="S339" s="743"/>
      <c r="T339" s="743"/>
      <c r="U339" s="743"/>
      <c r="V339" s="743"/>
      <c r="W339" s="743"/>
      <c r="X339" s="743"/>
      <c r="Y339" s="743"/>
      <c r="Z339" s="743"/>
      <c r="AA339" s="743"/>
      <c r="AB339" s="743"/>
      <c r="AC339" s="743"/>
      <c r="AD339" s="743"/>
      <c r="AE339" s="743"/>
      <c r="AF339" s="744"/>
    </row>
    <row r="340" spans="1:34" ht="25.5" customHeight="1" x14ac:dyDescent="0.85">
      <c r="A340" s="729"/>
      <c r="B340" s="730"/>
      <c r="C340" s="730"/>
      <c r="D340" s="730"/>
      <c r="E340" s="730"/>
      <c r="F340" s="730"/>
      <c r="G340" s="730"/>
      <c r="H340" s="730"/>
      <c r="I340" s="730"/>
      <c r="J340" s="730"/>
      <c r="K340" s="730"/>
      <c r="L340" s="731"/>
      <c r="M340" s="742"/>
      <c r="N340" s="743"/>
      <c r="O340" s="743"/>
      <c r="P340" s="743"/>
      <c r="Q340" s="743"/>
      <c r="R340" s="743"/>
      <c r="S340" s="743"/>
      <c r="T340" s="743"/>
      <c r="U340" s="743"/>
      <c r="V340" s="743"/>
      <c r="W340" s="743"/>
      <c r="X340" s="743"/>
      <c r="Y340" s="743"/>
      <c r="Z340" s="743"/>
      <c r="AA340" s="743"/>
      <c r="AB340" s="743"/>
      <c r="AC340" s="743"/>
      <c r="AD340" s="743"/>
      <c r="AE340" s="743"/>
      <c r="AF340" s="744"/>
    </row>
    <row r="341" spans="1:34" ht="25.5" customHeight="1" x14ac:dyDescent="0.85">
      <c r="A341" s="729"/>
      <c r="B341" s="730"/>
      <c r="C341" s="730"/>
      <c r="D341" s="730"/>
      <c r="E341" s="730"/>
      <c r="F341" s="730"/>
      <c r="G341" s="730"/>
      <c r="H341" s="730"/>
      <c r="I341" s="730"/>
      <c r="J341" s="730"/>
      <c r="K341" s="730"/>
      <c r="L341" s="731"/>
      <c r="M341" s="742"/>
      <c r="N341" s="743"/>
      <c r="O341" s="743"/>
      <c r="P341" s="743"/>
      <c r="Q341" s="743"/>
      <c r="R341" s="743"/>
      <c r="S341" s="743"/>
      <c r="T341" s="743"/>
      <c r="U341" s="743"/>
      <c r="V341" s="743"/>
      <c r="W341" s="743"/>
      <c r="X341" s="743"/>
      <c r="Y341" s="743"/>
      <c r="Z341" s="743"/>
      <c r="AA341" s="743"/>
      <c r="AB341" s="743"/>
      <c r="AC341" s="743"/>
      <c r="AD341" s="743"/>
      <c r="AE341" s="743"/>
      <c r="AF341" s="744"/>
    </row>
    <row r="342" spans="1:34" ht="25.5" customHeight="1" x14ac:dyDescent="0.85">
      <c r="A342" s="729"/>
      <c r="B342" s="730"/>
      <c r="C342" s="730"/>
      <c r="D342" s="730"/>
      <c r="E342" s="730"/>
      <c r="F342" s="730"/>
      <c r="G342" s="730"/>
      <c r="H342" s="730"/>
      <c r="I342" s="730"/>
      <c r="J342" s="730"/>
      <c r="K342" s="730"/>
      <c r="L342" s="731"/>
      <c r="M342" s="742"/>
      <c r="N342" s="743"/>
      <c r="O342" s="743"/>
      <c r="P342" s="743"/>
      <c r="Q342" s="743"/>
      <c r="R342" s="743"/>
      <c r="S342" s="743"/>
      <c r="T342" s="743"/>
      <c r="U342" s="743"/>
      <c r="V342" s="743"/>
      <c r="W342" s="743"/>
      <c r="X342" s="743"/>
      <c r="Y342" s="743"/>
      <c r="Z342" s="743"/>
      <c r="AA342" s="743"/>
      <c r="AB342" s="743"/>
      <c r="AC342" s="743"/>
      <c r="AD342" s="743"/>
      <c r="AE342" s="743"/>
      <c r="AF342" s="744"/>
    </row>
    <row r="343" spans="1:34" ht="25.5" customHeight="1" x14ac:dyDescent="0.85">
      <c r="A343" s="729"/>
      <c r="B343" s="730"/>
      <c r="C343" s="730"/>
      <c r="D343" s="730"/>
      <c r="E343" s="730"/>
      <c r="F343" s="730"/>
      <c r="G343" s="730"/>
      <c r="H343" s="730"/>
      <c r="I343" s="730"/>
      <c r="J343" s="730"/>
      <c r="K343" s="730"/>
      <c r="L343" s="731"/>
      <c r="M343" s="742"/>
      <c r="N343" s="743"/>
      <c r="O343" s="743"/>
      <c r="P343" s="743"/>
      <c r="Q343" s="743"/>
      <c r="R343" s="743"/>
      <c r="S343" s="743"/>
      <c r="T343" s="743"/>
      <c r="U343" s="743"/>
      <c r="V343" s="743"/>
      <c r="W343" s="743"/>
      <c r="X343" s="743"/>
      <c r="Y343" s="743"/>
      <c r="Z343" s="743"/>
      <c r="AA343" s="743"/>
      <c r="AB343" s="743"/>
      <c r="AC343" s="743"/>
      <c r="AD343" s="743"/>
      <c r="AE343" s="743"/>
      <c r="AF343" s="744"/>
    </row>
    <row r="344" spans="1:34" ht="25.5" customHeight="1" x14ac:dyDescent="0.85">
      <c r="A344" s="729"/>
      <c r="B344" s="730"/>
      <c r="C344" s="730"/>
      <c r="D344" s="730"/>
      <c r="E344" s="730"/>
      <c r="F344" s="730"/>
      <c r="G344" s="730"/>
      <c r="H344" s="730"/>
      <c r="I344" s="730"/>
      <c r="J344" s="730"/>
      <c r="K344" s="730"/>
      <c r="L344" s="731"/>
      <c r="M344" s="742"/>
      <c r="N344" s="743"/>
      <c r="O344" s="743"/>
      <c r="P344" s="743"/>
      <c r="Q344" s="743"/>
      <c r="R344" s="743"/>
      <c r="S344" s="743"/>
      <c r="T344" s="743"/>
      <c r="U344" s="743"/>
      <c r="V344" s="743"/>
      <c r="W344" s="743"/>
      <c r="X344" s="743"/>
      <c r="Y344" s="743"/>
      <c r="Z344" s="743"/>
      <c r="AA344" s="743"/>
      <c r="AB344" s="743"/>
      <c r="AC344" s="743"/>
      <c r="AD344" s="743"/>
      <c r="AE344" s="743"/>
      <c r="AF344" s="744"/>
    </row>
    <row r="345" spans="1:34" ht="25.5" customHeight="1" x14ac:dyDescent="0.85">
      <c r="A345" s="729"/>
      <c r="B345" s="730"/>
      <c r="C345" s="730"/>
      <c r="D345" s="730"/>
      <c r="E345" s="730"/>
      <c r="F345" s="730"/>
      <c r="G345" s="730"/>
      <c r="H345" s="730"/>
      <c r="I345" s="730"/>
      <c r="J345" s="730"/>
      <c r="K345" s="730"/>
      <c r="L345" s="731"/>
      <c r="M345" s="742"/>
      <c r="N345" s="743"/>
      <c r="O345" s="743"/>
      <c r="P345" s="743"/>
      <c r="Q345" s="743"/>
      <c r="R345" s="743"/>
      <c r="S345" s="743"/>
      <c r="T345" s="743"/>
      <c r="U345" s="743"/>
      <c r="V345" s="743"/>
      <c r="W345" s="743"/>
      <c r="X345" s="743"/>
      <c r="Y345" s="743"/>
      <c r="Z345" s="743"/>
      <c r="AA345" s="743"/>
      <c r="AB345" s="743"/>
      <c r="AC345" s="743"/>
      <c r="AD345" s="743"/>
      <c r="AE345" s="743"/>
      <c r="AF345" s="744"/>
    </row>
    <row r="346" spans="1:34" ht="26.25" customHeight="1" thickBot="1" x14ac:dyDescent="0.9">
      <c r="A346" s="732"/>
      <c r="B346" s="733"/>
      <c r="C346" s="733"/>
      <c r="D346" s="733"/>
      <c r="E346" s="733"/>
      <c r="F346" s="733"/>
      <c r="G346" s="733"/>
      <c r="H346" s="733"/>
      <c r="I346" s="733"/>
      <c r="J346" s="733"/>
      <c r="K346" s="733"/>
      <c r="L346" s="734"/>
      <c r="M346" s="745"/>
      <c r="N346" s="746"/>
      <c r="O346" s="746"/>
      <c r="P346" s="746"/>
      <c r="Q346" s="746"/>
      <c r="R346" s="746"/>
      <c r="S346" s="746"/>
      <c r="T346" s="746"/>
      <c r="U346" s="746"/>
      <c r="V346" s="746"/>
      <c r="W346" s="746"/>
      <c r="X346" s="746"/>
      <c r="Y346" s="746"/>
      <c r="Z346" s="746"/>
      <c r="AA346" s="746"/>
      <c r="AB346" s="746"/>
      <c r="AC346" s="746"/>
      <c r="AD346" s="746"/>
      <c r="AE346" s="746"/>
      <c r="AF346" s="747"/>
    </row>
    <row r="347" spans="1:34" s="504" customFormat="1" ht="41.25" customHeight="1" thickBot="1" x14ac:dyDescent="1.35">
      <c r="A347" s="721" t="s">
        <v>1039</v>
      </c>
      <c r="B347" s="722"/>
      <c r="C347" s="722"/>
      <c r="D347" s="722"/>
      <c r="E347" s="722"/>
      <c r="F347" s="722"/>
      <c r="G347" s="722"/>
      <c r="H347" s="722"/>
      <c r="I347" s="722"/>
      <c r="J347" s="722"/>
      <c r="K347" s="722"/>
      <c r="L347" s="723"/>
      <c r="M347" s="724" t="s">
        <v>1041</v>
      </c>
      <c r="N347" s="724"/>
      <c r="O347" s="724"/>
      <c r="P347" s="724"/>
      <c r="Q347" s="724"/>
      <c r="R347" s="724"/>
      <c r="S347" s="724"/>
      <c r="T347" s="724"/>
      <c r="U347" s="724"/>
      <c r="V347" s="724"/>
      <c r="W347" s="724"/>
      <c r="X347" s="724"/>
      <c r="Y347" s="724"/>
      <c r="Z347" s="724"/>
      <c r="AA347" s="724"/>
      <c r="AB347" s="724"/>
      <c r="AC347" s="724"/>
      <c r="AD347" s="724"/>
      <c r="AE347" s="724"/>
      <c r="AF347" s="725"/>
      <c r="AG347" s="503"/>
      <c r="AH347" s="503"/>
    </row>
    <row r="348" spans="1:34" ht="30.75" customHeight="1" x14ac:dyDescent="0.85">
      <c r="A348" s="703" t="str">
        <f>CONCATENATE(AF312,AF292,AF281,AF267,AF243,AF226,AF214,AF192,AF138,AF114,AF99,AF62,AF54,AF22,AF8)</f>
        <v/>
      </c>
      <c r="B348" s="704"/>
      <c r="C348" s="704"/>
      <c r="D348" s="704"/>
      <c r="E348" s="704"/>
      <c r="F348" s="704"/>
      <c r="G348" s="704"/>
      <c r="H348" s="704"/>
      <c r="I348" s="704"/>
      <c r="J348" s="704"/>
      <c r="K348" s="704"/>
      <c r="L348" s="705"/>
      <c r="M348" s="712"/>
      <c r="N348" s="713"/>
      <c r="O348" s="713"/>
      <c r="P348" s="713"/>
      <c r="Q348" s="713"/>
      <c r="R348" s="713"/>
      <c r="S348" s="713"/>
      <c r="T348" s="713"/>
      <c r="U348" s="713"/>
      <c r="V348" s="713"/>
      <c r="W348" s="713"/>
      <c r="X348" s="713"/>
      <c r="Y348" s="713"/>
      <c r="Z348" s="713"/>
      <c r="AA348" s="713"/>
      <c r="AB348" s="713"/>
      <c r="AC348" s="713"/>
      <c r="AD348" s="713"/>
      <c r="AE348" s="713"/>
      <c r="AF348" s="714"/>
    </row>
    <row r="349" spans="1:34" ht="30.75" customHeight="1" x14ac:dyDescent="0.85">
      <c r="A349" s="706"/>
      <c r="B349" s="707"/>
      <c r="C349" s="707"/>
      <c r="D349" s="707"/>
      <c r="E349" s="707"/>
      <c r="F349" s="707"/>
      <c r="G349" s="707"/>
      <c r="H349" s="707"/>
      <c r="I349" s="707"/>
      <c r="J349" s="707"/>
      <c r="K349" s="707"/>
      <c r="L349" s="708"/>
      <c r="M349" s="715"/>
      <c r="N349" s="716"/>
      <c r="O349" s="716"/>
      <c r="P349" s="716"/>
      <c r="Q349" s="716"/>
      <c r="R349" s="716"/>
      <c r="S349" s="716"/>
      <c r="T349" s="716"/>
      <c r="U349" s="716"/>
      <c r="V349" s="716"/>
      <c r="W349" s="716"/>
      <c r="X349" s="716"/>
      <c r="Y349" s="716"/>
      <c r="Z349" s="716"/>
      <c r="AA349" s="716"/>
      <c r="AB349" s="716"/>
      <c r="AC349" s="716"/>
      <c r="AD349" s="716"/>
      <c r="AE349" s="716"/>
      <c r="AF349" s="717"/>
    </row>
    <row r="350" spans="1:34" ht="30.75" customHeight="1" x14ac:dyDescent="0.85">
      <c r="A350" s="706"/>
      <c r="B350" s="707"/>
      <c r="C350" s="707"/>
      <c r="D350" s="707"/>
      <c r="E350" s="707"/>
      <c r="F350" s="707"/>
      <c r="G350" s="707"/>
      <c r="H350" s="707"/>
      <c r="I350" s="707"/>
      <c r="J350" s="707"/>
      <c r="K350" s="707"/>
      <c r="L350" s="708"/>
      <c r="M350" s="715"/>
      <c r="N350" s="716"/>
      <c r="O350" s="716"/>
      <c r="P350" s="716"/>
      <c r="Q350" s="716"/>
      <c r="R350" s="716"/>
      <c r="S350" s="716"/>
      <c r="T350" s="716"/>
      <c r="U350" s="716"/>
      <c r="V350" s="716"/>
      <c r="W350" s="716"/>
      <c r="X350" s="716"/>
      <c r="Y350" s="716"/>
      <c r="Z350" s="716"/>
      <c r="AA350" s="716"/>
      <c r="AB350" s="716"/>
      <c r="AC350" s="716"/>
      <c r="AD350" s="716"/>
      <c r="AE350" s="716"/>
      <c r="AF350" s="717"/>
    </row>
    <row r="351" spans="1:34" ht="30.75" customHeight="1" x14ac:dyDescent="0.85">
      <c r="A351" s="706"/>
      <c r="B351" s="707"/>
      <c r="C351" s="707"/>
      <c r="D351" s="707"/>
      <c r="E351" s="707"/>
      <c r="F351" s="707"/>
      <c r="G351" s="707"/>
      <c r="H351" s="707"/>
      <c r="I351" s="707"/>
      <c r="J351" s="707"/>
      <c r="K351" s="707"/>
      <c r="L351" s="708"/>
      <c r="M351" s="715"/>
      <c r="N351" s="716"/>
      <c r="O351" s="716"/>
      <c r="P351" s="716"/>
      <c r="Q351" s="716"/>
      <c r="R351" s="716"/>
      <c r="S351" s="716"/>
      <c r="T351" s="716"/>
      <c r="U351" s="716"/>
      <c r="V351" s="716"/>
      <c r="W351" s="716"/>
      <c r="X351" s="716"/>
      <c r="Y351" s="716"/>
      <c r="Z351" s="716"/>
      <c r="AA351" s="716"/>
      <c r="AB351" s="716"/>
      <c r="AC351" s="716"/>
      <c r="AD351" s="716"/>
      <c r="AE351" s="716"/>
      <c r="AF351" s="717"/>
    </row>
    <row r="352" spans="1:34" ht="30.75" customHeight="1" x14ac:dyDescent="0.85">
      <c r="A352" s="706"/>
      <c r="B352" s="707"/>
      <c r="C352" s="707"/>
      <c r="D352" s="707"/>
      <c r="E352" s="707"/>
      <c r="F352" s="707"/>
      <c r="G352" s="707"/>
      <c r="H352" s="707"/>
      <c r="I352" s="707"/>
      <c r="J352" s="707"/>
      <c r="K352" s="707"/>
      <c r="L352" s="708"/>
      <c r="M352" s="715"/>
      <c r="N352" s="716"/>
      <c r="O352" s="716"/>
      <c r="P352" s="716"/>
      <c r="Q352" s="716"/>
      <c r="R352" s="716"/>
      <c r="S352" s="716"/>
      <c r="T352" s="716"/>
      <c r="U352" s="716"/>
      <c r="V352" s="716"/>
      <c r="W352" s="716"/>
      <c r="X352" s="716"/>
      <c r="Y352" s="716"/>
      <c r="Z352" s="716"/>
      <c r="AA352" s="716"/>
      <c r="AB352" s="716"/>
      <c r="AC352" s="716"/>
      <c r="AD352" s="716"/>
      <c r="AE352" s="716"/>
      <c r="AF352" s="717"/>
    </row>
    <row r="353" spans="1:32" ht="30.75" customHeight="1" x14ac:dyDescent="0.85">
      <c r="A353" s="706"/>
      <c r="B353" s="707"/>
      <c r="C353" s="707"/>
      <c r="D353" s="707"/>
      <c r="E353" s="707"/>
      <c r="F353" s="707"/>
      <c r="G353" s="707"/>
      <c r="H353" s="707"/>
      <c r="I353" s="707"/>
      <c r="J353" s="707"/>
      <c r="K353" s="707"/>
      <c r="L353" s="708"/>
      <c r="M353" s="715"/>
      <c r="N353" s="716"/>
      <c r="O353" s="716"/>
      <c r="P353" s="716"/>
      <c r="Q353" s="716"/>
      <c r="R353" s="716"/>
      <c r="S353" s="716"/>
      <c r="T353" s="716"/>
      <c r="U353" s="716"/>
      <c r="V353" s="716"/>
      <c r="W353" s="716"/>
      <c r="X353" s="716"/>
      <c r="Y353" s="716"/>
      <c r="Z353" s="716"/>
      <c r="AA353" s="716"/>
      <c r="AB353" s="716"/>
      <c r="AC353" s="716"/>
      <c r="AD353" s="716"/>
      <c r="AE353" s="716"/>
      <c r="AF353" s="717"/>
    </row>
    <row r="354" spans="1:32" ht="30.75" customHeight="1" x14ac:dyDescent="0.85">
      <c r="A354" s="706"/>
      <c r="B354" s="707"/>
      <c r="C354" s="707"/>
      <c r="D354" s="707"/>
      <c r="E354" s="707"/>
      <c r="F354" s="707"/>
      <c r="G354" s="707"/>
      <c r="H354" s="707"/>
      <c r="I354" s="707"/>
      <c r="J354" s="707"/>
      <c r="K354" s="707"/>
      <c r="L354" s="708"/>
      <c r="M354" s="715"/>
      <c r="N354" s="716"/>
      <c r="O354" s="716"/>
      <c r="P354" s="716"/>
      <c r="Q354" s="716"/>
      <c r="R354" s="716"/>
      <c r="S354" s="716"/>
      <c r="T354" s="716"/>
      <c r="U354" s="716"/>
      <c r="V354" s="716"/>
      <c r="W354" s="716"/>
      <c r="X354" s="716"/>
      <c r="Y354" s="716"/>
      <c r="Z354" s="716"/>
      <c r="AA354" s="716"/>
      <c r="AB354" s="716"/>
      <c r="AC354" s="716"/>
      <c r="AD354" s="716"/>
      <c r="AE354" s="716"/>
      <c r="AF354" s="717"/>
    </row>
    <row r="355" spans="1:32" ht="30.75" customHeight="1" x14ac:dyDescent="0.85">
      <c r="A355" s="706"/>
      <c r="B355" s="707"/>
      <c r="C355" s="707"/>
      <c r="D355" s="707"/>
      <c r="E355" s="707"/>
      <c r="F355" s="707"/>
      <c r="G355" s="707"/>
      <c r="H355" s="707"/>
      <c r="I355" s="707"/>
      <c r="J355" s="707"/>
      <c r="K355" s="707"/>
      <c r="L355" s="708"/>
      <c r="M355" s="715"/>
      <c r="N355" s="716"/>
      <c r="O355" s="716"/>
      <c r="P355" s="716"/>
      <c r="Q355" s="716"/>
      <c r="R355" s="716"/>
      <c r="S355" s="716"/>
      <c r="T355" s="716"/>
      <c r="U355" s="716"/>
      <c r="V355" s="716"/>
      <c r="W355" s="716"/>
      <c r="X355" s="716"/>
      <c r="Y355" s="716"/>
      <c r="Z355" s="716"/>
      <c r="AA355" s="716"/>
      <c r="AB355" s="716"/>
      <c r="AC355" s="716"/>
      <c r="AD355" s="716"/>
      <c r="AE355" s="716"/>
      <c r="AF355" s="717"/>
    </row>
    <row r="356" spans="1:32" ht="30.75" customHeight="1" x14ac:dyDescent="0.85">
      <c r="A356" s="706"/>
      <c r="B356" s="707"/>
      <c r="C356" s="707"/>
      <c r="D356" s="707"/>
      <c r="E356" s="707"/>
      <c r="F356" s="707"/>
      <c r="G356" s="707"/>
      <c r="H356" s="707"/>
      <c r="I356" s="707"/>
      <c r="J356" s="707"/>
      <c r="K356" s="707"/>
      <c r="L356" s="708"/>
      <c r="M356" s="715"/>
      <c r="N356" s="716"/>
      <c r="O356" s="716"/>
      <c r="P356" s="716"/>
      <c r="Q356" s="716"/>
      <c r="R356" s="716"/>
      <c r="S356" s="716"/>
      <c r="T356" s="716"/>
      <c r="U356" s="716"/>
      <c r="V356" s="716"/>
      <c r="W356" s="716"/>
      <c r="X356" s="716"/>
      <c r="Y356" s="716"/>
      <c r="Z356" s="716"/>
      <c r="AA356" s="716"/>
      <c r="AB356" s="716"/>
      <c r="AC356" s="716"/>
      <c r="AD356" s="716"/>
      <c r="AE356" s="716"/>
      <c r="AF356" s="717"/>
    </row>
    <row r="357" spans="1:32" ht="30.75" customHeight="1" x14ac:dyDescent="0.85">
      <c r="A357" s="706"/>
      <c r="B357" s="707"/>
      <c r="C357" s="707"/>
      <c r="D357" s="707"/>
      <c r="E357" s="707"/>
      <c r="F357" s="707"/>
      <c r="G357" s="707"/>
      <c r="H357" s="707"/>
      <c r="I357" s="707"/>
      <c r="J357" s="707"/>
      <c r="K357" s="707"/>
      <c r="L357" s="708"/>
      <c r="M357" s="715"/>
      <c r="N357" s="716"/>
      <c r="O357" s="716"/>
      <c r="P357" s="716"/>
      <c r="Q357" s="716"/>
      <c r="R357" s="716"/>
      <c r="S357" s="716"/>
      <c r="T357" s="716"/>
      <c r="U357" s="716"/>
      <c r="V357" s="716"/>
      <c r="W357" s="716"/>
      <c r="X357" s="716"/>
      <c r="Y357" s="716"/>
      <c r="Z357" s="716"/>
      <c r="AA357" s="716"/>
      <c r="AB357" s="716"/>
      <c r="AC357" s="716"/>
      <c r="AD357" s="716"/>
      <c r="AE357" s="716"/>
      <c r="AF357" s="717"/>
    </row>
    <row r="358" spans="1:32" ht="30.75" customHeight="1" x14ac:dyDescent="0.85">
      <c r="A358" s="706"/>
      <c r="B358" s="707"/>
      <c r="C358" s="707"/>
      <c r="D358" s="707"/>
      <c r="E358" s="707"/>
      <c r="F358" s="707"/>
      <c r="G358" s="707"/>
      <c r="H358" s="707"/>
      <c r="I358" s="707"/>
      <c r="J358" s="707"/>
      <c r="K358" s="707"/>
      <c r="L358" s="708"/>
      <c r="M358" s="715"/>
      <c r="N358" s="716"/>
      <c r="O358" s="716"/>
      <c r="P358" s="716"/>
      <c r="Q358" s="716"/>
      <c r="R358" s="716"/>
      <c r="S358" s="716"/>
      <c r="T358" s="716"/>
      <c r="U358" s="716"/>
      <c r="V358" s="716"/>
      <c r="W358" s="716"/>
      <c r="X358" s="716"/>
      <c r="Y358" s="716"/>
      <c r="Z358" s="716"/>
      <c r="AA358" s="716"/>
      <c r="AB358" s="716"/>
      <c r="AC358" s="716"/>
      <c r="AD358" s="716"/>
      <c r="AE358" s="716"/>
      <c r="AF358" s="717"/>
    </row>
    <row r="359" spans="1:32" ht="30.75" customHeight="1" x14ac:dyDescent="0.85">
      <c r="A359" s="706"/>
      <c r="B359" s="707"/>
      <c r="C359" s="707"/>
      <c r="D359" s="707"/>
      <c r="E359" s="707"/>
      <c r="F359" s="707"/>
      <c r="G359" s="707"/>
      <c r="H359" s="707"/>
      <c r="I359" s="707"/>
      <c r="J359" s="707"/>
      <c r="K359" s="707"/>
      <c r="L359" s="708"/>
      <c r="M359" s="715"/>
      <c r="N359" s="716"/>
      <c r="O359" s="716"/>
      <c r="P359" s="716"/>
      <c r="Q359" s="716"/>
      <c r="R359" s="716"/>
      <c r="S359" s="716"/>
      <c r="T359" s="716"/>
      <c r="U359" s="716"/>
      <c r="V359" s="716"/>
      <c r="W359" s="716"/>
      <c r="X359" s="716"/>
      <c r="Y359" s="716"/>
      <c r="Z359" s="716"/>
      <c r="AA359" s="716"/>
      <c r="AB359" s="716"/>
      <c r="AC359" s="716"/>
      <c r="AD359" s="716"/>
      <c r="AE359" s="716"/>
      <c r="AF359" s="717"/>
    </row>
    <row r="360" spans="1:32" ht="30.75" customHeight="1" x14ac:dyDescent="0.85">
      <c r="A360" s="706"/>
      <c r="B360" s="707"/>
      <c r="C360" s="707"/>
      <c r="D360" s="707"/>
      <c r="E360" s="707"/>
      <c r="F360" s="707"/>
      <c r="G360" s="707"/>
      <c r="H360" s="707"/>
      <c r="I360" s="707"/>
      <c r="J360" s="707"/>
      <c r="K360" s="707"/>
      <c r="L360" s="708"/>
      <c r="M360" s="715"/>
      <c r="N360" s="716"/>
      <c r="O360" s="716"/>
      <c r="P360" s="716"/>
      <c r="Q360" s="716"/>
      <c r="R360" s="716"/>
      <c r="S360" s="716"/>
      <c r="T360" s="716"/>
      <c r="U360" s="716"/>
      <c r="V360" s="716"/>
      <c r="W360" s="716"/>
      <c r="X360" s="716"/>
      <c r="Y360" s="716"/>
      <c r="Z360" s="716"/>
      <c r="AA360" s="716"/>
      <c r="AB360" s="716"/>
      <c r="AC360" s="716"/>
      <c r="AD360" s="716"/>
      <c r="AE360" s="716"/>
      <c r="AF360" s="717"/>
    </row>
    <row r="361" spans="1:32" ht="30.75" customHeight="1" x14ac:dyDescent="0.85">
      <c r="A361" s="706"/>
      <c r="B361" s="707"/>
      <c r="C361" s="707"/>
      <c r="D361" s="707"/>
      <c r="E361" s="707"/>
      <c r="F361" s="707"/>
      <c r="G361" s="707"/>
      <c r="H361" s="707"/>
      <c r="I361" s="707"/>
      <c r="J361" s="707"/>
      <c r="K361" s="707"/>
      <c r="L361" s="708"/>
      <c r="M361" s="715"/>
      <c r="N361" s="716"/>
      <c r="O361" s="716"/>
      <c r="P361" s="716"/>
      <c r="Q361" s="716"/>
      <c r="R361" s="716"/>
      <c r="S361" s="716"/>
      <c r="T361" s="716"/>
      <c r="U361" s="716"/>
      <c r="V361" s="716"/>
      <c r="W361" s="716"/>
      <c r="X361" s="716"/>
      <c r="Y361" s="716"/>
      <c r="Z361" s="716"/>
      <c r="AA361" s="716"/>
      <c r="AB361" s="716"/>
      <c r="AC361" s="716"/>
      <c r="AD361" s="716"/>
      <c r="AE361" s="716"/>
      <c r="AF361" s="717"/>
    </row>
    <row r="362" spans="1:32" ht="30.75" customHeight="1" x14ac:dyDescent="0.85">
      <c r="A362" s="706"/>
      <c r="B362" s="707"/>
      <c r="C362" s="707"/>
      <c r="D362" s="707"/>
      <c r="E362" s="707"/>
      <c r="F362" s="707"/>
      <c r="G362" s="707"/>
      <c r="H362" s="707"/>
      <c r="I362" s="707"/>
      <c r="J362" s="707"/>
      <c r="K362" s="707"/>
      <c r="L362" s="708"/>
      <c r="M362" s="715"/>
      <c r="N362" s="716"/>
      <c r="O362" s="716"/>
      <c r="P362" s="716"/>
      <c r="Q362" s="716"/>
      <c r="R362" s="716"/>
      <c r="S362" s="716"/>
      <c r="T362" s="716"/>
      <c r="U362" s="716"/>
      <c r="V362" s="716"/>
      <c r="W362" s="716"/>
      <c r="X362" s="716"/>
      <c r="Y362" s="716"/>
      <c r="Z362" s="716"/>
      <c r="AA362" s="716"/>
      <c r="AB362" s="716"/>
      <c r="AC362" s="716"/>
      <c r="AD362" s="716"/>
      <c r="AE362" s="716"/>
      <c r="AF362" s="717"/>
    </row>
    <row r="363" spans="1:32" ht="30.75" customHeight="1" x14ac:dyDescent="0.85">
      <c r="A363" s="706"/>
      <c r="B363" s="707"/>
      <c r="C363" s="707"/>
      <c r="D363" s="707"/>
      <c r="E363" s="707"/>
      <c r="F363" s="707"/>
      <c r="G363" s="707"/>
      <c r="H363" s="707"/>
      <c r="I363" s="707"/>
      <c r="J363" s="707"/>
      <c r="K363" s="707"/>
      <c r="L363" s="708"/>
      <c r="M363" s="715"/>
      <c r="N363" s="716"/>
      <c r="O363" s="716"/>
      <c r="P363" s="716"/>
      <c r="Q363" s="716"/>
      <c r="R363" s="716"/>
      <c r="S363" s="716"/>
      <c r="T363" s="716"/>
      <c r="U363" s="716"/>
      <c r="V363" s="716"/>
      <c r="W363" s="716"/>
      <c r="X363" s="716"/>
      <c r="Y363" s="716"/>
      <c r="Z363" s="716"/>
      <c r="AA363" s="716"/>
      <c r="AB363" s="716"/>
      <c r="AC363" s="716"/>
      <c r="AD363" s="716"/>
      <c r="AE363" s="716"/>
      <c r="AF363" s="717"/>
    </row>
    <row r="364" spans="1:32" ht="30.75" customHeight="1" x14ac:dyDescent="0.85">
      <c r="A364" s="706"/>
      <c r="B364" s="707"/>
      <c r="C364" s="707"/>
      <c r="D364" s="707"/>
      <c r="E364" s="707"/>
      <c r="F364" s="707"/>
      <c r="G364" s="707"/>
      <c r="H364" s="707"/>
      <c r="I364" s="707"/>
      <c r="J364" s="707"/>
      <c r="K364" s="707"/>
      <c r="L364" s="708"/>
      <c r="M364" s="715"/>
      <c r="N364" s="716"/>
      <c r="O364" s="716"/>
      <c r="P364" s="716"/>
      <c r="Q364" s="716"/>
      <c r="R364" s="716"/>
      <c r="S364" s="716"/>
      <c r="T364" s="716"/>
      <c r="U364" s="716"/>
      <c r="V364" s="716"/>
      <c r="W364" s="716"/>
      <c r="X364" s="716"/>
      <c r="Y364" s="716"/>
      <c r="Z364" s="716"/>
      <c r="AA364" s="716"/>
      <c r="AB364" s="716"/>
      <c r="AC364" s="716"/>
      <c r="AD364" s="716"/>
      <c r="AE364" s="716"/>
      <c r="AF364" s="717"/>
    </row>
    <row r="365" spans="1:32" ht="30.75" customHeight="1" x14ac:dyDescent="0.85">
      <c r="A365" s="706"/>
      <c r="B365" s="707"/>
      <c r="C365" s="707"/>
      <c r="D365" s="707"/>
      <c r="E365" s="707"/>
      <c r="F365" s="707"/>
      <c r="G365" s="707"/>
      <c r="H365" s="707"/>
      <c r="I365" s="707"/>
      <c r="J365" s="707"/>
      <c r="K365" s="707"/>
      <c r="L365" s="708"/>
      <c r="M365" s="715"/>
      <c r="N365" s="716"/>
      <c r="O365" s="716"/>
      <c r="P365" s="716"/>
      <c r="Q365" s="716"/>
      <c r="R365" s="716"/>
      <c r="S365" s="716"/>
      <c r="T365" s="716"/>
      <c r="U365" s="716"/>
      <c r="V365" s="716"/>
      <c r="W365" s="716"/>
      <c r="X365" s="716"/>
      <c r="Y365" s="716"/>
      <c r="Z365" s="716"/>
      <c r="AA365" s="716"/>
      <c r="AB365" s="716"/>
      <c r="AC365" s="716"/>
      <c r="AD365" s="716"/>
      <c r="AE365" s="716"/>
      <c r="AF365" s="717"/>
    </row>
    <row r="366" spans="1:32" ht="30.75" customHeight="1" x14ac:dyDescent="0.85">
      <c r="A366" s="706"/>
      <c r="B366" s="707"/>
      <c r="C366" s="707"/>
      <c r="D366" s="707"/>
      <c r="E366" s="707"/>
      <c r="F366" s="707"/>
      <c r="G366" s="707"/>
      <c r="H366" s="707"/>
      <c r="I366" s="707"/>
      <c r="J366" s="707"/>
      <c r="K366" s="707"/>
      <c r="L366" s="708"/>
      <c r="M366" s="715"/>
      <c r="N366" s="716"/>
      <c r="O366" s="716"/>
      <c r="P366" s="716"/>
      <c r="Q366" s="716"/>
      <c r="R366" s="716"/>
      <c r="S366" s="716"/>
      <c r="T366" s="716"/>
      <c r="U366" s="716"/>
      <c r="V366" s="716"/>
      <c r="W366" s="716"/>
      <c r="X366" s="716"/>
      <c r="Y366" s="716"/>
      <c r="Z366" s="716"/>
      <c r="AA366" s="716"/>
      <c r="AB366" s="716"/>
      <c r="AC366" s="716"/>
      <c r="AD366" s="716"/>
      <c r="AE366" s="716"/>
      <c r="AF366" s="717"/>
    </row>
    <row r="367" spans="1:32" ht="30.75" customHeight="1" x14ac:dyDescent="0.85">
      <c r="A367" s="706"/>
      <c r="B367" s="707"/>
      <c r="C367" s="707"/>
      <c r="D367" s="707"/>
      <c r="E367" s="707"/>
      <c r="F367" s="707"/>
      <c r="G367" s="707"/>
      <c r="H367" s="707"/>
      <c r="I367" s="707"/>
      <c r="J367" s="707"/>
      <c r="K367" s="707"/>
      <c r="L367" s="708"/>
      <c r="M367" s="715"/>
      <c r="N367" s="716"/>
      <c r="O367" s="716"/>
      <c r="P367" s="716"/>
      <c r="Q367" s="716"/>
      <c r="R367" s="716"/>
      <c r="S367" s="716"/>
      <c r="T367" s="716"/>
      <c r="U367" s="716"/>
      <c r="V367" s="716"/>
      <c r="W367" s="716"/>
      <c r="X367" s="716"/>
      <c r="Y367" s="716"/>
      <c r="Z367" s="716"/>
      <c r="AA367" s="716"/>
      <c r="AB367" s="716"/>
      <c r="AC367" s="716"/>
      <c r="AD367" s="716"/>
      <c r="AE367" s="716"/>
      <c r="AF367" s="717"/>
    </row>
    <row r="368" spans="1:32" ht="30.75" customHeight="1" x14ac:dyDescent="0.85">
      <c r="A368" s="706"/>
      <c r="B368" s="707"/>
      <c r="C368" s="707"/>
      <c r="D368" s="707"/>
      <c r="E368" s="707"/>
      <c r="F368" s="707"/>
      <c r="G368" s="707"/>
      <c r="H368" s="707"/>
      <c r="I368" s="707"/>
      <c r="J368" s="707"/>
      <c r="K368" s="707"/>
      <c r="L368" s="708"/>
      <c r="M368" s="715"/>
      <c r="N368" s="716"/>
      <c r="O368" s="716"/>
      <c r="P368" s="716"/>
      <c r="Q368" s="716"/>
      <c r="R368" s="716"/>
      <c r="S368" s="716"/>
      <c r="T368" s="716"/>
      <c r="U368" s="716"/>
      <c r="V368" s="716"/>
      <c r="W368" s="716"/>
      <c r="X368" s="716"/>
      <c r="Y368" s="716"/>
      <c r="Z368" s="716"/>
      <c r="AA368" s="716"/>
      <c r="AB368" s="716"/>
      <c r="AC368" s="716"/>
      <c r="AD368" s="716"/>
      <c r="AE368" s="716"/>
      <c r="AF368" s="717"/>
    </row>
    <row r="369" spans="1:32" ht="30.75" customHeight="1" x14ac:dyDescent="0.85">
      <c r="A369" s="706"/>
      <c r="B369" s="707"/>
      <c r="C369" s="707"/>
      <c r="D369" s="707"/>
      <c r="E369" s="707"/>
      <c r="F369" s="707"/>
      <c r="G369" s="707"/>
      <c r="H369" s="707"/>
      <c r="I369" s="707"/>
      <c r="J369" s="707"/>
      <c r="K369" s="707"/>
      <c r="L369" s="708"/>
      <c r="M369" s="715"/>
      <c r="N369" s="716"/>
      <c r="O369" s="716"/>
      <c r="P369" s="716"/>
      <c r="Q369" s="716"/>
      <c r="R369" s="716"/>
      <c r="S369" s="716"/>
      <c r="T369" s="716"/>
      <c r="U369" s="716"/>
      <c r="V369" s="716"/>
      <c r="W369" s="716"/>
      <c r="X369" s="716"/>
      <c r="Y369" s="716"/>
      <c r="Z369" s="716"/>
      <c r="AA369" s="716"/>
      <c r="AB369" s="716"/>
      <c r="AC369" s="716"/>
      <c r="AD369" s="716"/>
      <c r="AE369" s="716"/>
      <c r="AF369" s="717"/>
    </row>
    <row r="370" spans="1:32" ht="30.75" customHeight="1" x14ac:dyDescent="0.85">
      <c r="A370" s="706"/>
      <c r="B370" s="707"/>
      <c r="C370" s="707"/>
      <c r="D370" s="707"/>
      <c r="E370" s="707"/>
      <c r="F370" s="707"/>
      <c r="G370" s="707"/>
      <c r="H370" s="707"/>
      <c r="I370" s="707"/>
      <c r="J370" s="707"/>
      <c r="K370" s="707"/>
      <c r="L370" s="708"/>
      <c r="M370" s="715"/>
      <c r="N370" s="716"/>
      <c r="O370" s="716"/>
      <c r="P370" s="716"/>
      <c r="Q370" s="716"/>
      <c r="R370" s="716"/>
      <c r="S370" s="716"/>
      <c r="T370" s="716"/>
      <c r="U370" s="716"/>
      <c r="V370" s="716"/>
      <c r="W370" s="716"/>
      <c r="X370" s="716"/>
      <c r="Y370" s="716"/>
      <c r="Z370" s="716"/>
      <c r="AA370" s="716"/>
      <c r="AB370" s="716"/>
      <c r="AC370" s="716"/>
      <c r="AD370" s="716"/>
      <c r="AE370" s="716"/>
      <c r="AF370" s="717"/>
    </row>
    <row r="371" spans="1:32" ht="30.75" customHeight="1" x14ac:dyDescent="0.85">
      <c r="A371" s="706"/>
      <c r="B371" s="707"/>
      <c r="C371" s="707"/>
      <c r="D371" s="707"/>
      <c r="E371" s="707"/>
      <c r="F371" s="707"/>
      <c r="G371" s="707"/>
      <c r="H371" s="707"/>
      <c r="I371" s="707"/>
      <c r="J371" s="707"/>
      <c r="K371" s="707"/>
      <c r="L371" s="708"/>
      <c r="M371" s="715"/>
      <c r="N371" s="716"/>
      <c r="O371" s="716"/>
      <c r="P371" s="716"/>
      <c r="Q371" s="716"/>
      <c r="R371" s="716"/>
      <c r="S371" s="716"/>
      <c r="T371" s="716"/>
      <c r="U371" s="716"/>
      <c r="V371" s="716"/>
      <c r="W371" s="716"/>
      <c r="X371" s="716"/>
      <c r="Y371" s="716"/>
      <c r="Z371" s="716"/>
      <c r="AA371" s="716"/>
      <c r="AB371" s="716"/>
      <c r="AC371" s="716"/>
      <c r="AD371" s="716"/>
      <c r="AE371" s="716"/>
      <c r="AF371" s="717"/>
    </row>
    <row r="372" spans="1:32" ht="30.75" customHeight="1" x14ac:dyDescent="0.85">
      <c r="A372" s="706"/>
      <c r="B372" s="707"/>
      <c r="C372" s="707"/>
      <c r="D372" s="707"/>
      <c r="E372" s="707"/>
      <c r="F372" s="707"/>
      <c r="G372" s="707"/>
      <c r="H372" s="707"/>
      <c r="I372" s="707"/>
      <c r="J372" s="707"/>
      <c r="K372" s="707"/>
      <c r="L372" s="708"/>
      <c r="M372" s="715"/>
      <c r="N372" s="716"/>
      <c r="O372" s="716"/>
      <c r="P372" s="716"/>
      <c r="Q372" s="716"/>
      <c r="R372" s="716"/>
      <c r="S372" s="716"/>
      <c r="T372" s="716"/>
      <c r="U372" s="716"/>
      <c r="V372" s="716"/>
      <c r="W372" s="716"/>
      <c r="X372" s="716"/>
      <c r="Y372" s="716"/>
      <c r="Z372" s="716"/>
      <c r="AA372" s="716"/>
      <c r="AB372" s="716"/>
      <c r="AC372" s="716"/>
      <c r="AD372" s="716"/>
      <c r="AE372" s="716"/>
      <c r="AF372" s="717"/>
    </row>
    <row r="373" spans="1:32" ht="30.75" customHeight="1" x14ac:dyDescent="0.85">
      <c r="A373" s="706"/>
      <c r="B373" s="707"/>
      <c r="C373" s="707"/>
      <c r="D373" s="707"/>
      <c r="E373" s="707"/>
      <c r="F373" s="707"/>
      <c r="G373" s="707"/>
      <c r="H373" s="707"/>
      <c r="I373" s="707"/>
      <c r="J373" s="707"/>
      <c r="K373" s="707"/>
      <c r="L373" s="708"/>
      <c r="M373" s="715"/>
      <c r="N373" s="716"/>
      <c r="O373" s="716"/>
      <c r="P373" s="716"/>
      <c r="Q373" s="716"/>
      <c r="R373" s="716"/>
      <c r="S373" s="716"/>
      <c r="T373" s="716"/>
      <c r="U373" s="716"/>
      <c r="V373" s="716"/>
      <c r="W373" s="716"/>
      <c r="X373" s="716"/>
      <c r="Y373" s="716"/>
      <c r="Z373" s="716"/>
      <c r="AA373" s="716"/>
      <c r="AB373" s="716"/>
      <c r="AC373" s="716"/>
      <c r="AD373" s="716"/>
      <c r="AE373" s="716"/>
      <c r="AF373" s="717"/>
    </row>
    <row r="374" spans="1:32" ht="30.75" customHeight="1" x14ac:dyDescent="0.85">
      <c r="A374" s="706"/>
      <c r="B374" s="707"/>
      <c r="C374" s="707"/>
      <c r="D374" s="707"/>
      <c r="E374" s="707"/>
      <c r="F374" s="707"/>
      <c r="G374" s="707"/>
      <c r="H374" s="707"/>
      <c r="I374" s="707"/>
      <c r="J374" s="707"/>
      <c r="K374" s="707"/>
      <c r="L374" s="708"/>
      <c r="M374" s="715"/>
      <c r="N374" s="716"/>
      <c r="O374" s="716"/>
      <c r="P374" s="716"/>
      <c r="Q374" s="716"/>
      <c r="R374" s="716"/>
      <c r="S374" s="716"/>
      <c r="T374" s="716"/>
      <c r="U374" s="716"/>
      <c r="V374" s="716"/>
      <c r="W374" s="716"/>
      <c r="X374" s="716"/>
      <c r="Y374" s="716"/>
      <c r="Z374" s="716"/>
      <c r="AA374" s="716"/>
      <c r="AB374" s="716"/>
      <c r="AC374" s="716"/>
      <c r="AD374" s="716"/>
      <c r="AE374" s="716"/>
      <c r="AF374" s="717"/>
    </row>
    <row r="375" spans="1:32" ht="30.75" customHeight="1" x14ac:dyDescent="0.85">
      <c r="A375" s="706"/>
      <c r="B375" s="707"/>
      <c r="C375" s="707"/>
      <c r="D375" s="707"/>
      <c r="E375" s="707"/>
      <c r="F375" s="707"/>
      <c r="G375" s="707"/>
      <c r="H375" s="707"/>
      <c r="I375" s="707"/>
      <c r="J375" s="707"/>
      <c r="K375" s="707"/>
      <c r="L375" s="708"/>
      <c r="M375" s="715"/>
      <c r="N375" s="716"/>
      <c r="O375" s="716"/>
      <c r="P375" s="716"/>
      <c r="Q375" s="716"/>
      <c r="R375" s="716"/>
      <c r="S375" s="716"/>
      <c r="T375" s="716"/>
      <c r="U375" s="716"/>
      <c r="V375" s="716"/>
      <c r="W375" s="716"/>
      <c r="X375" s="716"/>
      <c r="Y375" s="716"/>
      <c r="Z375" s="716"/>
      <c r="AA375" s="716"/>
      <c r="AB375" s="716"/>
      <c r="AC375" s="716"/>
      <c r="AD375" s="716"/>
      <c r="AE375" s="716"/>
      <c r="AF375" s="717"/>
    </row>
    <row r="376" spans="1:32" ht="30.75" customHeight="1" x14ac:dyDescent="0.85">
      <c r="A376" s="706"/>
      <c r="B376" s="707"/>
      <c r="C376" s="707"/>
      <c r="D376" s="707"/>
      <c r="E376" s="707"/>
      <c r="F376" s="707"/>
      <c r="G376" s="707"/>
      <c r="H376" s="707"/>
      <c r="I376" s="707"/>
      <c r="J376" s="707"/>
      <c r="K376" s="707"/>
      <c r="L376" s="708"/>
      <c r="M376" s="715"/>
      <c r="N376" s="716"/>
      <c r="O376" s="716"/>
      <c r="P376" s="716"/>
      <c r="Q376" s="716"/>
      <c r="R376" s="716"/>
      <c r="S376" s="716"/>
      <c r="T376" s="716"/>
      <c r="U376" s="716"/>
      <c r="V376" s="716"/>
      <c r="W376" s="716"/>
      <c r="X376" s="716"/>
      <c r="Y376" s="716"/>
      <c r="Z376" s="716"/>
      <c r="AA376" s="716"/>
      <c r="AB376" s="716"/>
      <c r="AC376" s="716"/>
      <c r="AD376" s="716"/>
      <c r="AE376" s="716"/>
      <c r="AF376" s="717"/>
    </row>
    <row r="377" spans="1:32" ht="30.75" customHeight="1" thickBot="1" x14ac:dyDescent="0.9">
      <c r="A377" s="709"/>
      <c r="B377" s="710"/>
      <c r="C377" s="710"/>
      <c r="D377" s="710"/>
      <c r="E377" s="710"/>
      <c r="F377" s="710"/>
      <c r="G377" s="710"/>
      <c r="H377" s="710"/>
      <c r="I377" s="710"/>
      <c r="J377" s="710"/>
      <c r="K377" s="710"/>
      <c r="L377" s="711"/>
      <c r="M377" s="718"/>
      <c r="N377" s="719"/>
      <c r="O377" s="719"/>
      <c r="P377" s="719"/>
      <c r="Q377" s="719"/>
      <c r="R377" s="719"/>
      <c r="S377" s="719"/>
      <c r="T377" s="719"/>
      <c r="U377" s="719"/>
      <c r="V377" s="719"/>
      <c r="W377" s="719"/>
      <c r="X377" s="719"/>
      <c r="Y377" s="719"/>
      <c r="Z377" s="719"/>
      <c r="AA377" s="719"/>
      <c r="AB377" s="719"/>
      <c r="AC377" s="719"/>
      <c r="AD377" s="719"/>
      <c r="AE377" s="719"/>
      <c r="AF377" s="720"/>
    </row>
  </sheetData>
  <sheetProtection algorithmName="SHA-512" hashValue="KDN4Ue3vr7g6lQ7cQ0uQbuL3/ujQFAka/OBr09bM+c0VOhFozjAh7b6aBzyjipFDTj9mUDM7OXV8bYoqc1jDDg==" saltValue="B+mYtHkcfZnCi3o2JTsUxQ==" spinCount="100000" sheet="1" selectLockedCells="1"/>
  <mergeCells count="359">
    <mergeCell ref="A348:L377"/>
    <mergeCell ref="M348:AF377"/>
    <mergeCell ref="A347:L347"/>
    <mergeCell ref="M347:AF347"/>
    <mergeCell ref="A326:L346"/>
    <mergeCell ref="A325:L325"/>
    <mergeCell ref="M325:AF325"/>
    <mergeCell ref="M326:AF346"/>
    <mergeCell ref="AD138:AD146"/>
    <mergeCell ref="AD147:AD155"/>
    <mergeCell ref="AD156:AD164"/>
    <mergeCell ref="AD165:AD173"/>
    <mergeCell ref="AD174:AD188"/>
    <mergeCell ref="AD243:AD266"/>
    <mergeCell ref="AD267:AD280"/>
    <mergeCell ref="AF243:AF266"/>
    <mergeCell ref="AF267:AF280"/>
    <mergeCell ref="AD192:AD213"/>
    <mergeCell ref="AD214:AD222"/>
    <mergeCell ref="AF192:AF213"/>
    <mergeCell ref="AF214:AF222"/>
    <mergeCell ref="A138:A146"/>
    <mergeCell ref="A185:A188"/>
    <mergeCell ref="A176:A177"/>
    <mergeCell ref="A4:C4"/>
    <mergeCell ref="A278:A280"/>
    <mergeCell ref="A267:A277"/>
    <mergeCell ref="AD312:AD321"/>
    <mergeCell ref="AF312:AF321"/>
    <mergeCell ref="AD62:AD95"/>
    <mergeCell ref="A231:A232"/>
    <mergeCell ref="A202:A205"/>
    <mergeCell ref="AF292:AF310"/>
    <mergeCell ref="A298:A303"/>
    <mergeCell ref="C20:C21"/>
    <mergeCell ref="C97:C98"/>
    <mergeCell ref="B136:B137"/>
    <mergeCell ref="B20:B21"/>
    <mergeCell ref="A20:A21"/>
    <mergeCell ref="C60:C61"/>
    <mergeCell ref="A52:A53"/>
    <mergeCell ref="B52:B53"/>
    <mergeCell ref="A73:A76"/>
    <mergeCell ref="A174:A175"/>
    <mergeCell ref="AD290:AD291"/>
    <mergeCell ref="D60:I61"/>
    <mergeCell ref="D112:K113"/>
    <mergeCell ref="AD292:AD310"/>
    <mergeCell ref="AA1:AB1"/>
    <mergeCell ref="AE290:AE291"/>
    <mergeCell ref="X241:Y241"/>
    <mergeCell ref="J224:K224"/>
    <mergeCell ref="Z190:AA190"/>
    <mergeCell ref="AB190:AB191"/>
    <mergeCell ref="AB224:AB225"/>
    <mergeCell ref="L60:M60"/>
    <mergeCell ref="N60:O60"/>
    <mergeCell ref="P60:Q60"/>
    <mergeCell ref="R60:S60"/>
    <mergeCell ref="T60:U60"/>
    <mergeCell ref="AB60:AB61"/>
    <mergeCell ref="AD20:AD21"/>
    <mergeCell ref="AD136:AD137"/>
    <mergeCell ref="AD114:AD134"/>
    <mergeCell ref="AD112:AD113"/>
    <mergeCell ref="T190:U190"/>
    <mergeCell ref="R190:S190"/>
    <mergeCell ref="N290:O290"/>
    <mergeCell ref="P290:Q290"/>
    <mergeCell ref="R290:S290"/>
    <mergeCell ref="T290:U290"/>
    <mergeCell ref="V136:W136"/>
    <mergeCell ref="D1:E1"/>
    <mergeCell ref="F1:G1"/>
    <mergeCell ref="H1:J1"/>
    <mergeCell ref="A7:AF7"/>
    <mergeCell ref="A5:A6"/>
    <mergeCell ref="B5:B6"/>
    <mergeCell ref="C5:C6"/>
    <mergeCell ref="D5:E5"/>
    <mergeCell ref="AD99:AD110"/>
    <mergeCell ref="AD97:AD98"/>
    <mergeCell ref="D4:V4"/>
    <mergeCell ref="V60:W60"/>
    <mergeCell ref="K1:Q1"/>
    <mergeCell ref="R1:S1"/>
    <mergeCell ref="T1:V1"/>
    <mergeCell ref="W1:X1"/>
    <mergeCell ref="X60:Y60"/>
    <mergeCell ref="P20:Q20"/>
    <mergeCell ref="R20:S20"/>
    <mergeCell ref="A41:A42"/>
    <mergeCell ref="A87:A93"/>
    <mergeCell ref="A94:A95"/>
    <mergeCell ref="A54:A58"/>
    <mergeCell ref="AC84:AC85"/>
    <mergeCell ref="A147:A155"/>
    <mergeCell ref="A156:A164"/>
    <mergeCell ref="A165:A173"/>
    <mergeCell ref="A178:A184"/>
    <mergeCell ref="V224:W224"/>
    <mergeCell ref="X224:Y224"/>
    <mergeCell ref="Z224:AA224"/>
    <mergeCell ref="L224:M224"/>
    <mergeCell ref="N224:O224"/>
    <mergeCell ref="P224:Q224"/>
    <mergeCell ref="R224:S224"/>
    <mergeCell ref="T224:U224"/>
    <mergeCell ref="D224:E224"/>
    <mergeCell ref="F224:G224"/>
    <mergeCell ref="H224:I224"/>
    <mergeCell ref="A212:A213"/>
    <mergeCell ref="AC290:AC291"/>
    <mergeCell ref="AC241:AC242"/>
    <mergeCell ref="AC224:AC225"/>
    <mergeCell ref="P136:Q136"/>
    <mergeCell ref="R136:S136"/>
    <mergeCell ref="T136:U136"/>
    <mergeCell ref="N190:O190"/>
    <mergeCell ref="P190:Q190"/>
    <mergeCell ref="B190:B191"/>
    <mergeCell ref="C190:C191"/>
    <mergeCell ref="J190:K190"/>
    <mergeCell ref="A103:A104"/>
    <mergeCell ref="A105:A106"/>
    <mergeCell ref="A128:A134"/>
    <mergeCell ref="A121:A127"/>
    <mergeCell ref="A114:A120"/>
    <mergeCell ref="D136:E136"/>
    <mergeCell ref="F136:G136"/>
    <mergeCell ref="H136:I136"/>
    <mergeCell ref="J136:K136"/>
    <mergeCell ref="C112:C113"/>
    <mergeCell ref="C136:C137"/>
    <mergeCell ref="B60:B61"/>
    <mergeCell ref="H241:I241"/>
    <mergeCell ref="J241:K241"/>
    <mergeCell ref="L241:M241"/>
    <mergeCell ref="A84:A86"/>
    <mergeCell ref="A224:A225"/>
    <mergeCell ref="AC190:AC191"/>
    <mergeCell ref="AC136:AC137"/>
    <mergeCell ref="AC206:AC207"/>
    <mergeCell ref="AC212:AC213"/>
    <mergeCell ref="AC202:AC203"/>
    <mergeCell ref="AC198:AC199"/>
    <mergeCell ref="X136:Y136"/>
    <mergeCell ref="Z136:AA136"/>
    <mergeCell ref="J60:K60"/>
    <mergeCell ref="AC112:AC113"/>
    <mergeCell ref="R112:S112"/>
    <mergeCell ref="T112:U112"/>
    <mergeCell ref="V112:W112"/>
    <mergeCell ref="X112:Y112"/>
    <mergeCell ref="Z112:AA112"/>
    <mergeCell ref="AB112:AB113"/>
    <mergeCell ref="AB136:AB137"/>
    <mergeCell ref="L136:M136"/>
    <mergeCell ref="A97:A98"/>
    <mergeCell ref="B97:B98"/>
    <mergeCell ref="A99:A100"/>
    <mergeCell ref="A101:A102"/>
    <mergeCell ref="A198:A201"/>
    <mergeCell ref="A206:A211"/>
    <mergeCell ref="A229:A230"/>
    <mergeCell ref="A223:AF223"/>
    <mergeCell ref="A189:AF189"/>
    <mergeCell ref="A135:AF135"/>
    <mergeCell ref="A111:AF111"/>
    <mergeCell ref="AF224:AF225"/>
    <mergeCell ref="J97:K97"/>
    <mergeCell ref="AF112:AF113"/>
    <mergeCell ref="L112:M112"/>
    <mergeCell ref="N112:O112"/>
    <mergeCell ref="P112:Q112"/>
    <mergeCell ref="L97:M97"/>
    <mergeCell ref="N97:O97"/>
    <mergeCell ref="D97:E97"/>
    <mergeCell ref="F97:G97"/>
    <mergeCell ref="H97:I97"/>
    <mergeCell ref="C224:C225"/>
    <mergeCell ref="N136:O136"/>
    <mergeCell ref="A304:A310"/>
    <mergeCell ref="V290:W290"/>
    <mergeCell ref="X290:Y290"/>
    <mergeCell ref="D241:E241"/>
    <mergeCell ref="F241:G241"/>
    <mergeCell ref="Z241:AA241"/>
    <mergeCell ref="B241:B242"/>
    <mergeCell ref="A290:A291"/>
    <mergeCell ref="B290:B291"/>
    <mergeCell ref="A292:A297"/>
    <mergeCell ref="C290:C291"/>
    <mergeCell ref="Z290:AA290"/>
    <mergeCell ref="L290:M290"/>
    <mergeCell ref="H290:I290"/>
    <mergeCell ref="J290:K290"/>
    <mergeCell ref="V241:W241"/>
    <mergeCell ref="N241:O241"/>
    <mergeCell ref="P241:Q241"/>
    <mergeCell ref="R241:S241"/>
    <mergeCell ref="T241:U241"/>
    <mergeCell ref="C241:C242"/>
    <mergeCell ref="A241:A242"/>
    <mergeCell ref="D290:E290"/>
    <mergeCell ref="F290:G290"/>
    <mergeCell ref="R5:S5"/>
    <mergeCell ref="T5:U5"/>
    <mergeCell ref="V5:W5"/>
    <mergeCell ref="X5:Y5"/>
    <mergeCell ref="Z5:AA5"/>
    <mergeCell ref="AC43:AC44"/>
    <mergeCell ref="AB5:AB6"/>
    <mergeCell ref="AC5:AC6"/>
    <mergeCell ref="P97:Q97"/>
    <mergeCell ref="AC97:AC98"/>
    <mergeCell ref="Z60:AA60"/>
    <mergeCell ref="R97:S97"/>
    <mergeCell ref="T97:U97"/>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2:AE113"/>
    <mergeCell ref="A51:AF51"/>
    <mergeCell ref="AF54:AF58"/>
    <mergeCell ref="AF62:AF95"/>
    <mergeCell ref="AF99:AF110"/>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49:A50"/>
    <mergeCell ref="AD60:AD61"/>
    <mergeCell ref="AD54:AD58"/>
    <mergeCell ref="A59:AF59"/>
    <mergeCell ref="AF52:AF53"/>
    <mergeCell ref="AF60:AF61"/>
    <mergeCell ref="AF97:AF98"/>
    <mergeCell ref="AE20:AE21"/>
    <mergeCell ref="AC37:AC38"/>
    <mergeCell ref="AC39:AC40"/>
    <mergeCell ref="AC47:AC48"/>
    <mergeCell ref="R52:S52"/>
    <mergeCell ref="T52:U52"/>
    <mergeCell ref="A47:A48"/>
    <mergeCell ref="A43:A44"/>
    <mergeCell ref="A31:A32"/>
    <mergeCell ref="A33:A34"/>
    <mergeCell ref="D20:E20"/>
    <mergeCell ref="F20:G20"/>
    <mergeCell ref="X52:Y52"/>
    <mergeCell ref="D52:I53"/>
    <mergeCell ref="N20:O20"/>
    <mergeCell ref="A67:A72"/>
    <mergeCell ref="A96:AF96"/>
    <mergeCell ref="AB97:AB98"/>
    <mergeCell ref="AE5:AE6"/>
    <mergeCell ref="A45:A46"/>
    <mergeCell ref="A8:A10"/>
    <mergeCell ref="A192:A197"/>
    <mergeCell ref="A62:A65"/>
    <mergeCell ref="AF136:AF137"/>
    <mergeCell ref="AF190:AF191"/>
    <mergeCell ref="AF138:AF188"/>
    <mergeCell ref="AE190:AE191"/>
    <mergeCell ref="AC185:AC186"/>
    <mergeCell ref="AC183:AC184"/>
    <mergeCell ref="AE97:AE98"/>
    <mergeCell ref="AC52:AC53"/>
    <mergeCell ref="AE136:AE137"/>
    <mergeCell ref="AC60:AC61"/>
    <mergeCell ref="AE60:AE61"/>
    <mergeCell ref="AF114:AF134"/>
    <mergeCell ref="A60:A61"/>
    <mergeCell ref="V97:W97"/>
    <mergeCell ref="X97:Y97"/>
    <mergeCell ref="Z97:AA97"/>
    <mergeCell ref="F190:G190"/>
    <mergeCell ref="H190:I190"/>
    <mergeCell ref="AB52:AB53"/>
    <mergeCell ref="AF226:AF239"/>
    <mergeCell ref="AE224:AE225"/>
    <mergeCell ref="AD226:AD239"/>
    <mergeCell ref="L190:M190"/>
    <mergeCell ref="D190:E190"/>
    <mergeCell ref="A281:A288"/>
    <mergeCell ref="A214:A216"/>
    <mergeCell ref="A220:A222"/>
    <mergeCell ref="B224:B225"/>
    <mergeCell ref="AB241:AB242"/>
    <mergeCell ref="A226:A228"/>
    <mergeCell ref="A233:A235"/>
    <mergeCell ref="A217:A219"/>
    <mergeCell ref="AD281:AD288"/>
    <mergeCell ref="AF281:AF288"/>
    <mergeCell ref="V190:W190"/>
    <mergeCell ref="X190:Y190"/>
    <mergeCell ref="AD190:AD191"/>
    <mergeCell ref="A237:A239"/>
    <mergeCell ref="A190:A191"/>
    <mergeCell ref="A11:A13"/>
    <mergeCell ref="A15:A17"/>
    <mergeCell ref="AD8:AD18"/>
    <mergeCell ref="AF8:AF18"/>
    <mergeCell ref="A311:AF311"/>
    <mergeCell ref="A312:A321"/>
    <mergeCell ref="A244:A249"/>
    <mergeCell ref="A251:A252"/>
    <mergeCell ref="A259:A266"/>
    <mergeCell ref="A78:A83"/>
    <mergeCell ref="AF290:AF291"/>
    <mergeCell ref="A289:AF289"/>
    <mergeCell ref="A240:AF240"/>
    <mergeCell ref="A253:A258"/>
    <mergeCell ref="AF241:AF242"/>
    <mergeCell ref="AE241:AE242"/>
    <mergeCell ref="AD224:AD225"/>
    <mergeCell ref="AD241:AD242"/>
    <mergeCell ref="A107:A108"/>
    <mergeCell ref="A112:A113"/>
    <mergeCell ref="B112:B113"/>
    <mergeCell ref="A136:A137"/>
    <mergeCell ref="A109:A110"/>
    <mergeCell ref="AB290:AB291"/>
  </mergeCells>
  <phoneticPr fontId="3" type="noConversion"/>
  <conditionalFormatting sqref="AC22">
    <cfRule type="notContainsBlanks" dxfId="912" priority="1374">
      <formula>LEN(TRIM(AC22))&gt;0</formula>
    </cfRule>
  </conditionalFormatting>
  <conditionalFormatting sqref="AC26:AC27">
    <cfRule type="notContainsBlanks" dxfId="911" priority="1375">
      <formula>LEN(TRIM(AC26))&gt;0</formula>
    </cfRule>
  </conditionalFormatting>
  <conditionalFormatting sqref="AC31:AC32">
    <cfRule type="notContainsBlanks" dxfId="910" priority="1378">
      <formula>LEN(TRIM(AC31))&gt;0</formula>
    </cfRule>
  </conditionalFormatting>
  <conditionalFormatting sqref="AC33:AC34">
    <cfRule type="notContainsBlanks" dxfId="909" priority="1376">
      <formula>LEN(TRIM(AC33))&gt;0</formula>
    </cfRule>
  </conditionalFormatting>
  <conditionalFormatting sqref="AC35:AC36">
    <cfRule type="notContainsBlanks" dxfId="908" priority="1369">
      <formula>LEN(TRIM(AC35))&gt;0</formula>
    </cfRule>
  </conditionalFormatting>
  <conditionalFormatting sqref="AC37:AC38">
    <cfRule type="notContainsBlanks" dxfId="907" priority="1368">
      <formula>LEN(TRIM(AC37))&gt;0</formula>
    </cfRule>
  </conditionalFormatting>
  <conditionalFormatting sqref="AC39:AC40">
    <cfRule type="notContainsBlanks" dxfId="906" priority="1367">
      <formula>LEN(TRIM(AC39))&gt;0</formula>
    </cfRule>
  </conditionalFormatting>
  <conditionalFormatting sqref="AC41:AC42">
    <cfRule type="notContainsBlanks" dxfId="905" priority="1366">
      <formula>LEN(TRIM(AC41))&gt;0</formula>
    </cfRule>
  </conditionalFormatting>
  <conditionalFormatting sqref="AC43:AC44">
    <cfRule type="notContainsBlanks" dxfId="904" priority="1365">
      <formula>LEN(TRIM(AC43))&gt;0</formula>
    </cfRule>
  </conditionalFormatting>
  <conditionalFormatting sqref="AC45:AC46">
    <cfRule type="notContainsBlanks" dxfId="903" priority="1364">
      <formula>LEN(TRIM(AC45))&gt;0</formula>
    </cfRule>
  </conditionalFormatting>
  <conditionalFormatting sqref="AC47:AC48">
    <cfRule type="notContainsBlanks" dxfId="902" priority="1363">
      <formula>LEN(TRIM(AC47))&gt;0</formula>
    </cfRule>
  </conditionalFormatting>
  <conditionalFormatting sqref="AC49:AC50">
    <cfRule type="notContainsBlanks" dxfId="901" priority="1362">
      <formula>LEN(TRIM(AC49))&gt;0</formula>
    </cfRule>
  </conditionalFormatting>
  <conditionalFormatting sqref="AC62 AC64:AC65">
    <cfRule type="notContainsBlanks" dxfId="900" priority="1379">
      <formula>LEN(TRIM(AC62))&gt;0</formula>
    </cfRule>
  </conditionalFormatting>
  <conditionalFormatting sqref="AC66:AC72">
    <cfRule type="notContainsBlanks" dxfId="899" priority="1380">
      <formula>LEN(TRIM(AC66))&gt;0</formula>
    </cfRule>
  </conditionalFormatting>
  <conditionalFormatting sqref="AC84:AC85">
    <cfRule type="notContainsBlanks" dxfId="898" priority="1359">
      <formula>LEN(TRIM(AC84))&gt;0</formula>
    </cfRule>
  </conditionalFormatting>
  <conditionalFormatting sqref="AC99">
    <cfRule type="notContainsBlanks" dxfId="897" priority="1358">
      <formula>LEN(TRIM(AC99))&gt;0</formula>
    </cfRule>
  </conditionalFormatting>
  <conditionalFormatting sqref="AC24">
    <cfRule type="notContainsBlanks" dxfId="896" priority="1357">
      <formula>LEN(TRIM(AC24))&gt;0</formula>
    </cfRule>
  </conditionalFormatting>
  <conditionalFormatting sqref="AC100">
    <cfRule type="notContainsBlanks" dxfId="895" priority="1356">
      <formula>LEN(TRIM(AC100))&gt;0</formula>
    </cfRule>
  </conditionalFormatting>
  <conditionalFormatting sqref="AC101">
    <cfRule type="notContainsBlanks" dxfId="894" priority="1355">
      <formula>LEN(TRIM(AC101))&gt;0</formula>
    </cfRule>
  </conditionalFormatting>
  <conditionalFormatting sqref="AC102">
    <cfRule type="notContainsBlanks" dxfId="893" priority="1354">
      <formula>LEN(TRIM(AC102))&gt;0</formula>
    </cfRule>
  </conditionalFormatting>
  <conditionalFormatting sqref="AC115">
    <cfRule type="notContainsBlanks" dxfId="892" priority="1353">
      <formula>LEN(TRIM(AC115))&gt;0</formula>
    </cfRule>
  </conditionalFormatting>
  <conditionalFormatting sqref="AC175">
    <cfRule type="notContainsBlanks" dxfId="891" priority="1350">
      <formula>LEN(TRIM(AC175))&gt;0</formula>
    </cfRule>
  </conditionalFormatting>
  <conditionalFormatting sqref="AC178">
    <cfRule type="notContainsBlanks" dxfId="890" priority="1349">
      <formula>LEN(TRIM(AC178))&gt;0</formula>
    </cfRule>
  </conditionalFormatting>
  <conditionalFormatting sqref="AC179:AC180">
    <cfRule type="notContainsBlanks" dxfId="889" priority="1348">
      <formula>LEN(TRIM(AC179))&gt;0</formula>
    </cfRule>
  </conditionalFormatting>
  <conditionalFormatting sqref="AC181:AC182 AC194 AC196 AC284:AC286 AC253:AC266 AC272">
    <cfRule type="notContainsBlanks" dxfId="888" priority="1347">
      <formula>LEN(TRIM(AC181))&gt;0</formula>
    </cfRule>
  </conditionalFormatting>
  <conditionalFormatting sqref="AC183:AC184">
    <cfRule type="notContainsBlanks" dxfId="887" priority="1346">
      <formula>LEN(TRIM(AC183))&gt;0</formula>
    </cfRule>
  </conditionalFormatting>
  <conditionalFormatting sqref="AC185:AC186">
    <cfRule type="notContainsBlanks" dxfId="886" priority="1345">
      <formula>LEN(TRIM(AC185))&gt;0</formula>
    </cfRule>
  </conditionalFormatting>
  <conditionalFormatting sqref="AC187">
    <cfRule type="notContainsBlanks" dxfId="885" priority="1344">
      <formula>LEN(TRIM(AC187))&gt;0</formula>
    </cfRule>
  </conditionalFormatting>
  <conditionalFormatting sqref="AC188">
    <cfRule type="notContainsBlanks" dxfId="884" priority="1343">
      <formula>LEN(TRIM(AC188))&gt;0</formula>
    </cfRule>
  </conditionalFormatting>
  <conditionalFormatting sqref="AC192">
    <cfRule type="notContainsBlanks" dxfId="883" priority="1342">
      <formula>LEN(TRIM(AC192))&gt;0</formula>
    </cfRule>
  </conditionalFormatting>
  <conditionalFormatting sqref="AC193">
    <cfRule type="notContainsBlanks" dxfId="882" priority="1341">
      <formula>LEN(TRIM(AC193))&gt;0</formula>
    </cfRule>
  </conditionalFormatting>
  <conditionalFormatting sqref="AC195:AC197">
    <cfRule type="notContainsBlanks" dxfId="881" priority="1339">
      <formula>LEN(TRIM(AC195))&gt;0</formula>
    </cfRule>
  </conditionalFormatting>
  <conditionalFormatting sqref="AC198:AC199 AC201">
    <cfRule type="notContainsBlanks" dxfId="880" priority="1338">
      <formula>LEN(TRIM(AC198))&gt;0</formula>
    </cfRule>
  </conditionalFormatting>
  <conditionalFormatting sqref="AC202:AC203 AC205">
    <cfRule type="notContainsBlanks" dxfId="879" priority="1337">
      <formula>LEN(TRIM(AC202))&gt;0</formula>
    </cfRule>
  </conditionalFormatting>
  <conditionalFormatting sqref="AC206:AC207 AC209 AC211">
    <cfRule type="notContainsBlanks" dxfId="878" priority="1336">
      <formula>LEN(TRIM(AC206))&gt;0</formula>
    </cfRule>
  </conditionalFormatting>
  <conditionalFormatting sqref="AC212:AC221">
    <cfRule type="notContainsBlanks" dxfId="877" priority="1335">
      <formula>LEN(TRIM(AC212))&gt;0</formula>
    </cfRule>
  </conditionalFormatting>
  <conditionalFormatting sqref="AC227:AC230">
    <cfRule type="notContainsBlanks" dxfId="876" priority="1334">
      <formula>LEN(TRIM(AC227))&gt;0</formula>
    </cfRule>
  </conditionalFormatting>
  <conditionalFormatting sqref="AC231:AC232">
    <cfRule type="notContainsBlanks" dxfId="875" priority="1333">
      <formula>LEN(TRIM(AC231))&gt;0</formula>
    </cfRule>
  </conditionalFormatting>
  <conditionalFormatting sqref="AC233:AC235">
    <cfRule type="notContainsBlanks" dxfId="874" priority="1332">
      <formula>LEN(TRIM(AC233))&gt;0</formula>
    </cfRule>
  </conditionalFormatting>
  <conditionalFormatting sqref="AC237">
    <cfRule type="notContainsBlanks" dxfId="873" priority="1331">
      <formula>LEN(TRIM(AC237))&gt;0</formula>
    </cfRule>
  </conditionalFormatting>
  <conditionalFormatting sqref="AC238">
    <cfRule type="notContainsBlanks" dxfId="872" priority="1330">
      <formula>LEN(TRIM(AC238))&gt;0</formula>
    </cfRule>
  </conditionalFormatting>
  <conditionalFormatting sqref="AC239">
    <cfRule type="notContainsBlanks" dxfId="871" priority="1329">
      <formula>LEN(TRIM(AC239))&gt;0</formula>
    </cfRule>
  </conditionalFormatting>
  <conditionalFormatting sqref="AC243:AC249">
    <cfRule type="notContainsBlanks" dxfId="870" priority="1328">
      <formula>LEN(TRIM(AC243))&gt;0</formula>
    </cfRule>
  </conditionalFormatting>
  <conditionalFormatting sqref="AC250:AC251">
    <cfRule type="notContainsBlanks" priority="1327">
      <formula>LEN(TRIM(AC250))&gt;0</formula>
    </cfRule>
  </conditionalFormatting>
  <conditionalFormatting sqref="AC298:AC300">
    <cfRule type="notContainsBlanks" dxfId="869" priority="1325">
      <formula>LEN(TRIM(AC298))&gt;0</formula>
    </cfRule>
  </conditionalFormatting>
  <conditionalFormatting sqref="AE33">
    <cfRule type="notContainsBlanks" dxfId="868" priority="1318">
      <formula>LEN(TRIM(AE33))&gt;0</formula>
    </cfRule>
  </conditionalFormatting>
  <conditionalFormatting sqref="AE192:AF192">
    <cfRule type="notContainsBlanks" dxfId="867" priority="1317">
      <formula>LEN(TRIM(AE192))&gt;0</formula>
    </cfRule>
  </conditionalFormatting>
  <conditionalFormatting sqref="AE193">
    <cfRule type="notContainsBlanks" dxfId="866" priority="1316">
      <formula>LEN(TRIM(AE193))&gt;0</formula>
    </cfRule>
  </conditionalFormatting>
  <conditionalFormatting sqref="AE54:AF54 AE99:AF99 AE114:AF114 AE138:AF138 AE226:AF226 AE243:AF243 AE62:AF64 AE22:AF22 AE55:AE58 AE65:AE95 AE100:AE110 AE115:AE134 AE175:AE188 AE23:AE50 AF292 AE298:AE310 AE194:AE216 AE220:AE221 AE284:AE286 AE227:AE239 AE244:AE266 AE272">
    <cfRule type="notContainsBlanks" dxfId="865" priority="1315">
      <formula>LEN(TRIM(AE22))&gt;0</formula>
    </cfRule>
  </conditionalFormatting>
  <conditionalFormatting sqref="AE35">
    <cfRule type="notContainsBlanks" dxfId="864" priority="1314">
      <formula>LEN(TRIM(AE35))&gt;0</formula>
    </cfRule>
  </conditionalFormatting>
  <conditionalFormatting sqref="AE47">
    <cfRule type="notContainsBlanks" dxfId="863" priority="1308">
      <formula>LEN(TRIM(AE47))&gt;0</formula>
    </cfRule>
  </conditionalFormatting>
  <conditionalFormatting sqref="AE37">
    <cfRule type="notContainsBlanks" dxfId="862" priority="1313">
      <formula>LEN(TRIM(AE37))&gt;0</formula>
    </cfRule>
  </conditionalFormatting>
  <conditionalFormatting sqref="AE39">
    <cfRule type="notContainsBlanks" dxfId="861" priority="1312">
      <formula>LEN(TRIM(AE39))&gt;0</formula>
    </cfRule>
  </conditionalFormatting>
  <conditionalFormatting sqref="AE41">
    <cfRule type="notContainsBlanks" dxfId="860" priority="1311">
      <formula>LEN(TRIM(AE41))&gt;0</formula>
    </cfRule>
  </conditionalFormatting>
  <conditionalFormatting sqref="AE43">
    <cfRule type="notContainsBlanks" dxfId="859" priority="1310">
      <formula>LEN(TRIM(AE43))&gt;0</formula>
    </cfRule>
  </conditionalFormatting>
  <conditionalFormatting sqref="AE45">
    <cfRule type="notContainsBlanks" dxfId="858" priority="1309">
      <formula>LEN(TRIM(AE45))&gt;0</formula>
    </cfRule>
  </conditionalFormatting>
  <conditionalFormatting sqref="AD22:AD50 AD54:AD58 AD62 AD99:AD110 AD114:AD134 AD138 AD226:AD239 AD243 AD292 AD192">
    <cfRule type="notContainsBlanks" dxfId="857" priority="1544">
      <formula>LEN(TRIM(AD22))&gt;0</formula>
    </cfRule>
  </conditionalFormatting>
  <conditionalFormatting sqref="D252:AB252">
    <cfRule type="cellIs" dxfId="856" priority="1305" operator="equal">
      <formula>0</formula>
    </cfRule>
  </conditionalFormatting>
  <conditionalFormatting sqref="D265:AA265">
    <cfRule type="cellIs" dxfId="855" priority="1304" operator="equal">
      <formula>0</formula>
    </cfRule>
  </conditionalFormatting>
  <conditionalFormatting sqref="D265:AA265">
    <cfRule type="cellIs" dxfId="854" priority="1303" operator="equal">
      <formula>0</formula>
    </cfRule>
  </conditionalFormatting>
  <conditionalFormatting sqref="D50:F50 D49:AA49">
    <cfRule type="cellIs" dxfId="853" priority="1302" operator="equal">
      <formula>0</formula>
    </cfRule>
  </conditionalFormatting>
  <conditionalFormatting sqref="AB22:AB26 AB54:AB58 AB99:AB110 AB304:AB310 AB292:AB302 AB43 AB45 AB33 AB28:AB31 AB47:AB49 AB35:AB41 AB175 AB243:AB251 AB253:AB277 AB114:AB134 AB177:AB188 AB62:AB93 AB192:AB221 AB226:AB239">
    <cfRule type="cellIs" dxfId="852" priority="1299" operator="equal">
      <formula>0</formula>
    </cfRule>
  </conditionalFormatting>
  <conditionalFormatting sqref="D50:F50 D265:AA265 D252:AB252 D49:AA49">
    <cfRule type="cellIs" dxfId="851" priority="1298" operator="equal">
      <formula>0</formula>
    </cfRule>
  </conditionalFormatting>
  <conditionalFormatting sqref="A1">
    <cfRule type="cellIs" dxfId="850" priority="1297" operator="equal">
      <formula>0</formula>
    </cfRule>
  </conditionalFormatting>
  <conditionalFormatting sqref="D303:AB303">
    <cfRule type="cellIs" dxfId="849" priority="1294" operator="equal">
      <formula>0</formula>
    </cfRule>
  </conditionalFormatting>
  <conditionalFormatting sqref="AB42">
    <cfRule type="cellIs" dxfId="848" priority="1293" operator="equal">
      <formula>0</formula>
    </cfRule>
  </conditionalFormatting>
  <conditionalFormatting sqref="AB44">
    <cfRule type="cellIs" dxfId="847" priority="1292" operator="equal">
      <formula>0</formula>
    </cfRule>
  </conditionalFormatting>
  <conditionalFormatting sqref="AB34">
    <cfRule type="cellIs" dxfId="846" priority="1291" operator="equal">
      <formula>0</formula>
    </cfRule>
  </conditionalFormatting>
  <conditionalFormatting sqref="AB32">
    <cfRule type="cellIs" dxfId="845" priority="1290" operator="equal">
      <formula>0</formula>
    </cfRule>
  </conditionalFormatting>
  <conditionalFormatting sqref="AB27">
    <cfRule type="cellIs" dxfId="844" priority="1289" operator="equal">
      <formula>0</formula>
    </cfRule>
  </conditionalFormatting>
  <conditionalFormatting sqref="AB46">
    <cfRule type="cellIs" dxfId="843" priority="1288" operator="equal">
      <formula>0</formula>
    </cfRule>
  </conditionalFormatting>
  <conditionalFormatting sqref="G50:AB50">
    <cfRule type="cellIs" dxfId="842" priority="1270" operator="equal">
      <formula>0</formula>
    </cfRule>
  </conditionalFormatting>
  <conditionalFormatting sqref="G50:AB50">
    <cfRule type="cellIs" dxfId="841" priority="1269" operator="equal">
      <formula>0</formula>
    </cfRule>
  </conditionalFormatting>
  <conditionalFormatting sqref="D101:AA101 D99:AA99">
    <cfRule type="expression" dxfId="840" priority="1258">
      <formula>D101&gt;D99</formula>
    </cfRule>
  </conditionalFormatting>
  <conditionalFormatting sqref="D102:AA102 D100:AA100">
    <cfRule type="expression" dxfId="839" priority="1257">
      <formula>D102&gt;D100</formula>
    </cfRule>
  </conditionalFormatting>
  <conditionalFormatting sqref="D178:AA178">
    <cfRule type="expression" dxfId="838" priority="1254">
      <formula>D179&gt;D178</formula>
    </cfRule>
  </conditionalFormatting>
  <conditionalFormatting sqref="D179:AA179">
    <cfRule type="expression" dxfId="837" priority="1253">
      <formula>D180&gt;D179</formula>
    </cfRule>
  </conditionalFormatting>
  <conditionalFormatting sqref="K181 M181 O181 Q181 S181 U181 W181 Y181 AA181">
    <cfRule type="expression" dxfId="836" priority="1252">
      <formula>K182&gt;K181</formula>
    </cfRule>
  </conditionalFormatting>
  <conditionalFormatting sqref="D183:AA183">
    <cfRule type="expression" dxfId="835" priority="1251">
      <formula>D184&gt;D183</formula>
    </cfRule>
  </conditionalFormatting>
  <conditionalFormatting sqref="D185:AA185">
    <cfRule type="expression" dxfId="834" priority="1248">
      <formula>D188&gt;D185</formula>
    </cfRule>
    <cfRule type="expression" dxfId="833" priority="1250">
      <formula>D186&gt;D185</formula>
    </cfRule>
  </conditionalFormatting>
  <conditionalFormatting sqref="D186:AA186">
    <cfRule type="expression" dxfId="832" priority="1249">
      <formula>D187&gt;D186</formula>
    </cfRule>
  </conditionalFormatting>
  <conditionalFormatting sqref="K192">
    <cfRule type="expression" dxfId="831" priority="1247">
      <formula>(K193+K194)&gt;K192</formula>
    </cfRule>
  </conditionalFormatting>
  <conditionalFormatting sqref="K194">
    <cfRule type="expression" dxfId="830" priority="761">
      <formula>K194&gt;K192</formula>
    </cfRule>
    <cfRule type="expression" dxfId="829" priority="1246">
      <formula>K195&gt;K194</formula>
    </cfRule>
  </conditionalFormatting>
  <conditionalFormatting sqref="K198">
    <cfRule type="expression" dxfId="828" priority="1245">
      <formula>K199&gt;K198</formula>
    </cfRule>
  </conditionalFormatting>
  <conditionalFormatting sqref="K202">
    <cfRule type="expression" dxfId="827" priority="1244">
      <formula>K203&gt;K202</formula>
    </cfRule>
  </conditionalFormatting>
  <conditionalFormatting sqref="K206">
    <cfRule type="expression" dxfId="826" priority="1243">
      <formula>K207&gt;K206</formula>
    </cfRule>
  </conditionalFormatting>
  <conditionalFormatting sqref="M192">
    <cfRule type="expression" dxfId="825" priority="1242">
      <formula>(M193+M194)&gt;M192</formula>
    </cfRule>
  </conditionalFormatting>
  <conditionalFormatting sqref="M194">
    <cfRule type="expression" dxfId="824" priority="1241">
      <formula>M195&gt;M194</formula>
    </cfRule>
  </conditionalFormatting>
  <conditionalFormatting sqref="M198">
    <cfRule type="expression" dxfId="823" priority="1240">
      <formula>M199&gt;M198</formula>
    </cfRule>
  </conditionalFormatting>
  <conditionalFormatting sqref="M202">
    <cfRule type="expression" dxfId="822" priority="1239">
      <formula>M203&gt;M202</formula>
    </cfRule>
  </conditionalFormatting>
  <conditionalFormatting sqref="M206">
    <cfRule type="expression" dxfId="821" priority="1238">
      <formula>M207&gt;M206</formula>
    </cfRule>
  </conditionalFormatting>
  <conditionalFormatting sqref="O192">
    <cfRule type="expression" dxfId="820" priority="1237">
      <formula>(O193+O194)&gt;O192</formula>
    </cfRule>
  </conditionalFormatting>
  <conditionalFormatting sqref="O194">
    <cfRule type="expression" dxfId="819" priority="1236">
      <formula>O195&gt;O194</formula>
    </cfRule>
  </conditionalFormatting>
  <conditionalFormatting sqref="O198">
    <cfRule type="expression" dxfId="818" priority="1235">
      <formula>O199&gt;O198</formula>
    </cfRule>
  </conditionalFormatting>
  <conditionalFormatting sqref="O202">
    <cfRule type="expression" dxfId="817" priority="1234">
      <formula>O203&gt;O202</formula>
    </cfRule>
  </conditionalFormatting>
  <conditionalFormatting sqref="O206">
    <cfRule type="expression" dxfId="816" priority="1233">
      <formula>O207&gt;O206</formula>
    </cfRule>
  </conditionalFormatting>
  <conditionalFormatting sqref="Q192">
    <cfRule type="expression" dxfId="815" priority="1232">
      <formula>(Q193+Q194)&gt;Q192</formula>
    </cfRule>
  </conditionalFormatting>
  <conditionalFormatting sqref="Q194">
    <cfRule type="expression" dxfId="814" priority="1231">
      <formula>Q195&gt;Q194</formula>
    </cfRule>
  </conditionalFormatting>
  <conditionalFormatting sqref="Q198">
    <cfRule type="expression" dxfId="813" priority="1230">
      <formula>Q199&gt;Q198</formula>
    </cfRule>
  </conditionalFormatting>
  <conditionalFormatting sqref="Q202">
    <cfRule type="expression" dxfId="812" priority="1229">
      <formula>Q203&gt;Q202</formula>
    </cfRule>
  </conditionalFormatting>
  <conditionalFormatting sqref="Q206">
    <cfRule type="expression" dxfId="811" priority="1228">
      <formula>Q207&gt;Q206</formula>
    </cfRule>
  </conditionalFormatting>
  <conditionalFormatting sqref="S192">
    <cfRule type="expression" dxfId="810" priority="1227">
      <formula>(S193+S194)&gt;S192</formula>
    </cfRule>
  </conditionalFormatting>
  <conditionalFormatting sqref="S194">
    <cfRule type="expression" dxfId="809" priority="1226">
      <formula>S195&gt;S194</formula>
    </cfRule>
  </conditionalFormatting>
  <conditionalFormatting sqref="S198">
    <cfRule type="expression" dxfId="808" priority="1225">
      <formula>S199&gt;S198</formula>
    </cfRule>
  </conditionalFormatting>
  <conditionalFormatting sqref="S202">
    <cfRule type="expression" dxfId="807" priority="1224">
      <formula>S203&gt;S202</formula>
    </cfRule>
  </conditionalFormatting>
  <conditionalFormatting sqref="S206">
    <cfRule type="expression" dxfId="806" priority="1223">
      <formula>S207&gt;S206</formula>
    </cfRule>
  </conditionalFormatting>
  <conditionalFormatting sqref="U192">
    <cfRule type="expression" dxfId="805" priority="1222">
      <formula>(U193+U194)&gt;U192</formula>
    </cfRule>
  </conditionalFormatting>
  <conditionalFormatting sqref="U194">
    <cfRule type="expression" dxfId="804" priority="1221">
      <formula>U195&gt;U194</formula>
    </cfRule>
  </conditionalFormatting>
  <conditionalFormatting sqref="U198">
    <cfRule type="expression" dxfId="803" priority="1220">
      <formula>U199&gt;U198</formula>
    </cfRule>
  </conditionalFormatting>
  <conditionalFormatting sqref="U202">
    <cfRule type="expression" dxfId="802" priority="1219">
      <formula>U203&gt;U202</formula>
    </cfRule>
  </conditionalFormatting>
  <conditionalFormatting sqref="U206">
    <cfRule type="expression" dxfId="801" priority="1218">
      <formula>U207&gt;U206</formula>
    </cfRule>
  </conditionalFormatting>
  <conditionalFormatting sqref="W192">
    <cfRule type="expression" dxfId="800" priority="1217">
      <formula>(W193+W194)&gt;W192</formula>
    </cfRule>
  </conditionalFormatting>
  <conditionalFormatting sqref="W194">
    <cfRule type="expression" dxfId="799" priority="1216">
      <formula>W195&gt;W194</formula>
    </cfRule>
  </conditionalFormatting>
  <conditionalFormatting sqref="W198">
    <cfRule type="expression" dxfId="798" priority="1215">
      <formula>W199&gt;W198</formula>
    </cfRule>
  </conditionalFormatting>
  <conditionalFormatting sqref="W202">
    <cfRule type="expression" dxfId="797" priority="1214">
      <formula>W203&gt;W202</formula>
    </cfRule>
  </conditionalFormatting>
  <conditionalFormatting sqref="W206">
    <cfRule type="expression" dxfId="796" priority="1213">
      <formula>W207&gt;W206</formula>
    </cfRule>
  </conditionalFormatting>
  <conditionalFormatting sqref="Y192">
    <cfRule type="expression" dxfId="795" priority="1212">
      <formula>(Y193+Y194)&gt;Y192</formula>
    </cfRule>
  </conditionalFormatting>
  <conditionalFormatting sqref="Y194">
    <cfRule type="expression" dxfId="794" priority="1211">
      <formula>Y195&gt;Y194</formula>
    </cfRule>
  </conditionalFormatting>
  <conditionalFormatting sqref="Y198">
    <cfRule type="expression" dxfId="793" priority="1210">
      <formula>Y199&gt;Y198</formula>
    </cfRule>
  </conditionalFormatting>
  <conditionalFormatting sqref="Y202">
    <cfRule type="expression" dxfId="792" priority="1209">
      <formula>Y203&gt;Y202</formula>
    </cfRule>
  </conditionalFormatting>
  <conditionalFormatting sqref="Y206">
    <cfRule type="expression" dxfId="791" priority="1208">
      <formula>Y207&gt;Y206</formula>
    </cfRule>
  </conditionalFormatting>
  <conditionalFormatting sqref="J212">
    <cfRule type="expression" dxfId="790" priority="1207">
      <formula>J213&gt;J212</formula>
    </cfRule>
  </conditionalFormatting>
  <conditionalFormatting sqref="L212">
    <cfRule type="expression" dxfId="789" priority="1206">
      <formula>L213&gt;L212</formula>
    </cfRule>
  </conditionalFormatting>
  <conditionalFormatting sqref="N212">
    <cfRule type="expression" dxfId="788" priority="1205">
      <formula>N213&gt;N212</formula>
    </cfRule>
  </conditionalFormatting>
  <conditionalFormatting sqref="P212">
    <cfRule type="expression" dxfId="787" priority="1204">
      <formula>P213&gt;P212</formula>
    </cfRule>
  </conditionalFormatting>
  <conditionalFormatting sqref="R212">
    <cfRule type="expression" dxfId="786" priority="1203">
      <formula>R213&gt;R212</formula>
    </cfRule>
  </conditionalFormatting>
  <conditionalFormatting sqref="T212">
    <cfRule type="expression" dxfId="785" priority="1202">
      <formula>T213&gt;T212</formula>
    </cfRule>
  </conditionalFormatting>
  <conditionalFormatting sqref="V212">
    <cfRule type="expression" dxfId="784" priority="1201">
      <formula>V213&gt;V212</formula>
    </cfRule>
  </conditionalFormatting>
  <conditionalFormatting sqref="X212">
    <cfRule type="expression" dxfId="783" priority="1200">
      <formula>X213&gt;X212</formula>
    </cfRule>
  </conditionalFormatting>
  <conditionalFormatting sqref="Z212">
    <cfRule type="expression" dxfId="782" priority="1199">
      <formula>Z213&gt;Z212</formula>
    </cfRule>
  </conditionalFormatting>
  <conditionalFormatting sqref="K193">
    <cfRule type="expression" dxfId="781" priority="754">
      <formula>K193&gt;K192</formula>
    </cfRule>
    <cfRule type="expression" dxfId="780" priority="1198">
      <formula>K226&gt;K193</formula>
    </cfRule>
  </conditionalFormatting>
  <conditionalFormatting sqref="M193">
    <cfRule type="expression" dxfId="779" priority="1197">
      <formula>M226&gt;M193</formula>
    </cfRule>
  </conditionalFormatting>
  <conditionalFormatting sqref="O193">
    <cfRule type="expression" dxfId="778" priority="1196">
      <formula>O226&gt;O193</formula>
    </cfRule>
  </conditionalFormatting>
  <conditionalFormatting sqref="Q193">
    <cfRule type="expression" dxfId="777" priority="1195">
      <formula>Q226&gt;Q193</formula>
    </cfRule>
  </conditionalFormatting>
  <conditionalFormatting sqref="S193">
    <cfRule type="expression" dxfId="776" priority="1194">
      <formula>S226&gt;S193</formula>
    </cfRule>
  </conditionalFormatting>
  <conditionalFormatting sqref="U193">
    <cfRule type="expression" dxfId="775" priority="1193">
      <formula>U226&gt;U193</formula>
    </cfRule>
  </conditionalFormatting>
  <conditionalFormatting sqref="W193">
    <cfRule type="expression" dxfId="774" priority="1192">
      <formula>W226&gt;W193</formula>
    </cfRule>
  </conditionalFormatting>
  <conditionalFormatting sqref="Y193">
    <cfRule type="expression" dxfId="773" priority="1191">
      <formula>Y226&gt;Y193</formula>
    </cfRule>
  </conditionalFormatting>
  <conditionalFormatting sqref="K195 M195 O195 Q195 S195 U195 W195 Y195">
    <cfRule type="expression" dxfId="772" priority="1190">
      <formula>K227&gt;K195</formula>
    </cfRule>
  </conditionalFormatting>
  <conditionalFormatting sqref="M210 O210 Q210 S210 U210 W210 Y210 O207 M207 Q207 S207 U207 W207 Y207">
    <cfRule type="expression" dxfId="771" priority="1188">
      <formula>M233&gt;M207</formula>
    </cfRule>
  </conditionalFormatting>
  <conditionalFormatting sqref="K211 M211 O211 Q211 S211 U211 W211 Y211">
    <cfRule type="expression" dxfId="770" priority="1187">
      <formula>K236&gt;K211</formula>
    </cfRule>
  </conditionalFormatting>
  <conditionalFormatting sqref="M192">
    <cfRule type="expression" dxfId="769" priority="1186">
      <formula>(M193+M194)&gt;M192</formula>
    </cfRule>
  </conditionalFormatting>
  <conditionalFormatting sqref="M194">
    <cfRule type="expression" dxfId="768" priority="1185">
      <formula>M195&gt;M194</formula>
    </cfRule>
  </conditionalFormatting>
  <conditionalFormatting sqref="M198">
    <cfRule type="expression" dxfId="767" priority="1184">
      <formula>M199&gt;M198</formula>
    </cfRule>
  </conditionalFormatting>
  <conditionalFormatting sqref="M202">
    <cfRule type="expression" dxfId="766" priority="1183">
      <formula>M203&gt;M202</formula>
    </cfRule>
  </conditionalFormatting>
  <conditionalFormatting sqref="M206">
    <cfRule type="expression" dxfId="765" priority="1182">
      <formula>M207&gt;M206</formula>
    </cfRule>
  </conditionalFormatting>
  <conditionalFormatting sqref="M193">
    <cfRule type="expression" dxfId="764" priority="1181">
      <formula>M226&gt;M193</formula>
    </cfRule>
  </conditionalFormatting>
  <conditionalFormatting sqref="K205 M205 O205 Q205 S205 U205 W205 Y205">
    <cfRule type="expression" dxfId="763" priority="1179">
      <formula>K232&gt;K205</formula>
    </cfRule>
  </conditionalFormatting>
  <conditionalFormatting sqref="O192">
    <cfRule type="expression" dxfId="762" priority="1177">
      <formula>(O193+O194)&gt;O192</formula>
    </cfRule>
  </conditionalFormatting>
  <conditionalFormatting sqref="O194">
    <cfRule type="expression" dxfId="761" priority="1176">
      <formula>O195&gt;O194</formula>
    </cfRule>
  </conditionalFormatting>
  <conditionalFormatting sqref="O198">
    <cfRule type="expression" dxfId="760" priority="1175">
      <formula>O199&gt;O198</formula>
    </cfRule>
  </conditionalFormatting>
  <conditionalFormatting sqref="O202">
    <cfRule type="expression" dxfId="759" priority="1174">
      <formula>O203&gt;O202</formula>
    </cfRule>
  </conditionalFormatting>
  <conditionalFormatting sqref="O206">
    <cfRule type="expression" dxfId="758" priority="1173">
      <formula>O207&gt;O206</formula>
    </cfRule>
  </conditionalFormatting>
  <conditionalFormatting sqref="O193">
    <cfRule type="expression" dxfId="757" priority="1172">
      <formula>O226&gt;O193</formula>
    </cfRule>
  </conditionalFormatting>
  <conditionalFormatting sqref="Q192">
    <cfRule type="expression" dxfId="756" priority="1168">
      <formula>(Q193+Q194)&gt;Q192</formula>
    </cfRule>
  </conditionalFormatting>
  <conditionalFormatting sqref="Q194">
    <cfRule type="expression" dxfId="755" priority="1167">
      <formula>Q195&gt;Q194</formula>
    </cfRule>
  </conditionalFormatting>
  <conditionalFormatting sqref="Q198">
    <cfRule type="expression" dxfId="754" priority="1166">
      <formula>Q199&gt;Q198</formula>
    </cfRule>
  </conditionalFormatting>
  <conditionalFormatting sqref="Q202">
    <cfRule type="expression" dxfId="753" priority="1165">
      <formula>Q203&gt;Q202</formula>
    </cfRule>
  </conditionalFormatting>
  <conditionalFormatting sqref="Q206">
    <cfRule type="expression" dxfId="752" priority="1164">
      <formula>Q207&gt;Q206</formula>
    </cfRule>
  </conditionalFormatting>
  <conditionalFormatting sqref="Q193">
    <cfRule type="expression" dxfId="751" priority="1163">
      <formula>Q226&gt;Q193</formula>
    </cfRule>
  </conditionalFormatting>
  <conditionalFormatting sqref="S192">
    <cfRule type="expression" dxfId="750" priority="1159">
      <formula>(S193+S194)&gt;S192</formula>
    </cfRule>
  </conditionalFormatting>
  <conditionalFormatting sqref="S194">
    <cfRule type="expression" dxfId="749" priority="1158">
      <formula>S195&gt;S194</formula>
    </cfRule>
  </conditionalFormatting>
  <conditionalFormatting sqref="S198">
    <cfRule type="expression" dxfId="748" priority="1157">
      <formula>S199&gt;S198</formula>
    </cfRule>
  </conditionalFormatting>
  <conditionalFormatting sqref="S202">
    <cfRule type="expression" dxfId="747" priority="1156">
      <formula>S203&gt;S202</formula>
    </cfRule>
  </conditionalFormatting>
  <conditionalFormatting sqref="S206">
    <cfRule type="expression" dxfId="746" priority="1155">
      <formula>S207&gt;S206</formula>
    </cfRule>
  </conditionalFormatting>
  <conditionalFormatting sqref="S193">
    <cfRule type="expression" dxfId="745" priority="1154">
      <formula>S226&gt;S193</formula>
    </cfRule>
  </conditionalFormatting>
  <conditionalFormatting sqref="U192">
    <cfRule type="expression" dxfId="744" priority="1150">
      <formula>(U193+U194)&gt;U192</formula>
    </cfRule>
  </conditionalFormatting>
  <conditionalFormatting sqref="U194">
    <cfRule type="expression" dxfId="743" priority="1149">
      <formula>U195&gt;U194</formula>
    </cfRule>
  </conditionalFormatting>
  <conditionalFormatting sqref="U198">
    <cfRule type="expression" dxfId="742" priority="1148">
      <formula>U199&gt;U198</formula>
    </cfRule>
  </conditionalFormatting>
  <conditionalFormatting sqref="U202">
    <cfRule type="expression" dxfId="741" priority="1147">
      <formula>U203&gt;U202</formula>
    </cfRule>
  </conditionalFormatting>
  <conditionalFormatting sqref="U206">
    <cfRule type="expression" dxfId="740" priority="1146">
      <formula>U207&gt;U206</formula>
    </cfRule>
  </conditionalFormatting>
  <conditionalFormatting sqref="U193">
    <cfRule type="expression" dxfId="739" priority="1145">
      <formula>U226&gt;U193</formula>
    </cfRule>
  </conditionalFormatting>
  <conditionalFormatting sqref="W192">
    <cfRule type="expression" dxfId="738" priority="1141">
      <formula>(W193+W194)&gt;W192</formula>
    </cfRule>
  </conditionalFormatting>
  <conditionalFormatting sqref="W194">
    <cfRule type="expression" dxfId="737" priority="1140">
      <formula>W195&gt;W194</formula>
    </cfRule>
  </conditionalFormatting>
  <conditionalFormatting sqref="W198">
    <cfRule type="expression" dxfId="736" priority="1139">
      <formula>W199&gt;W198</formula>
    </cfRule>
  </conditionalFormatting>
  <conditionalFormatting sqref="W202">
    <cfRule type="expression" dxfId="735" priority="1138">
      <formula>W203&gt;W202</formula>
    </cfRule>
  </conditionalFormatting>
  <conditionalFormatting sqref="W206">
    <cfRule type="expression" dxfId="734" priority="1137">
      <formula>W207&gt;W206</formula>
    </cfRule>
  </conditionalFormatting>
  <conditionalFormatting sqref="W193">
    <cfRule type="expression" dxfId="733" priority="1136">
      <formula>W226&gt;W193</formula>
    </cfRule>
  </conditionalFormatting>
  <conditionalFormatting sqref="Y192">
    <cfRule type="expression" dxfId="732" priority="1132">
      <formula>(Y193+Y194)&gt;Y192</formula>
    </cfRule>
  </conditionalFormatting>
  <conditionalFormatting sqref="Y194">
    <cfRule type="expression" dxfId="731" priority="1131">
      <formula>Y195&gt;Y194</formula>
    </cfRule>
  </conditionalFormatting>
  <conditionalFormatting sqref="Y198">
    <cfRule type="expression" dxfId="730" priority="1130">
      <formula>Y199&gt;Y198</formula>
    </cfRule>
  </conditionalFormatting>
  <conditionalFormatting sqref="Y202">
    <cfRule type="expression" dxfId="729" priority="1129">
      <formula>Y203&gt;Y202</formula>
    </cfRule>
  </conditionalFormatting>
  <conditionalFormatting sqref="Y206">
    <cfRule type="expression" dxfId="728" priority="1128">
      <formula>Y207&gt;Y206</formula>
    </cfRule>
  </conditionalFormatting>
  <conditionalFormatting sqref="Y193">
    <cfRule type="expression" dxfId="727" priority="1127">
      <formula>Y226&gt;Y193</formula>
    </cfRule>
  </conditionalFormatting>
  <conditionalFormatting sqref="K236 M236 O236 Q236 S236 U236 W236 Y236">
    <cfRule type="expression" dxfId="726" priority="1123">
      <formula>K236&gt;K252</formula>
    </cfRule>
  </conditionalFormatting>
  <conditionalFormatting sqref="D265:AA265">
    <cfRule type="expression" dxfId="725" priority="1113">
      <formula>D265&lt;&gt;D252</formula>
    </cfRule>
  </conditionalFormatting>
  <conditionalFormatting sqref="F26:AA26">
    <cfRule type="expression" dxfId="724" priority="1096">
      <formula>F27&gt;F26</formula>
    </cfRule>
  </conditionalFormatting>
  <conditionalFormatting sqref="F31:AA31">
    <cfRule type="expression" dxfId="723" priority="1095">
      <formula>F32&gt;F31</formula>
    </cfRule>
  </conditionalFormatting>
  <conditionalFormatting sqref="F33:AA33">
    <cfRule type="expression" dxfId="722" priority="1094">
      <formula>F34&gt;F33</formula>
    </cfRule>
  </conditionalFormatting>
  <conditionalFormatting sqref="F35">
    <cfRule type="expression" dxfId="721" priority="1093">
      <formula>F36&gt;F35</formula>
    </cfRule>
  </conditionalFormatting>
  <conditionalFormatting sqref="G35">
    <cfRule type="expression" dxfId="720" priority="1092">
      <formula>G36&gt;G35</formula>
    </cfRule>
  </conditionalFormatting>
  <conditionalFormatting sqref="F37:G37">
    <cfRule type="expression" dxfId="719" priority="1091">
      <formula>F38&gt;F37</formula>
    </cfRule>
  </conditionalFormatting>
  <conditionalFormatting sqref="F39:AA39">
    <cfRule type="expression" dxfId="718" priority="1090">
      <formula>F40&gt;F39</formula>
    </cfRule>
  </conditionalFormatting>
  <conditionalFormatting sqref="F41:AA41">
    <cfRule type="expression" dxfId="717" priority="1089">
      <formula>F42&gt;F41</formula>
    </cfRule>
  </conditionalFormatting>
  <conditionalFormatting sqref="F43:AA43">
    <cfRule type="expression" dxfId="716" priority="1088">
      <formula>F44&gt;F43</formula>
    </cfRule>
  </conditionalFormatting>
  <conditionalFormatting sqref="L45:AA45">
    <cfRule type="expression" dxfId="715" priority="1087">
      <formula>L46&gt;L45</formula>
    </cfRule>
  </conditionalFormatting>
  <conditionalFormatting sqref="L47">
    <cfRule type="expression" dxfId="714" priority="1086">
      <formula>L48&gt;L47</formula>
    </cfRule>
  </conditionalFormatting>
  <conditionalFormatting sqref="N47">
    <cfRule type="expression" dxfId="713" priority="1085">
      <formula>N48&gt;N47</formula>
    </cfRule>
  </conditionalFormatting>
  <conditionalFormatting sqref="P47">
    <cfRule type="expression" dxfId="712" priority="1084">
      <formula>P48&gt;P47</formula>
    </cfRule>
  </conditionalFormatting>
  <conditionalFormatting sqref="R47">
    <cfRule type="expression" dxfId="711" priority="1083">
      <formula>R48&gt;R47</formula>
    </cfRule>
  </conditionalFormatting>
  <conditionalFormatting sqref="T47">
    <cfRule type="expression" dxfId="710" priority="1082">
      <formula>T48&gt;T47</formula>
    </cfRule>
  </conditionalFormatting>
  <conditionalFormatting sqref="V47">
    <cfRule type="expression" dxfId="709" priority="1081">
      <formula>V48&gt;V47</formula>
    </cfRule>
  </conditionalFormatting>
  <conditionalFormatting sqref="X47">
    <cfRule type="expression" dxfId="708" priority="1080">
      <formula>X48&gt;X47</formula>
    </cfRule>
  </conditionalFormatting>
  <conditionalFormatting sqref="Z47">
    <cfRule type="expression" dxfId="707" priority="1079">
      <formula>Z48&gt;Z47</formula>
    </cfRule>
  </conditionalFormatting>
  <conditionalFormatting sqref="AC10 AC13 AC17:AC18">
    <cfRule type="notContainsBlanks" dxfId="706" priority="1077">
      <formula>LEN(TRIM(AC10))&gt;0</formula>
    </cfRule>
  </conditionalFormatting>
  <conditionalFormatting sqref="AE8:AF8 AE9:AE18">
    <cfRule type="notContainsBlanks" dxfId="705" priority="1076">
      <formula>LEN(TRIM(AE8))&gt;0</formula>
    </cfRule>
  </conditionalFormatting>
  <conditionalFormatting sqref="AD8">
    <cfRule type="notContainsBlanks" dxfId="704" priority="1075">
      <formula>LEN(TRIM(AD8))&gt;0</formula>
    </cfRule>
  </conditionalFormatting>
  <conditionalFormatting sqref="Y196">
    <cfRule type="cellIs" dxfId="703" priority="1064" operator="equal">
      <formula>0</formula>
    </cfRule>
  </conditionalFormatting>
  <conditionalFormatting sqref="W196">
    <cfRule type="cellIs" dxfId="702" priority="1063" operator="equal">
      <formula>0</formula>
    </cfRule>
  </conditionalFormatting>
  <conditionalFormatting sqref="U196">
    <cfRule type="cellIs" dxfId="701" priority="1062" operator="equal">
      <formula>0</formula>
    </cfRule>
  </conditionalFormatting>
  <conditionalFormatting sqref="S196">
    <cfRule type="cellIs" dxfId="700" priority="1061" operator="equal">
      <formula>0</formula>
    </cfRule>
  </conditionalFormatting>
  <conditionalFormatting sqref="Q196">
    <cfRule type="cellIs" dxfId="699" priority="1060" operator="equal">
      <formula>0</formula>
    </cfRule>
  </conditionalFormatting>
  <conditionalFormatting sqref="O196">
    <cfRule type="cellIs" dxfId="698" priority="1059" operator="equal">
      <formula>0</formula>
    </cfRule>
  </conditionalFormatting>
  <conditionalFormatting sqref="M196">
    <cfRule type="cellIs" dxfId="697" priority="1058" operator="equal">
      <formula>0</formula>
    </cfRule>
  </conditionalFormatting>
  <conditionalFormatting sqref="K196">
    <cfRule type="cellIs" dxfId="696" priority="1057" operator="equal">
      <formula>0</formula>
    </cfRule>
  </conditionalFormatting>
  <conditionalFormatting sqref="B196">
    <cfRule type="cellIs" dxfId="695" priority="1056" operator="equal">
      <formula>0</formula>
    </cfRule>
  </conditionalFormatting>
  <conditionalFormatting sqref="B197">
    <cfRule type="cellIs" dxfId="694" priority="1055" operator="equal">
      <formula>0</formula>
    </cfRule>
  </conditionalFormatting>
  <conditionalFormatting sqref="K197">
    <cfRule type="cellIs" dxfId="693" priority="1047" operator="equal">
      <formula>0</formula>
    </cfRule>
  </conditionalFormatting>
  <conditionalFormatting sqref="M197">
    <cfRule type="cellIs" dxfId="692" priority="1046" operator="equal">
      <formula>0</formula>
    </cfRule>
  </conditionalFormatting>
  <conditionalFormatting sqref="O197">
    <cfRule type="cellIs" dxfId="691" priority="1045" operator="equal">
      <formula>0</formula>
    </cfRule>
  </conditionalFormatting>
  <conditionalFormatting sqref="Q197">
    <cfRule type="cellIs" dxfId="690" priority="1044" operator="equal">
      <formula>0</formula>
    </cfRule>
  </conditionalFormatting>
  <conditionalFormatting sqref="S197">
    <cfRule type="cellIs" dxfId="689" priority="1043" operator="equal">
      <formula>0</formula>
    </cfRule>
  </conditionalFormatting>
  <conditionalFormatting sqref="U197">
    <cfRule type="cellIs" dxfId="688" priority="1042" operator="equal">
      <formula>0</formula>
    </cfRule>
  </conditionalFormatting>
  <conditionalFormatting sqref="W197">
    <cfRule type="cellIs" dxfId="687" priority="1041" operator="equal">
      <formula>0</formula>
    </cfRule>
  </conditionalFormatting>
  <conditionalFormatting sqref="Y197">
    <cfRule type="cellIs" dxfId="686" priority="1040" operator="equal">
      <formula>0</formula>
    </cfRule>
  </conditionalFormatting>
  <conditionalFormatting sqref="K210">
    <cfRule type="expression" dxfId="685" priority="1381">
      <formula>K236&gt;K210</formula>
    </cfRule>
  </conditionalFormatting>
  <conditionalFormatting sqref="K207">
    <cfRule type="expression" dxfId="684" priority="1382">
      <formula>K233&gt;K207</formula>
    </cfRule>
  </conditionalFormatting>
  <conditionalFormatting sqref="M196 O196 Q196 S196 U196 W196 Y196 K196">
    <cfRule type="expression" dxfId="683" priority="1383">
      <formula>K231&gt;K196</formula>
    </cfRule>
  </conditionalFormatting>
  <conditionalFormatting sqref="K228">
    <cfRule type="cellIs" dxfId="682" priority="1039" operator="equal">
      <formula>0</formula>
    </cfRule>
  </conditionalFormatting>
  <conditionalFormatting sqref="O228">
    <cfRule type="cellIs" dxfId="681" priority="1030" operator="equal">
      <formula>0</formula>
    </cfRule>
  </conditionalFormatting>
  <conditionalFormatting sqref="M228">
    <cfRule type="cellIs" dxfId="680" priority="1031" operator="equal">
      <formula>0</formula>
    </cfRule>
  </conditionalFormatting>
  <conditionalFormatting sqref="Q228">
    <cfRule type="cellIs" dxfId="679" priority="1029" operator="equal">
      <formula>0</formula>
    </cfRule>
  </conditionalFormatting>
  <conditionalFormatting sqref="S228">
    <cfRule type="cellIs" dxfId="678" priority="1028" operator="equal">
      <formula>0</formula>
    </cfRule>
  </conditionalFormatting>
  <conditionalFormatting sqref="U228">
    <cfRule type="cellIs" dxfId="677" priority="1027" operator="equal">
      <formula>0</formula>
    </cfRule>
  </conditionalFormatting>
  <conditionalFormatting sqref="W228">
    <cfRule type="cellIs" dxfId="676" priority="1026" operator="equal">
      <formula>0</formula>
    </cfRule>
  </conditionalFormatting>
  <conditionalFormatting sqref="Y228">
    <cfRule type="cellIs" dxfId="675" priority="1025" operator="equal">
      <formula>0</formula>
    </cfRule>
  </conditionalFormatting>
  <conditionalFormatting sqref="B228">
    <cfRule type="cellIs" dxfId="674" priority="1024" operator="equal">
      <formula>0</formula>
    </cfRule>
  </conditionalFormatting>
  <conditionalFormatting sqref="B216">
    <cfRule type="cellIs" dxfId="673" priority="1023" operator="equal">
      <formula>0</formula>
    </cfRule>
  </conditionalFormatting>
  <conditionalFormatting sqref="B219">
    <cfRule type="cellIs" dxfId="672" priority="1010" operator="equal">
      <formula>0</formula>
    </cfRule>
  </conditionalFormatting>
  <conditionalFormatting sqref="AC222">
    <cfRule type="notContainsBlanks" dxfId="671" priority="1000">
      <formula>LEN(TRIM(AC222))&gt;0</formula>
    </cfRule>
  </conditionalFormatting>
  <conditionalFormatting sqref="AE222">
    <cfRule type="notContainsBlanks" dxfId="670" priority="999">
      <formula>LEN(TRIM(AE222))&gt;0</formula>
    </cfRule>
  </conditionalFormatting>
  <conditionalFormatting sqref="AB222">
    <cfRule type="cellIs" dxfId="669" priority="998" operator="equal">
      <formula>0</formula>
    </cfRule>
  </conditionalFormatting>
  <conditionalFormatting sqref="B222">
    <cfRule type="cellIs" dxfId="668" priority="987" operator="equal">
      <formula>0</formula>
    </cfRule>
  </conditionalFormatting>
  <conditionalFormatting sqref="AC174">
    <cfRule type="notContainsBlanks" dxfId="667" priority="986">
      <formula>LEN(TRIM(AC174))&gt;0</formula>
    </cfRule>
  </conditionalFormatting>
  <conditionalFormatting sqref="AE174:AF174">
    <cfRule type="notContainsBlanks" dxfId="666" priority="985">
      <formula>LEN(TRIM(AE174))&gt;0</formula>
    </cfRule>
  </conditionalFormatting>
  <conditionalFormatting sqref="AD174">
    <cfRule type="notContainsBlanks" dxfId="665" priority="984">
      <formula>LEN(TRIM(AD174))&gt;0</formula>
    </cfRule>
  </conditionalFormatting>
  <conditionalFormatting sqref="AB174">
    <cfRule type="cellIs" dxfId="664" priority="982" operator="equal">
      <formula>0</formula>
    </cfRule>
  </conditionalFormatting>
  <conditionalFormatting sqref="AC139:AC140 AC142 AC144:AC146">
    <cfRule type="notContainsBlanks" dxfId="663" priority="980">
      <formula>LEN(TRIM(AC139))&gt;0</formula>
    </cfRule>
  </conditionalFormatting>
  <conditionalFormatting sqref="AE139:AF146">
    <cfRule type="notContainsBlanks" dxfId="662" priority="979">
      <formula>LEN(TRIM(AE139))&gt;0</formula>
    </cfRule>
  </conditionalFormatting>
  <conditionalFormatting sqref="AB139:AB146">
    <cfRule type="cellIs" dxfId="661" priority="976" operator="equal">
      <formula>0</formula>
    </cfRule>
  </conditionalFormatting>
  <conditionalFormatting sqref="D138:AB138">
    <cfRule type="cellIs" dxfId="660" priority="974" operator="equal">
      <formula>0</formula>
    </cfRule>
  </conditionalFormatting>
  <conditionalFormatting sqref="AE312 AE317:AE318">
    <cfRule type="notContainsBlanks" dxfId="659" priority="970">
      <formula>LEN(TRIM(AE312))&gt;0</formula>
    </cfRule>
  </conditionalFormatting>
  <conditionalFormatting sqref="AB312">
    <cfRule type="cellIs" dxfId="658" priority="969" operator="equal">
      <formula>0</formula>
    </cfRule>
  </conditionalFormatting>
  <conditionalFormatting sqref="AC318">
    <cfRule type="notContainsBlanks" dxfId="657" priority="971">
      <formula>LEN(TRIM(AC318))&gt;0</formula>
    </cfRule>
  </conditionalFormatting>
  <conditionalFormatting sqref="AC313:AC314">
    <cfRule type="notContainsBlanks" dxfId="656" priority="968">
      <formula>LEN(TRIM(AC313))&gt;0</formula>
    </cfRule>
  </conditionalFormatting>
  <conditionalFormatting sqref="AE313:AE316">
    <cfRule type="notContainsBlanks" dxfId="655" priority="965">
      <formula>LEN(TRIM(AE313))&gt;0</formula>
    </cfRule>
  </conditionalFormatting>
  <conditionalFormatting sqref="F315:AA315 F313:AA313">
    <cfRule type="cellIs" dxfId="654" priority="963" operator="equal">
      <formula>0</formula>
    </cfRule>
  </conditionalFormatting>
  <conditionalFormatting sqref="AB313:AB321">
    <cfRule type="cellIs" dxfId="653" priority="962" operator="equal">
      <formula>0</formula>
    </cfRule>
  </conditionalFormatting>
  <conditionalFormatting sqref="B314">
    <cfRule type="cellIs" dxfId="652" priority="958" operator="equal">
      <formula>0</formula>
    </cfRule>
  </conditionalFormatting>
  <conditionalFormatting sqref="B316">
    <cfRule type="cellIs" dxfId="651" priority="957" operator="equal">
      <formula>0</formula>
    </cfRule>
  </conditionalFormatting>
  <conditionalFormatting sqref="F314:AA314">
    <cfRule type="cellIs" dxfId="650" priority="956" operator="equal">
      <formula>0</formula>
    </cfRule>
  </conditionalFormatting>
  <conditionalFormatting sqref="F316:AA316">
    <cfRule type="cellIs" dxfId="649" priority="954" operator="equal">
      <formula>0</formula>
    </cfRule>
  </conditionalFormatting>
  <conditionalFormatting sqref="AE320">
    <cfRule type="notContainsBlanks" dxfId="648" priority="952">
      <formula>LEN(TRIM(AE320))&gt;0</formula>
    </cfRule>
  </conditionalFormatting>
  <conditionalFormatting sqref="AE321">
    <cfRule type="notContainsBlanks" dxfId="647" priority="948">
      <formula>LEN(TRIM(AE321))&gt;0</formula>
    </cfRule>
  </conditionalFormatting>
  <conditionalFormatting sqref="F318:AA318">
    <cfRule type="cellIs" dxfId="646" priority="945" operator="equal">
      <formula>0</formula>
    </cfRule>
  </conditionalFormatting>
  <conditionalFormatting sqref="B318">
    <cfRule type="cellIs" dxfId="645" priority="944" operator="equal">
      <formula>0</formula>
    </cfRule>
  </conditionalFormatting>
  <conditionalFormatting sqref="B321">
    <cfRule type="cellIs" dxfId="644" priority="943" operator="equal">
      <formula>0</formula>
    </cfRule>
  </conditionalFormatting>
  <conditionalFormatting sqref="F321:AA321">
    <cfRule type="cellIs" dxfId="643" priority="942" operator="equal">
      <formula>0</formula>
    </cfRule>
  </conditionalFormatting>
  <conditionalFormatting sqref="J65:AA65">
    <cfRule type="expression" dxfId="642" priority="1401">
      <formula>J65&gt;J62</formula>
    </cfRule>
  </conditionalFormatting>
  <conditionalFormatting sqref="D272:AA272">
    <cfRule type="expression" dxfId="641" priority="1404">
      <formula>D272&gt;D252</formula>
    </cfRule>
  </conditionalFormatting>
  <conditionalFormatting sqref="D272:AA272">
    <cfRule type="expression" dxfId="640" priority="1406">
      <formula>(D252*0.7)&gt;D272</formula>
    </cfRule>
  </conditionalFormatting>
  <conditionalFormatting sqref="D251:AA251">
    <cfRule type="cellIs" dxfId="639" priority="939" operator="equal">
      <formula>0</formula>
    </cfRule>
  </conditionalFormatting>
  <conditionalFormatting sqref="AB251">
    <cfRule type="cellIs" dxfId="638" priority="938" operator="equal">
      <formula>0</formula>
    </cfRule>
  </conditionalFormatting>
  <conditionalFormatting sqref="D243:AA243">
    <cfRule type="cellIs" dxfId="637" priority="935" operator="equal">
      <formula>0</formula>
    </cfRule>
  </conditionalFormatting>
  <conditionalFormatting sqref="D243:AA243">
    <cfRule type="cellIs" dxfId="636" priority="934" operator="equal">
      <formula>0</formula>
    </cfRule>
  </conditionalFormatting>
  <conditionalFormatting sqref="J77:AA77">
    <cfRule type="cellIs" dxfId="635" priority="930" operator="equal">
      <formula>0</formula>
    </cfRule>
  </conditionalFormatting>
  <conditionalFormatting sqref="B77">
    <cfRule type="cellIs" dxfId="634" priority="933" operator="equal">
      <formula>0</formula>
    </cfRule>
  </conditionalFormatting>
  <conditionalFormatting sqref="J77:AA77">
    <cfRule type="cellIs" dxfId="633" priority="931" operator="equal">
      <formula>0</formula>
    </cfRule>
  </conditionalFormatting>
  <conditionalFormatting sqref="J77:AA77">
    <cfRule type="expression" dxfId="632" priority="932">
      <formula>J110&gt;J77</formula>
    </cfRule>
  </conditionalFormatting>
  <conditionalFormatting sqref="B66">
    <cfRule type="cellIs" dxfId="631" priority="929" operator="equal">
      <formula>0</formula>
    </cfRule>
  </conditionalFormatting>
  <conditionalFormatting sqref="J66:AA66">
    <cfRule type="cellIs" dxfId="630" priority="926" operator="equal">
      <formula>0</formula>
    </cfRule>
  </conditionalFormatting>
  <conditionalFormatting sqref="J66:AA66">
    <cfRule type="cellIs" dxfId="629" priority="927" operator="equal">
      <formula>0</formula>
    </cfRule>
  </conditionalFormatting>
  <conditionalFormatting sqref="J66:AA66">
    <cfRule type="expression" dxfId="628" priority="928">
      <formula>J99&gt;J66</formula>
    </cfRule>
  </conditionalFormatting>
  <conditionalFormatting sqref="AC269">
    <cfRule type="notContainsBlanks" dxfId="627" priority="894">
      <formula>LEN(TRIM(AC269))&gt;0</formula>
    </cfRule>
  </conditionalFormatting>
  <conditionalFormatting sqref="AE269">
    <cfRule type="notContainsBlanks" dxfId="626" priority="893">
      <formula>LEN(TRIM(AE269))&gt;0</formula>
    </cfRule>
  </conditionalFormatting>
  <conditionalFormatting sqref="AC268:AC269">
    <cfRule type="notContainsBlanks" dxfId="625" priority="890">
      <formula>LEN(TRIM(AC268))&gt;0</formula>
    </cfRule>
  </conditionalFormatting>
  <conditionalFormatting sqref="AE267:AE269">
    <cfRule type="notContainsBlanks" dxfId="624" priority="889">
      <formula>LEN(TRIM(AE267))&gt;0</formula>
    </cfRule>
  </conditionalFormatting>
  <conditionalFormatting sqref="AE280">
    <cfRule type="notContainsBlanks" dxfId="623" priority="877">
      <formula>LEN(TRIM(AE280))&gt;0</formula>
    </cfRule>
  </conditionalFormatting>
  <conditionalFormatting sqref="AB280">
    <cfRule type="cellIs" dxfId="622" priority="876" operator="equal">
      <formula>0</formula>
    </cfRule>
  </conditionalFormatting>
  <conditionalFormatting sqref="AE277">
    <cfRule type="notContainsBlanks" dxfId="621" priority="881">
      <formula>LEN(TRIM(AE277))&gt;0</formula>
    </cfRule>
  </conditionalFormatting>
  <conditionalFormatting sqref="AC279 AC281">
    <cfRule type="notContainsBlanks" dxfId="620" priority="874">
      <formula>LEN(TRIM(AC279))&gt;0</formula>
    </cfRule>
  </conditionalFormatting>
  <conditionalFormatting sqref="AE279:AE281">
    <cfRule type="notContainsBlanks" dxfId="619" priority="873">
      <formula>LEN(TRIM(AE279))&gt;0</formula>
    </cfRule>
  </conditionalFormatting>
  <conditionalFormatting sqref="AB279:AB280">
    <cfRule type="cellIs" dxfId="618" priority="872" operator="equal">
      <formula>0</formula>
    </cfRule>
  </conditionalFormatting>
  <conditionalFormatting sqref="D269:AA269">
    <cfRule type="cellIs" dxfId="617" priority="868" operator="equal">
      <formula>0</formula>
    </cfRule>
  </conditionalFormatting>
  <conditionalFormatting sqref="D269:AA269">
    <cfRule type="cellIs" dxfId="616" priority="867" operator="equal">
      <formula>0</formula>
    </cfRule>
  </conditionalFormatting>
  <conditionalFormatting sqref="D269:AA269">
    <cfRule type="cellIs" dxfId="615" priority="866" operator="equal">
      <formula>0</formula>
    </cfRule>
  </conditionalFormatting>
  <conditionalFormatting sqref="AC270:AC275">
    <cfRule type="notContainsBlanks" dxfId="614" priority="862">
      <formula>LEN(TRIM(AC270))&gt;0</formula>
    </cfRule>
  </conditionalFormatting>
  <conditionalFormatting sqref="AE270:AE276">
    <cfRule type="notContainsBlanks" dxfId="613" priority="861">
      <formula>LEN(TRIM(AE270))&gt;0</formula>
    </cfRule>
  </conditionalFormatting>
  <conditionalFormatting sqref="AC278">
    <cfRule type="notContainsBlanks" dxfId="612" priority="853">
      <formula>LEN(TRIM(AC278))&gt;0</formula>
    </cfRule>
  </conditionalFormatting>
  <conditionalFormatting sqref="AE278">
    <cfRule type="notContainsBlanks" dxfId="611" priority="852">
      <formula>LEN(TRIM(AE278))&gt;0</formula>
    </cfRule>
  </conditionalFormatting>
  <conditionalFormatting sqref="AB278">
    <cfRule type="cellIs" dxfId="610" priority="851" operator="equal">
      <formula>0</formula>
    </cfRule>
  </conditionalFormatting>
  <conditionalFormatting sqref="D280:AA280">
    <cfRule type="cellIs" dxfId="609" priority="849" operator="equal">
      <formula>0</formula>
    </cfRule>
  </conditionalFormatting>
  <conditionalFormatting sqref="D280:AA280">
    <cfRule type="cellIs" dxfId="608" priority="848" operator="equal">
      <formula>0</formula>
    </cfRule>
  </conditionalFormatting>
  <conditionalFormatting sqref="D280:AA280">
    <cfRule type="cellIs" dxfId="607" priority="847" operator="equal">
      <formula>0</formula>
    </cfRule>
  </conditionalFormatting>
  <conditionalFormatting sqref="AC282">
    <cfRule type="notContainsBlanks" dxfId="606" priority="842">
      <formula>LEN(TRIM(AC282))&gt;0</formula>
    </cfRule>
  </conditionalFormatting>
  <conditionalFormatting sqref="AE282">
    <cfRule type="notContainsBlanks" dxfId="605" priority="841">
      <formula>LEN(TRIM(AE282))&gt;0</formula>
    </cfRule>
  </conditionalFormatting>
  <conditionalFormatting sqref="D282:AA282">
    <cfRule type="cellIs" dxfId="604" priority="840" operator="equal">
      <formula>0</formula>
    </cfRule>
  </conditionalFormatting>
  <conditionalFormatting sqref="AB282">
    <cfRule type="cellIs" dxfId="603" priority="839" operator="equal">
      <formula>0</formula>
    </cfRule>
  </conditionalFormatting>
  <conditionalFormatting sqref="D282:AA282">
    <cfRule type="cellIs" dxfId="602" priority="838" operator="equal">
      <formula>0</formula>
    </cfRule>
  </conditionalFormatting>
  <conditionalFormatting sqref="AC283">
    <cfRule type="notContainsBlanks" dxfId="601" priority="836">
      <formula>LEN(TRIM(AC283))&gt;0</formula>
    </cfRule>
  </conditionalFormatting>
  <conditionalFormatting sqref="AE283">
    <cfRule type="notContainsBlanks" dxfId="600" priority="835">
      <formula>LEN(TRIM(AE283))&gt;0</formula>
    </cfRule>
  </conditionalFormatting>
  <conditionalFormatting sqref="AB283:AB288">
    <cfRule type="cellIs" dxfId="599" priority="834" operator="equal">
      <formula>0</formula>
    </cfRule>
  </conditionalFormatting>
  <conditionalFormatting sqref="AC288">
    <cfRule type="notContainsBlanks" dxfId="598" priority="826">
      <formula>LEN(TRIM(AC288))&gt;0</formula>
    </cfRule>
  </conditionalFormatting>
  <conditionalFormatting sqref="AE288">
    <cfRule type="notContainsBlanks" dxfId="597" priority="825">
      <formula>LEN(TRIM(AE288))&gt;0</formula>
    </cfRule>
  </conditionalFormatting>
  <conditionalFormatting sqref="AC287">
    <cfRule type="notContainsBlanks" dxfId="596" priority="829">
      <formula>LEN(TRIM(AC287))&gt;0</formula>
    </cfRule>
  </conditionalFormatting>
  <conditionalFormatting sqref="AE287">
    <cfRule type="notContainsBlanks" dxfId="595" priority="828">
      <formula>LEN(TRIM(AE287))&gt;0</formula>
    </cfRule>
  </conditionalFormatting>
  <conditionalFormatting sqref="D281:AB281">
    <cfRule type="cellIs" dxfId="594" priority="798" operator="equal">
      <formula>0</formula>
    </cfRule>
  </conditionalFormatting>
  <conditionalFormatting sqref="D281:AB281">
    <cfRule type="cellIs" dxfId="593" priority="797" operator="equal">
      <formula>0</formula>
    </cfRule>
  </conditionalFormatting>
  <conditionalFormatting sqref="D281:AB281">
    <cfRule type="cellIs" dxfId="592" priority="796" operator="equal">
      <formula>0</formula>
    </cfRule>
  </conditionalFormatting>
  <conditionalFormatting sqref="D9:AA9">
    <cfRule type="expression" dxfId="591" priority="793">
      <formula>D9&gt;D8</formula>
    </cfRule>
  </conditionalFormatting>
  <conditionalFormatting sqref="D8:AA8">
    <cfRule type="expression" dxfId="590" priority="792">
      <formula>D9&gt;D8</formula>
    </cfRule>
  </conditionalFormatting>
  <conditionalFormatting sqref="D9:AA9">
    <cfRule type="expression" dxfId="589" priority="791">
      <formula>D10&gt;D9</formula>
    </cfRule>
  </conditionalFormatting>
  <conditionalFormatting sqref="AC8">
    <cfRule type="notContainsBlanks" dxfId="588" priority="789">
      <formula>LEN(TRIM(AC8))&gt;0</formula>
    </cfRule>
  </conditionalFormatting>
  <conditionalFormatting sqref="AC9">
    <cfRule type="notContainsBlanks" dxfId="587" priority="788">
      <formula>LEN(TRIM(AC9))&gt;0</formula>
    </cfRule>
  </conditionalFormatting>
  <conditionalFormatting sqref="J62:AA62">
    <cfRule type="expression" dxfId="586" priority="787">
      <formula>J65&gt;J62</formula>
    </cfRule>
  </conditionalFormatting>
  <conditionalFormatting sqref="J64:AA64">
    <cfRule type="expression" dxfId="585" priority="786">
      <formula>J64&gt;J63</formula>
    </cfRule>
  </conditionalFormatting>
  <conditionalFormatting sqref="J63:AA63">
    <cfRule type="expression" dxfId="584" priority="785">
      <formula>J64&gt;J63</formula>
    </cfRule>
  </conditionalFormatting>
  <conditionalFormatting sqref="AC63">
    <cfRule type="notContainsBlanks" dxfId="583" priority="784">
      <formula>LEN(TRIM(AC63))&gt;0</formula>
    </cfRule>
  </conditionalFormatting>
  <conditionalFormatting sqref="J77:AA77">
    <cfRule type="expression" dxfId="582" priority="783">
      <formula>J77&lt;J66</formula>
    </cfRule>
  </conditionalFormatting>
  <conditionalFormatting sqref="J66:AA66">
    <cfRule type="expression" dxfId="581" priority="782">
      <formula>J66&gt;J77</formula>
    </cfRule>
  </conditionalFormatting>
  <conditionalFormatting sqref="AC77">
    <cfRule type="notContainsBlanks" dxfId="580" priority="781">
      <formula>LEN(TRIM(AC77))&gt;0</formula>
    </cfRule>
  </conditionalFormatting>
  <conditionalFormatting sqref="J65:AA65">
    <cfRule type="expression" dxfId="579" priority="780">
      <formula>J66&gt;J65</formula>
    </cfRule>
  </conditionalFormatting>
  <conditionalFormatting sqref="J77:AA77 D252:AB252">
    <cfRule type="expression" dxfId="578" priority="779">
      <formula>D76&gt;D77</formula>
    </cfRule>
  </conditionalFormatting>
  <conditionalFormatting sqref="J76:AA76">
    <cfRule type="expression" dxfId="577" priority="778">
      <formula>J76&gt;J77</formula>
    </cfRule>
  </conditionalFormatting>
  <conditionalFormatting sqref="AC76">
    <cfRule type="notContainsBlanks" dxfId="576" priority="777">
      <formula>LEN(TRIM(AC76))&gt;0</formula>
    </cfRule>
  </conditionalFormatting>
  <conditionalFormatting sqref="J73:AA73">
    <cfRule type="expression" dxfId="575" priority="774">
      <formula>J73&gt;J77</formula>
    </cfRule>
  </conditionalFormatting>
  <conditionalFormatting sqref="J77:AA77">
    <cfRule type="expression" dxfId="574" priority="773">
      <formula>J73&gt;J77</formula>
    </cfRule>
  </conditionalFormatting>
  <conditionalFormatting sqref="AC73">
    <cfRule type="notContainsBlanks" dxfId="573" priority="772">
      <formula>LEN(TRIM(AC73))&gt;0</formula>
    </cfRule>
  </conditionalFormatting>
  <conditionalFormatting sqref="J85:AA85">
    <cfRule type="expression" dxfId="572" priority="771">
      <formula>J85&gt;J84</formula>
    </cfRule>
  </conditionalFormatting>
  <conditionalFormatting sqref="J84:AA84">
    <cfRule type="expression" dxfId="571" priority="770">
      <formula>J85&gt;J84</formula>
    </cfRule>
  </conditionalFormatting>
  <conditionalFormatting sqref="J84:AA84">
    <cfRule type="expression" dxfId="570" priority="769">
      <formula>(J84+J85+J86)&gt;J77</formula>
    </cfRule>
  </conditionalFormatting>
  <conditionalFormatting sqref="J77:AA77">
    <cfRule type="expression" dxfId="569" priority="768">
      <formula>(J84+J85+J86)&gt;J77</formula>
    </cfRule>
  </conditionalFormatting>
  <conditionalFormatting sqref="J86:AA86">
    <cfRule type="expression" dxfId="568" priority="767">
      <formula>(J84+J85+J86)&gt;J77</formula>
    </cfRule>
  </conditionalFormatting>
  <conditionalFormatting sqref="D101:AA101">
    <cfRule type="expression" dxfId="567" priority="766">
      <formula>D101&gt;D99</formula>
    </cfRule>
  </conditionalFormatting>
  <conditionalFormatting sqref="D102:AA102">
    <cfRule type="expression" dxfId="566" priority="765">
      <formula>D102&gt;D100</formula>
    </cfRule>
  </conditionalFormatting>
  <conditionalFormatting sqref="M192">
    <cfRule type="expression" dxfId="565" priority="760">
      <formula>(M193+M194)&gt;M192</formula>
    </cfRule>
  </conditionalFormatting>
  <conditionalFormatting sqref="O192">
    <cfRule type="expression" dxfId="564" priority="759">
      <formula>(O193+O194)&gt;O192</formula>
    </cfRule>
  </conditionalFormatting>
  <conditionalFormatting sqref="Q192">
    <cfRule type="expression" dxfId="563" priority="758">
      <formula>(Q193+Q194)&gt;Q192</formula>
    </cfRule>
  </conditionalFormatting>
  <conditionalFormatting sqref="U192">
    <cfRule type="expression" dxfId="562" priority="757">
      <formula>(U193+U194)&gt;U192</formula>
    </cfRule>
  </conditionalFormatting>
  <conditionalFormatting sqref="W192">
    <cfRule type="expression" dxfId="561" priority="756">
      <formula>(W193+W194)&gt;W192</formula>
    </cfRule>
  </conditionalFormatting>
  <conditionalFormatting sqref="Y192">
    <cfRule type="expression" dxfId="560" priority="755">
      <formula>(Y193+Y194)&gt;Y192</formula>
    </cfRule>
  </conditionalFormatting>
  <conditionalFormatting sqref="M193">
    <cfRule type="expression" dxfId="559" priority="752">
      <formula>M193&gt;M192</formula>
    </cfRule>
    <cfRule type="expression" dxfId="558" priority="753">
      <formula>M226&gt;M193</formula>
    </cfRule>
  </conditionalFormatting>
  <conditionalFormatting sqref="O193">
    <cfRule type="expression" dxfId="557" priority="750">
      <formula>O193&gt;O192</formula>
    </cfRule>
    <cfRule type="expression" dxfId="556" priority="751">
      <formula>O226&gt;O193</formula>
    </cfRule>
  </conditionalFormatting>
  <conditionalFormatting sqref="Q193">
    <cfRule type="expression" dxfId="555" priority="748">
      <formula>Q193&gt;Q192</formula>
    </cfRule>
    <cfRule type="expression" dxfId="554" priority="749">
      <formula>Q226&gt;Q193</formula>
    </cfRule>
  </conditionalFormatting>
  <conditionalFormatting sqref="S193">
    <cfRule type="expression" dxfId="553" priority="746">
      <formula>S193&gt;S192</formula>
    </cfRule>
    <cfRule type="expression" dxfId="552" priority="747">
      <formula>S226&gt;S193</formula>
    </cfRule>
  </conditionalFormatting>
  <conditionalFormatting sqref="U193">
    <cfRule type="expression" dxfId="551" priority="744">
      <formula>U193&gt;U192</formula>
    </cfRule>
    <cfRule type="expression" dxfId="550" priority="745">
      <formula>U226&gt;U193</formula>
    </cfRule>
  </conditionalFormatting>
  <conditionalFormatting sqref="W193">
    <cfRule type="expression" dxfId="549" priority="742">
      <formula>W193&gt;W192</formula>
    </cfRule>
    <cfRule type="expression" dxfId="548" priority="743">
      <formula>W226&gt;W193</formula>
    </cfRule>
  </conditionalFormatting>
  <conditionalFormatting sqref="Y193">
    <cfRule type="expression" dxfId="547" priority="740">
      <formula>Y193&gt;Y192</formula>
    </cfRule>
    <cfRule type="expression" dxfId="546" priority="741">
      <formula>Y226&gt;Y193</formula>
    </cfRule>
  </conditionalFormatting>
  <conditionalFormatting sqref="K195">
    <cfRule type="expression" dxfId="545" priority="739">
      <formula>K195&gt;K194</formula>
    </cfRule>
  </conditionalFormatting>
  <conditionalFormatting sqref="M195">
    <cfRule type="expression" dxfId="544" priority="738">
      <formula>M195&gt;M194</formula>
    </cfRule>
  </conditionalFormatting>
  <conditionalFormatting sqref="O195">
    <cfRule type="expression" dxfId="543" priority="737">
      <formula>O195&gt;O194</formula>
    </cfRule>
  </conditionalFormatting>
  <conditionalFormatting sqref="Q195">
    <cfRule type="expression" dxfId="542" priority="736">
      <formula>Q195&gt;Q194</formula>
    </cfRule>
  </conditionalFormatting>
  <conditionalFormatting sqref="S195">
    <cfRule type="expression" dxfId="541" priority="735">
      <formula>S195&gt;S194</formula>
    </cfRule>
  </conditionalFormatting>
  <conditionalFormatting sqref="U195">
    <cfRule type="expression" dxfId="540" priority="734">
      <formula>U195&gt;U194</formula>
    </cfRule>
  </conditionalFormatting>
  <conditionalFormatting sqref="W195">
    <cfRule type="expression" dxfId="539" priority="733">
      <formula>W195&gt;W194</formula>
    </cfRule>
  </conditionalFormatting>
  <conditionalFormatting sqref="Y195">
    <cfRule type="expression" dxfId="538" priority="732">
      <formula>Y195&gt;Y194</formula>
    </cfRule>
  </conditionalFormatting>
  <conditionalFormatting sqref="K199">
    <cfRule type="expression" dxfId="537" priority="560">
      <formula>K229&lt;&gt;K199</formula>
    </cfRule>
    <cfRule type="expression" dxfId="536" priority="731">
      <formula>K199&gt;K198</formula>
    </cfRule>
  </conditionalFormatting>
  <conditionalFormatting sqref="M199">
    <cfRule type="expression" dxfId="535" priority="730">
      <formula>M199&gt;M198</formula>
    </cfRule>
  </conditionalFormatting>
  <conditionalFormatting sqref="O199">
    <cfRule type="expression" dxfId="534" priority="729">
      <formula>O199&gt;O198</formula>
    </cfRule>
  </conditionalFormatting>
  <conditionalFormatting sqref="Q199">
    <cfRule type="expression" dxfId="533" priority="728">
      <formula>Q199&gt;Q198</formula>
    </cfRule>
  </conditionalFormatting>
  <conditionalFormatting sqref="S199">
    <cfRule type="expression" dxfId="532" priority="727">
      <formula>S199&gt;S198</formula>
    </cfRule>
  </conditionalFormatting>
  <conditionalFormatting sqref="U199">
    <cfRule type="expression" dxfId="531" priority="726">
      <formula>U199&gt;U198</formula>
    </cfRule>
  </conditionalFormatting>
  <conditionalFormatting sqref="W199">
    <cfRule type="expression" dxfId="530" priority="725">
      <formula>W199&gt;W198</formula>
    </cfRule>
  </conditionalFormatting>
  <conditionalFormatting sqref="Y199">
    <cfRule type="expression" dxfId="529" priority="724">
      <formula>Y199&gt;Y198</formula>
    </cfRule>
  </conditionalFormatting>
  <conditionalFormatting sqref="AC200">
    <cfRule type="notContainsBlanks" dxfId="528" priority="723">
      <formula>LEN(TRIM(AC200))&gt;0</formula>
    </cfRule>
  </conditionalFormatting>
  <conditionalFormatting sqref="K200">
    <cfRule type="expression" dxfId="527" priority="722">
      <formula>K201&gt;K200</formula>
    </cfRule>
  </conditionalFormatting>
  <conditionalFormatting sqref="K201">
    <cfRule type="expression" dxfId="526" priority="501">
      <formula>K230&lt;&gt;K201</formula>
    </cfRule>
    <cfRule type="expression" dxfId="525" priority="721">
      <formula>K201&gt;K200</formula>
    </cfRule>
  </conditionalFormatting>
  <conditionalFormatting sqref="M200">
    <cfRule type="expression" dxfId="524" priority="720">
      <formula>M201&gt;M200</formula>
    </cfRule>
  </conditionalFormatting>
  <conditionalFormatting sqref="M201">
    <cfRule type="expression" dxfId="523" priority="719">
      <formula>M201&gt;M200</formula>
    </cfRule>
  </conditionalFormatting>
  <conditionalFormatting sqref="O200">
    <cfRule type="expression" dxfId="522" priority="718">
      <formula>O201&gt;O200</formula>
    </cfRule>
  </conditionalFormatting>
  <conditionalFormatting sqref="O201">
    <cfRule type="expression" dxfId="521" priority="717">
      <formula>O201&gt;O200</formula>
    </cfRule>
  </conditionalFormatting>
  <conditionalFormatting sqref="Q200">
    <cfRule type="expression" dxfId="520" priority="716">
      <formula>Q201&gt;Q200</formula>
    </cfRule>
  </conditionalFormatting>
  <conditionalFormatting sqref="Q201">
    <cfRule type="expression" dxfId="519" priority="715">
      <formula>Q201&gt;Q200</formula>
    </cfRule>
  </conditionalFormatting>
  <conditionalFormatting sqref="S200">
    <cfRule type="expression" dxfId="518" priority="714">
      <formula>S201&gt;S200</formula>
    </cfRule>
  </conditionalFormatting>
  <conditionalFormatting sqref="S201">
    <cfRule type="expression" dxfId="517" priority="713">
      <formula>S201&gt;S200</formula>
    </cfRule>
  </conditionalFormatting>
  <conditionalFormatting sqref="U200">
    <cfRule type="expression" dxfId="516" priority="712">
      <formula>U201&gt;U200</formula>
    </cfRule>
  </conditionalFormatting>
  <conditionalFormatting sqref="U201">
    <cfRule type="expression" dxfId="515" priority="711">
      <formula>U201&gt;U200</formula>
    </cfRule>
  </conditionalFormatting>
  <conditionalFormatting sqref="W200">
    <cfRule type="expression" dxfId="514" priority="710">
      <formula>W201&gt;W200</formula>
    </cfRule>
  </conditionalFormatting>
  <conditionalFormatting sqref="W201">
    <cfRule type="expression" dxfId="513" priority="709">
      <formula>W201&gt;W200</formula>
    </cfRule>
  </conditionalFormatting>
  <conditionalFormatting sqref="Y200">
    <cfRule type="expression" dxfId="512" priority="708">
      <formula>Y201&gt;Y200</formula>
    </cfRule>
  </conditionalFormatting>
  <conditionalFormatting sqref="Y201">
    <cfRule type="expression" dxfId="511" priority="707">
      <formula>Y201&gt;Y200</formula>
    </cfRule>
  </conditionalFormatting>
  <conditionalFormatting sqref="AC204">
    <cfRule type="notContainsBlanks" dxfId="510" priority="706">
      <formula>LEN(TRIM(AC204))&gt;0</formula>
    </cfRule>
  </conditionalFormatting>
  <conditionalFormatting sqref="K205">
    <cfRule type="expression" dxfId="509" priority="705">
      <formula>K205&gt;K204</formula>
    </cfRule>
  </conditionalFormatting>
  <conditionalFormatting sqref="M205">
    <cfRule type="expression" dxfId="508" priority="703">
      <formula>M205&gt;M204</formula>
    </cfRule>
  </conditionalFormatting>
  <conditionalFormatting sqref="M204">
    <cfRule type="expression" dxfId="507" priority="702">
      <formula>M205&gt;M204</formula>
    </cfRule>
  </conditionalFormatting>
  <conditionalFormatting sqref="O205">
    <cfRule type="expression" dxfId="506" priority="701">
      <formula>O205&gt;O204</formula>
    </cfRule>
  </conditionalFormatting>
  <conditionalFormatting sqref="O204">
    <cfRule type="expression" dxfId="505" priority="700">
      <formula>O205&gt;O204</formula>
    </cfRule>
  </conditionalFormatting>
  <conditionalFormatting sqref="Q205">
    <cfRule type="expression" dxfId="504" priority="699">
      <formula>Q205&gt;Q204</formula>
    </cfRule>
  </conditionalFormatting>
  <conditionalFormatting sqref="Q204">
    <cfRule type="expression" dxfId="503" priority="698">
      <formula>Q205&gt;Q204</formula>
    </cfRule>
  </conditionalFormatting>
  <conditionalFormatting sqref="S205">
    <cfRule type="expression" dxfId="502" priority="697">
      <formula>S205&gt;S204</formula>
    </cfRule>
  </conditionalFormatting>
  <conditionalFormatting sqref="S204">
    <cfRule type="expression" dxfId="501" priority="696">
      <formula>S205&gt;S204</formula>
    </cfRule>
  </conditionalFormatting>
  <conditionalFormatting sqref="U205">
    <cfRule type="expression" dxfId="500" priority="695">
      <formula>U205&gt;U204</formula>
    </cfRule>
  </conditionalFormatting>
  <conditionalFormatting sqref="U204">
    <cfRule type="expression" dxfId="499" priority="694">
      <formula>U205&gt;U204</formula>
    </cfRule>
  </conditionalFormatting>
  <conditionalFormatting sqref="W205">
    <cfRule type="expression" dxfId="498" priority="693">
      <formula>W205&gt;W204</formula>
    </cfRule>
  </conditionalFormatting>
  <conditionalFormatting sqref="W204">
    <cfRule type="expression" dxfId="497" priority="692">
      <formula>W205&gt;W204</formula>
    </cfRule>
  </conditionalFormatting>
  <conditionalFormatting sqref="Y205">
    <cfRule type="expression" dxfId="496" priority="691">
      <formula>Y205&gt;Y204</formula>
    </cfRule>
  </conditionalFormatting>
  <conditionalFormatting sqref="Y204">
    <cfRule type="expression" dxfId="495" priority="690">
      <formula>Y205&gt;Y204</formula>
    </cfRule>
  </conditionalFormatting>
  <conditionalFormatting sqref="O207">
    <cfRule type="expression" dxfId="494" priority="689">
      <formula>O207&gt;O206</formula>
    </cfRule>
  </conditionalFormatting>
  <conditionalFormatting sqref="Q206">
    <cfRule type="expression" dxfId="493" priority="688">
      <formula>Q207&gt;Q206</formula>
    </cfRule>
  </conditionalFormatting>
  <conditionalFormatting sqref="Q206">
    <cfRule type="expression" dxfId="492" priority="687">
      <formula>Q207&gt;Q206</formula>
    </cfRule>
  </conditionalFormatting>
  <conditionalFormatting sqref="S206">
    <cfRule type="expression" dxfId="491" priority="686">
      <formula>S207&gt;S206</formula>
    </cfRule>
  </conditionalFormatting>
  <conditionalFormatting sqref="S206">
    <cfRule type="expression" dxfId="490" priority="685">
      <formula>S207&gt;S206</formula>
    </cfRule>
  </conditionalFormatting>
  <conditionalFormatting sqref="U206">
    <cfRule type="expression" dxfId="489" priority="684">
      <formula>U207&gt;U206</formula>
    </cfRule>
  </conditionalFormatting>
  <conditionalFormatting sqref="U206">
    <cfRule type="expression" dxfId="488" priority="683">
      <formula>U207&gt;U206</formula>
    </cfRule>
  </conditionalFormatting>
  <conditionalFormatting sqref="W206">
    <cfRule type="expression" dxfId="487" priority="682">
      <formula>W207&gt;W206</formula>
    </cfRule>
  </conditionalFormatting>
  <conditionalFormatting sqref="W206">
    <cfRule type="expression" dxfId="486" priority="681">
      <formula>W207&gt;W206</formula>
    </cfRule>
  </conditionalFormatting>
  <conditionalFormatting sqref="Y206">
    <cfRule type="expression" dxfId="485" priority="680">
      <formula>Y207&gt;Y206</formula>
    </cfRule>
  </conditionalFormatting>
  <conditionalFormatting sqref="Y206">
    <cfRule type="expression" dxfId="484" priority="679">
      <formula>Y207&gt;Y206</formula>
    </cfRule>
  </conditionalFormatting>
  <conditionalFormatting sqref="K207">
    <cfRule type="expression" dxfId="483" priority="678">
      <formula>K233&gt;K207</formula>
    </cfRule>
  </conditionalFormatting>
  <conditionalFormatting sqref="K207">
    <cfRule type="expression" dxfId="482" priority="677">
      <formula>K207&gt;K206</formula>
    </cfRule>
  </conditionalFormatting>
  <conditionalFormatting sqref="M207">
    <cfRule type="expression" dxfId="481" priority="676">
      <formula>M207&gt;M206</formula>
    </cfRule>
  </conditionalFormatting>
  <conditionalFormatting sqref="Q207">
    <cfRule type="expression" dxfId="480" priority="675">
      <formula>Q207&gt;Q206</formula>
    </cfRule>
  </conditionalFormatting>
  <conditionalFormatting sqref="S207">
    <cfRule type="expression" dxfId="479" priority="674">
      <formula>S207&gt;S206</formula>
    </cfRule>
  </conditionalFormatting>
  <conditionalFormatting sqref="U207">
    <cfRule type="expression" dxfId="478" priority="673">
      <formula>U207&gt;U206</formula>
    </cfRule>
  </conditionalFormatting>
  <conditionalFormatting sqref="W207">
    <cfRule type="expression" dxfId="477" priority="672">
      <formula>W207&gt;W206</formula>
    </cfRule>
  </conditionalFormatting>
  <conditionalFormatting sqref="Y207">
    <cfRule type="expression" dxfId="476" priority="671">
      <formula>Y207&gt;Y206</formula>
    </cfRule>
  </conditionalFormatting>
  <conditionalFormatting sqref="K208">
    <cfRule type="expression" dxfId="475" priority="669">
      <formula>K209&gt;K208</formula>
    </cfRule>
  </conditionalFormatting>
  <conditionalFormatting sqref="M208">
    <cfRule type="expression" dxfId="474" priority="665">
      <formula>M209&gt;M208</formula>
    </cfRule>
  </conditionalFormatting>
  <conditionalFormatting sqref="O208">
    <cfRule type="expression" dxfId="473" priority="661">
      <formula>O209&gt;O208</formula>
    </cfRule>
  </conditionalFormatting>
  <conditionalFormatting sqref="Q208">
    <cfRule type="expression" dxfId="472" priority="657">
      <formula>Q209&gt;Q208</formula>
    </cfRule>
  </conditionalFormatting>
  <conditionalFormatting sqref="S208">
    <cfRule type="expression" dxfId="471" priority="653">
      <formula>S209&gt;S208</formula>
    </cfRule>
  </conditionalFormatting>
  <conditionalFormatting sqref="U208">
    <cfRule type="expression" dxfId="470" priority="649">
      <formula>U209&gt;U208</formula>
    </cfRule>
  </conditionalFormatting>
  <conditionalFormatting sqref="W208">
    <cfRule type="expression" dxfId="469" priority="645">
      <formula>W209&gt;W208</formula>
    </cfRule>
  </conditionalFormatting>
  <conditionalFormatting sqref="Y208">
    <cfRule type="expression" dxfId="468" priority="641">
      <formula>Y209&gt;Y208</formula>
    </cfRule>
  </conditionalFormatting>
  <conditionalFormatting sqref="K210">
    <cfRule type="expression" dxfId="467" priority="637">
      <formula>K211&gt;K210</formula>
    </cfRule>
  </conditionalFormatting>
  <conditionalFormatting sqref="K211">
    <cfRule type="expression" dxfId="466" priority="440">
      <formula>K235&gt;K211</formula>
    </cfRule>
    <cfRule type="expression" dxfId="465" priority="638">
      <formula>K237&gt;K211</formula>
    </cfRule>
  </conditionalFormatting>
  <conditionalFormatting sqref="K211">
    <cfRule type="expression" dxfId="464" priority="636">
      <formula>K237&gt;K211</formula>
    </cfRule>
  </conditionalFormatting>
  <conditionalFormatting sqref="K211">
    <cfRule type="expression" dxfId="463" priority="635">
      <formula>K211&gt;K210</formula>
    </cfRule>
  </conditionalFormatting>
  <conditionalFormatting sqref="M210">
    <cfRule type="expression" dxfId="462" priority="633">
      <formula>M211&gt;M210</formula>
    </cfRule>
  </conditionalFormatting>
  <conditionalFormatting sqref="M211">
    <cfRule type="expression" dxfId="461" priority="634">
      <formula>M237&gt;M211</formula>
    </cfRule>
  </conditionalFormatting>
  <conditionalFormatting sqref="M211">
    <cfRule type="expression" dxfId="460" priority="632">
      <formula>M237&gt;M211</formula>
    </cfRule>
  </conditionalFormatting>
  <conditionalFormatting sqref="M211">
    <cfRule type="expression" dxfId="459" priority="631">
      <formula>M211&gt;M210</formula>
    </cfRule>
  </conditionalFormatting>
  <conditionalFormatting sqref="O210">
    <cfRule type="expression" dxfId="458" priority="629">
      <formula>O211&gt;O210</formula>
    </cfRule>
  </conditionalFormatting>
  <conditionalFormatting sqref="O211">
    <cfRule type="expression" dxfId="457" priority="630">
      <formula>O237&gt;O211</formula>
    </cfRule>
  </conditionalFormatting>
  <conditionalFormatting sqref="O211">
    <cfRule type="expression" dxfId="456" priority="628">
      <formula>O237&gt;O211</formula>
    </cfRule>
  </conditionalFormatting>
  <conditionalFormatting sqref="O211">
    <cfRule type="expression" dxfId="455" priority="627">
      <formula>O211&gt;O210</formula>
    </cfRule>
  </conditionalFormatting>
  <conditionalFormatting sqref="Q210">
    <cfRule type="expression" dxfId="454" priority="625">
      <formula>Q211&gt;Q210</formula>
    </cfRule>
  </conditionalFormatting>
  <conditionalFormatting sqref="Q211">
    <cfRule type="expression" dxfId="453" priority="626">
      <formula>Q237&gt;Q211</formula>
    </cfRule>
  </conditionalFormatting>
  <conditionalFormatting sqref="Q211">
    <cfRule type="expression" dxfId="452" priority="624">
      <formula>Q237&gt;Q211</formula>
    </cfRule>
  </conditionalFormatting>
  <conditionalFormatting sqref="Q211">
    <cfRule type="expression" dxfId="451" priority="623">
      <formula>Q211&gt;Q210</formula>
    </cfRule>
  </conditionalFormatting>
  <conditionalFormatting sqref="S210">
    <cfRule type="expression" dxfId="450" priority="621">
      <formula>S211&gt;S210</formula>
    </cfRule>
  </conditionalFormatting>
  <conditionalFormatting sqref="S211">
    <cfRule type="expression" dxfId="449" priority="622">
      <formula>S237&gt;S211</formula>
    </cfRule>
  </conditionalFormatting>
  <conditionalFormatting sqref="S211">
    <cfRule type="expression" dxfId="448" priority="620">
      <formula>S237&gt;S211</formula>
    </cfRule>
  </conditionalFormatting>
  <conditionalFormatting sqref="S211">
    <cfRule type="expression" dxfId="447" priority="619">
      <formula>S211&gt;S210</formula>
    </cfRule>
  </conditionalFormatting>
  <conditionalFormatting sqref="U210">
    <cfRule type="expression" dxfId="446" priority="617">
      <formula>U211&gt;U210</formula>
    </cfRule>
  </conditionalFormatting>
  <conditionalFormatting sqref="U211">
    <cfRule type="expression" dxfId="445" priority="618">
      <formula>U237&gt;U211</formula>
    </cfRule>
  </conditionalFormatting>
  <conditionalFormatting sqref="U211">
    <cfRule type="expression" dxfId="444" priority="616">
      <formula>U237&gt;U211</formula>
    </cfRule>
  </conditionalFormatting>
  <conditionalFormatting sqref="U211">
    <cfRule type="expression" dxfId="443" priority="615">
      <formula>U211&gt;U210</formula>
    </cfRule>
  </conditionalFormatting>
  <conditionalFormatting sqref="W210">
    <cfRule type="expression" dxfId="442" priority="613">
      <formula>W211&gt;W210</formula>
    </cfRule>
  </conditionalFormatting>
  <conditionalFormatting sqref="W211">
    <cfRule type="expression" dxfId="441" priority="614">
      <formula>W237&gt;W211</formula>
    </cfRule>
  </conditionalFormatting>
  <conditionalFormatting sqref="W211">
    <cfRule type="expression" dxfId="440" priority="612">
      <formula>W237&gt;W211</formula>
    </cfRule>
  </conditionalFormatting>
  <conditionalFormatting sqref="W211">
    <cfRule type="expression" dxfId="439" priority="611">
      <formula>W211&gt;W210</formula>
    </cfRule>
  </conditionalFormatting>
  <conditionalFormatting sqref="Y210">
    <cfRule type="expression" dxfId="438" priority="609">
      <formula>Y211&gt;Y210</formula>
    </cfRule>
  </conditionalFormatting>
  <conditionalFormatting sqref="Y211">
    <cfRule type="expression" dxfId="437" priority="610">
      <formula>Y237&gt;Y211</formula>
    </cfRule>
  </conditionalFormatting>
  <conditionalFormatting sqref="Y211">
    <cfRule type="expression" dxfId="436" priority="608">
      <formula>Y237&gt;Y211</formula>
    </cfRule>
  </conditionalFormatting>
  <conditionalFormatting sqref="Y211">
    <cfRule type="expression" dxfId="435" priority="607">
      <formula>Y211&gt;Y210</formula>
    </cfRule>
  </conditionalFormatting>
  <conditionalFormatting sqref="AC208">
    <cfRule type="notContainsBlanks" dxfId="434" priority="606">
      <formula>LEN(TRIM(AC208))&gt;0</formula>
    </cfRule>
  </conditionalFormatting>
  <conditionalFormatting sqref="AC210">
    <cfRule type="notContainsBlanks" dxfId="433" priority="605">
      <formula>LEN(TRIM(AC210))&gt;0</formula>
    </cfRule>
  </conditionalFormatting>
  <conditionalFormatting sqref="D214:E215">
    <cfRule type="cellIs" dxfId="432" priority="604" operator="equal">
      <formula>0</formula>
    </cfRule>
  </conditionalFormatting>
  <conditionalFormatting sqref="D216:E216">
    <cfRule type="expression" dxfId="431" priority="586">
      <formula>D219&gt;D216</formula>
    </cfRule>
    <cfRule type="cellIs" dxfId="430" priority="601" operator="equal">
      <formula>0</formula>
    </cfRule>
  </conditionalFormatting>
  <conditionalFormatting sqref="D217:E218">
    <cfRule type="cellIs" dxfId="429" priority="600" operator="equal">
      <formula>0</formula>
    </cfRule>
  </conditionalFormatting>
  <conditionalFormatting sqref="D219:E219">
    <cfRule type="expression" dxfId="428" priority="587">
      <formula>D219&gt;D216</formula>
    </cfRule>
    <cfRule type="cellIs" dxfId="427" priority="597" operator="equal">
      <formula>0</formula>
    </cfRule>
  </conditionalFormatting>
  <conditionalFormatting sqref="D222:E222">
    <cfRule type="expression" dxfId="426" priority="3">
      <formula>D220&lt;&gt;D243</formula>
    </cfRule>
    <cfRule type="cellIs" dxfId="425" priority="594" operator="equal">
      <formula>0</formula>
    </cfRule>
  </conditionalFormatting>
  <conditionalFormatting sqref="D214:E215">
    <cfRule type="expression" dxfId="424" priority="592">
      <formula>D217&gt;D214</formula>
    </cfRule>
  </conditionalFormatting>
  <conditionalFormatting sqref="D217:E218">
    <cfRule type="expression" dxfId="423" priority="591">
      <formula>D217&gt;D214</formula>
    </cfRule>
  </conditionalFormatting>
  <conditionalFormatting sqref="D220:E221">
    <cfRule type="cellIs" dxfId="422" priority="590" operator="equal">
      <formula>0</formula>
    </cfRule>
  </conditionalFormatting>
  <conditionalFormatting sqref="D220:E221">
    <cfRule type="expression" dxfId="421" priority="589">
      <formula>D220&gt;D217</formula>
    </cfRule>
  </conditionalFormatting>
  <conditionalFormatting sqref="AE217:AE219">
    <cfRule type="notContainsBlanks" dxfId="420" priority="1439">
      <formula>LEN(TRIM(AE217))&gt;0</formula>
    </cfRule>
  </conditionalFormatting>
  <conditionalFormatting sqref="D220:E221">
    <cfRule type="expression" dxfId="419" priority="585">
      <formula>D217&gt;D220</formula>
    </cfRule>
  </conditionalFormatting>
  <conditionalFormatting sqref="D217:E218">
    <cfRule type="expression" dxfId="418" priority="584">
      <formula>D217&gt;D220</formula>
    </cfRule>
  </conditionalFormatting>
  <conditionalFormatting sqref="K226">
    <cfRule type="expression" dxfId="417" priority="583">
      <formula>K226&gt;K193</formula>
    </cfRule>
  </conditionalFormatting>
  <conditionalFormatting sqref="M226">
    <cfRule type="expression" dxfId="416" priority="582">
      <formula>M226&gt;M193</formula>
    </cfRule>
  </conditionalFormatting>
  <conditionalFormatting sqref="O226">
    <cfRule type="expression" dxfId="415" priority="581">
      <formula>O226&gt;O193</formula>
    </cfRule>
  </conditionalFormatting>
  <conditionalFormatting sqref="Q226">
    <cfRule type="expression" dxfId="414" priority="580">
      <formula>Q226&gt;Q193</formula>
    </cfRule>
  </conditionalFormatting>
  <conditionalFormatting sqref="S226">
    <cfRule type="expression" dxfId="413" priority="579">
      <formula>S226&gt;S193</formula>
    </cfRule>
  </conditionalFormatting>
  <conditionalFormatting sqref="U226">
    <cfRule type="expression" dxfId="412" priority="578">
      <formula>U226&gt;U193</formula>
    </cfRule>
  </conditionalFormatting>
  <conditionalFormatting sqref="W226">
    <cfRule type="expression" dxfId="411" priority="577">
      <formula>W226&gt;W193</formula>
    </cfRule>
  </conditionalFormatting>
  <conditionalFormatting sqref="Y226">
    <cfRule type="expression" dxfId="410" priority="576">
      <formula>Y226&gt;Y193</formula>
    </cfRule>
  </conditionalFormatting>
  <conditionalFormatting sqref="K229">
    <cfRule type="expression" dxfId="409" priority="561">
      <formula>K229&lt;&gt;K199</formula>
    </cfRule>
  </conditionalFormatting>
  <conditionalFormatting sqref="M199">
    <cfRule type="expression" dxfId="408" priority="558">
      <formula>M229&lt;&gt;M199</formula>
    </cfRule>
    <cfRule type="expression" dxfId="407" priority="559">
      <formula>M199&gt;M198</formula>
    </cfRule>
  </conditionalFormatting>
  <conditionalFormatting sqref="O199">
    <cfRule type="expression" dxfId="406" priority="556">
      <formula>O229&lt;&gt;O199</formula>
    </cfRule>
    <cfRule type="expression" dxfId="405" priority="557">
      <formula>O199&gt;O198</formula>
    </cfRule>
  </conditionalFormatting>
  <conditionalFormatting sqref="Q199">
    <cfRule type="expression" dxfId="404" priority="554">
      <formula>Q229&lt;&gt;Q199</formula>
    </cfRule>
    <cfRule type="expression" dxfId="403" priority="555">
      <formula>Q199&gt;Q198</formula>
    </cfRule>
  </conditionalFormatting>
  <conditionalFormatting sqref="S199">
    <cfRule type="expression" dxfId="402" priority="552">
      <formula>S229&lt;&gt;S199</formula>
    </cfRule>
    <cfRule type="expression" dxfId="401" priority="553">
      <formula>S199&gt;S198</formula>
    </cfRule>
  </conditionalFormatting>
  <conditionalFormatting sqref="U199">
    <cfRule type="expression" dxfId="400" priority="550">
      <formula>U229&lt;&gt;U199</formula>
    </cfRule>
    <cfRule type="expression" dxfId="399" priority="551">
      <formula>U199&gt;U198</formula>
    </cfRule>
  </conditionalFormatting>
  <conditionalFormatting sqref="W199">
    <cfRule type="expression" dxfId="398" priority="548">
      <formula>W229&lt;&gt;W199</formula>
    </cfRule>
    <cfRule type="expression" dxfId="397" priority="549">
      <formula>W199&gt;W198</formula>
    </cfRule>
  </conditionalFormatting>
  <conditionalFormatting sqref="Y199">
    <cfRule type="expression" dxfId="396" priority="546">
      <formula>Y229&lt;&gt;Y199</formula>
    </cfRule>
    <cfRule type="expression" dxfId="395" priority="547">
      <formula>Y199&gt;Y198</formula>
    </cfRule>
  </conditionalFormatting>
  <conditionalFormatting sqref="M229">
    <cfRule type="cellIs" dxfId="394" priority="545" operator="equal">
      <formula>0</formula>
    </cfRule>
  </conditionalFormatting>
  <conditionalFormatting sqref="M229">
    <cfRule type="expression" dxfId="393" priority="544">
      <formula>M229&lt;&gt;M199</formula>
    </cfRule>
  </conditionalFormatting>
  <conditionalFormatting sqref="O229">
    <cfRule type="cellIs" dxfId="392" priority="543" operator="equal">
      <formula>0</formula>
    </cfRule>
  </conditionalFormatting>
  <conditionalFormatting sqref="O229">
    <cfRule type="expression" dxfId="391" priority="542">
      <formula>O229&lt;&gt;O199</formula>
    </cfRule>
  </conditionalFormatting>
  <conditionalFormatting sqref="Q229">
    <cfRule type="cellIs" dxfId="390" priority="541" operator="equal">
      <formula>0</formula>
    </cfRule>
  </conditionalFormatting>
  <conditionalFormatting sqref="Q229">
    <cfRule type="expression" dxfId="389" priority="540">
      <formula>Q229&lt;&gt;Q199</formula>
    </cfRule>
  </conditionalFormatting>
  <conditionalFormatting sqref="S229">
    <cfRule type="cellIs" dxfId="388" priority="539" operator="equal">
      <formula>0</formula>
    </cfRule>
  </conditionalFormatting>
  <conditionalFormatting sqref="S229">
    <cfRule type="expression" dxfId="387" priority="538">
      <formula>S229&lt;&gt;S199</formula>
    </cfRule>
  </conditionalFormatting>
  <conditionalFormatting sqref="U229">
    <cfRule type="cellIs" dxfId="386" priority="537" operator="equal">
      <formula>0</formula>
    </cfRule>
  </conditionalFormatting>
  <conditionalFormatting sqref="U229">
    <cfRule type="expression" dxfId="385" priority="536">
      <formula>U229&lt;&gt;U199</formula>
    </cfRule>
  </conditionalFormatting>
  <conditionalFormatting sqref="W229">
    <cfRule type="cellIs" dxfId="384" priority="535" operator="equal">
      <formula>0</formula>
    </cfRule>
  </conditionalFormatting>
  <conditionalFormatting sqref="W229">
    <cfRule type="expression" dxfId="383" priority="534">
      <formula>W229&lt;&gt;W199</formula>
    </cfRule>
  </conditionalFormatting>
  <conditionalFormatting sqref="Y229">
    <cfRule type="cellIs" dxfId="382" priority="533" operator="equal">
      <formula>0</formula>
    </cfRule>
  </conditionalFormatting>
  <conditionalFormatting sqref="Y229">
    <cfRule type="expression" dxfId="381" priority="532">
      <formula>Y229&lt;&gt;Y199</formula>
    </cfRule>
  </conditionalFormatting>
  <conditionalFormatting sqref="K230">
    <cfRule type="expression" dxfId="380" priority="531">
      <formula>K230&lt;&gt;K201</formula>
    </cfRule>
  </conditionalFormatting>
  <conditionalFormatting sqref="M200">
    <cfRule type="expression" dxfId="379" priority="529">
      <formula>M201&gt;M200</formula>
    </cfRule>
  </conditionalFormatting>
  <conditionalFormatting sqref="O200">
    <cfRule type="expression" dxfId="378" priority="527">
      <formula>O201&gt;O200</formula>
    </cfRule>
  </conditionalFormatting>
  <conditionalFormatting sqref="Q200">
    <cfRule type="expression" dxfId="377" priority="525">
      <formula>Q201&gt;Q200</formula>
    </cfRule>
  </conditionalFormatting>
  <conditionalFormatting sqref="S200">
    <cfRule type="expression" dxfId="376" priority="523">
      <formula>S201&gt;S200</formula>
    </cfRule>
  </conditionalFormatting>
  <conditionalFormatting sqref="U200">
    <cfRule type="expression" dxfId="375" priority="521">
      <formula>U201&gt;U200</formula>
    </cfRule>
  </conditionalFormatting>
  <conditionalFormatting sqref="W200">
    <cfRule type="expression" dxfId="374" priority="519">
      <formula>W201&gt;W200</formula>
    </cfRule>
  </conditionalFormatting>
  <conditionalFormatting sqref="Y200">
    <cfRule type="expression" dxfId="373" priority="517">
      <formula>Y201&gt;Y200</formula>
    </cfRule>
  </conditionalFormatting>
  <conditionalFormatting sqref="M230">
    <cfRule type="cellIs" dxfId="372" priority="515" operator="equal">
      <formula>0</formula>
    </cfRule>
  </conditionalFormatting>
  <conditionalFormatting sqref="M230">
    <cfRule type="expression" dxfId="371" priority="514">
      <formula>M230&lt;&gt;M201</formula>
    </cfRule>
  </conditionalFormatting>
  <conditionalFormatting sqref="O230">
    <cfRule type="cellIs" dxfId="370" priority="513" operator="equal">
      <formula>0</formula>
    </cfRule>
  </conditionalFormatting>
  <conditionalFormatting sqref="O230">
    <cfRule type="expression" dxfId="369" priority="512">
      <formula>O230&lt;&gt;O201</formula>
    </cfRule>
  </conditionalFormatting>
  <conditionalFormatting sqref="Q230">
    <cfRule type="cellIs" dxfId="368" priority="511" operator="equal">
      <formula>0</formula>
    </cfRule>
  </conditionalFormatting>
  <conditionalFormatting sqref="Q230">
    <cfRule type="expression" dxfId="367" priority="510">
      <formula>Q230&lt;&gt;Q201</formula>
    </cfRule>
  </conditionalFormatting>
  <conditionalFormatting sqref="S230">
    <cfRule type="cellIs" dxfId="366" priority="509" operator="equal">
      <formula>0</formula>
    </cfRule>
  </conditionalFormatting>
  <conditionalFormatting sqref="S230">
    <cfRule type="expression" dxfId="365" priority="508">
      <formula>S230&lt;&gt;S201</formula>
    </cfRule>
  </conditionalFormatting>
  <conditionalFormatting sqref="U230">
    <cfRule type="cellIs" dxfId="364" priority="507" operator="equal">
      <formula>0</formula>
    </cfRule>
  </conditionalFormatting>
  <conditionalFormatting sqref="U230">
    <cfRule type="expression" dxfId="363" priority="506">
      <formula>U230&lt;&gt;U201</formula>
    </cfRule>
  </conditionalFormatting>
  <conditionalFormatting sqref="W230">
    <cfRule type="cellIs" dxfId="362" priority="505" operator="equal">
      <formula>0</formula>
    </cfRule>
  </conditionalFormatting>
  <conditionalFormatting sqref="W230">
    <cfRule type="expression" dxfId="361" priority="504">
      <formula>W230&lt;&gt;W201</formula>
    </cfRule>
  </conditionalFormatting>
  <conditionalFormatting sqref="Y230">
    <cfRule type="cellIs" dxfId="360" priority="503" operator="equal">
      <formula>0</formula>
    </cfRule>
  </conditionalFormatting>
  <conditionalFormatting sqref="Y230">
    <cfRule type="expression" dxfId="359" priority="502">
      <formula>Y230&lt;&gt;Y201</formula>
    </cfRule>
  </conditionalFormatting>
  <conditionalFormatting sqref="M201">
    <cfRule type="expression" dxfId="358" priority="499">
      <formula>M230&lt;&gt;M201</formula>
    </cfRule>
    <cfRule type="expression" dxfId="357" priority="500">
      <formula>M201&gt;M200</formula>
    </cfRule>
  </conditionalFormatting>
  <conditionalFormatting sqref="O201">
    <cfRule type="expression" dxfId="356" priority="497">
      <formula>O230&lt;&gt;O201</formula>
    </cfRule>
    <cfRule type="expression" dxfId="355" priority="498">
      <formula>O201&gt;O200</formula>
    </cfRule>
  </conditionalFormatting>
  <conditionalFormatting sqref="Q201">
    <cfRule type="expression" dxfId="354" priority="495">
      <formula>Q230&lt;&gt;Q201</formula>
    </cfRule>
    <cfRule type="expression" dxfId="353" priority="496">
      <formula>Q201&gt;Q200</formula>
    </cfRule>
  </conditionalFormatting>
  <conditionalFormatting sqref="S201">
    <cfRule type="expression" dxfId="352" priority="493">
      <formula>S230&lt;&gt;S201</formula>
    </cfRule>
    <cfRule type="expression" dxfId="351" priority="494">
      <formula>S201&gt;S200</formula>
    </cfRule>
  </conditionalFormatting>
  <conditionalFormatting sqref="U201">
    <cfRule type="expression" dxfId="350" priority="491">
      <formula>U230&lt;&gt;U201</formula>
    </cfRule>
    <cfRule type="expression" dxfId="349" priority="492">
      <formula>U201&gt;U200</formula>
    </cfRule>
  </conditionalFormatting>
  <conditionalFormatting sqref="W201">
    <cfRule type="expression" dxfId="348" priority="489">
      <formula>W230&lt;&gt;W201</formula>
    </cfRule>
    <cfRule type="expression" dxfId="347" priority="490">
      <formula>W201&gt;W200</formula>
    </cfRule>
  </conditionalFormatting>
  <conditionalFormatting sqref="Y201">
    <cfRule type="expression" dxfId="346" priority="487">
      <formula>Y230&lt;&gt;Y201</formula>
    </cfRule>
    <cfRule type="expression" dxfId="345" priority="488">
      <formula>Y201&gt;Y200</formula>
    </cfRule>
  </conditionalFormatting>
  <conditionalFormatting sqref="O234">
    <cfRule type="expression" dxfId="344" priority="486">
      <formula>O234&gt;O209</formula>
    </cfRule>
  </conditionalFormatting>
  <conditionalFormatting sqref="Q234">
    <cfRule type="expression" dxfId="343" priority="485">
      <formula>Q234&gt;Q209</formula>
    </cfRule>
  </conditionalFormatting>
  <conditionalFormatting sqref="S234">
    <cfRule type="expression" dxfId="342" priority="484">
      <formula>S234&gt;S209</formula>
    </cfRule>
  </conditionalFormatting>
  <conditionalFormatting sqref="U234">
    <cfRule type="expression" dxfId="341" priority="483">
      <formula>U234&gt;U209</formula>
    </cfRule>
  </conditionalFormatting>
  <conditionalFormatting sqref="W234">
    <cfRule type="expression" dxfId="340" priority="482">
      <formula>W234&gt;W209</formula>
    </cfRule>
  </conditionalFormatting>
  <conditionalFormatting sqref="Y234">
    <cfRule type="expression" dxfId="339" priority="481">
      <formula>Y234&gt;Y209</formula>
    </cfRule>
  </conditionalFormatting>
  <conditionalFormatting sqref="M234">
    <cfRule type="expression" dxfId="338" priority="480">
      <formula>M234&gt;M209</formula>
    </cfRule>
  </conditionalFormatting>
  <conditionalFormatting sqref="K234">
    <cfRule type="expression" dxfId="337" priority="479">
      <formula>K234&gt;K209</formula>
    </cfRule>
  </conditionalFormatting>
  <conditionalFormatting sqref="K209 M209 O209 Q209 S209 U209 W209 Y209">
    <cfRule type="expression" dxfId="336" priority="474">
      <formula>K234&gt;K209</formula>
    </cfRule>
  </conditionalFormatting>
  <conditionalFormatting sqref="K209 M209 O209 Q209 S209 U209 W209 Y209">
    <cfRule type="expression" dxfId="335" priority="475">
      <formula>K209&gt;K208</formula>
    </cfRule>
  </conditionalFormatting>
  <conditionalFormatting sqref="K235">
    <cfRule type="expression" dxfId="334" priority="441">
      <formula>K235&gt;K211</formula>
    </cfRule>
  </conditionalFormatting>
  <conditionalFormatting sqref="M211">
    <cfRule type="expression" dxfId="333" priority="436">
      <formula>M235&gt;M211</formula>
    </cfRule>
    <cfRule type="expression" dxfId="332" priority="439">
      <formula>M237&gt;M211</formula>
    </cfRule>
  </conditionalFormatting>
  <conditionalFormatting sqref="M211">
    <cfRule type="expression" dxfId="331" priority="438">
      <formula>M237&gt;M211</formula>
    </cfRule>
  </conditionalFormatting>
  <conditionalFormatting sqref="M211">
    <cfRule type="expression" dxfId="330" priority="437">
      <formula>M211&gt;M210</formula>
    </cfRule>
  </conditionalFormatting>
  <conditionalFormatting sqref="O211">
    <cfRule type="expression" dxfId="329" priority="432">
      <formula>O235&gt;O211</formula>
    </cfRule>
    <cfRule type="expression" dxfId="328" priority="435">
      <formula>O237&gt;O211</formula>
    </cfRule>
  </conditionalFormatting>
  <conditionalFormatting sqref="O211">
    <cfRule type="expression" dxfId="327" priority="434">
      <formula>O237&gt;O211</formula>
    </cfRule>
  </conditionalFormatting>
  <conditionalFormatting sqref="O211">
    <cfRule type="expression" dxfId="326" priority="433">
      <formula>O211&gt;O210</formula>
    </cfRule>
  </conditionalFormatting>
  <conditionalFormatting sqref="Q211">
    <cfRule type="expression" dxfId="325" priority="428">
      <formula>Q235&gt;Q211</formula>
    </cfRule>
    <cfRule type="expression" dxfId="324" priority="431">
      <formula>Q237&gt;Q211</formula>
    </cfRule>
  </conditionalFormatting>
  <conditionalFormatting sqref="Q211">
    <cfRule type="expression" dxfId="323" priority="430">
      <formula>Q237&gt;Q211</formula>
    </cfRule>
  </conditionalFormatting>
  <conditionalFormatting sqref="Q211">
    <cfRule type="expression" dxfId="322" priority="429">
      <formula>Q211&gt;Q210</formula>
    </cfRule>
  </conditionalFormatting>
  <conditionalFormatting sqref="S211">
    <cfRule type="expression" dxfId="321" priority="424">
      <formula>S235&gt;S211</formula>
    </cfRule>
    <cfRule type="expression" dxfId="320" priority="427">
      <formula>S237&gt;S211</formula>
    </cfRule>
  </conditionalFormatting>
  <conditionalFormatting sqref="S211">
    <cfRule type="expression" dxfId="319" priority="426">
      <formula>S237&gt;S211</formula>
    </cfRule>
  </conditionalFormatting>
  <conditionalFormatting sqref="S211">
    <cfRule type="expression" dxfId="318" priority="425">
      <formula>S211&gt;S210</formula>
    </cfRule>
  </conditionalFormatting>
  <conditionalFormatting sqref="U211">
    <cfRule type="expression" dxfId="317" priority="420">
      <formula>U235&gt;U211</formula>
    </cfRule>
    <cfRule type="expression" dxfId="316" priority="423">
      <formula>U237&gt;U211</formula>
    </cfRule>
  </conditionalFormatting>
  <conditionalFormatting sqref="U211">
    <cfRule type="expression" dxfId="315" priority="422">
      <formula>U237&gt;U211</formula>
    </cfRule>
  </conditionalFormatting>
  <conditionalFormatting sqref="U211">
    <cfRule type="expression" dxfId="314" priority="421">
      <formula>U211&gt;U210</formula>
    </cfRule>
  </conditionalFormatting>
  <conditionalFormatting sqref="W211">
    <cfRule type="expression" dxfId="313" priority="416">
      <formula>W235&gt;W211</formula>
    </cfRule>
    <cfRule type="expression" dxfId="312" priority="419">
      <formula>W237&gt;W211</formula>
    </cfRule>
  </conditionalFormatting>
  <conditionalFormatting sqref="W211">
    <cfRule type="expression" dxfId="311" priority="418">
      <formula>W237&gt;W211</formula>
    </cfRule>
  </conditionalFormatting>
  <conditionalFormatting sqref="W211">
    <cfRule type="expression" dxfId="310" priority="417">
      <formula>W211&gt;W210</formula>
    </cfRule>
  </conditionalFormatting>
  <conditionalFormatting sqref="Y211">
    <cfRule type="expression" dxfId="309" priority="412">
      <formula>Y235&gt;Y211</formula>
    </cfRule>
    <cfRule type="expression" dxfId="308" priority="415">
      <formula>Y237&gt;Y211</formula>
    </cfRule>
  </conditionalFormatting>
  <conditionalFormatting sqref="Y211">
    <cfRule type="expression" dxfId="307" priority="414">
      <formula>Y237&gt;Y211</formula>
    </cfRule>
  </conditionalFormatting>
  <conditionalFormatting sqref="Y211">
    <cfRule type="expression" dxfId="306" priority="413">
      <formula>Y211&gt;Y210</formula>
    </cfRule>
  </conditionalFormatting>
  <conditionalFormatting sqref="M235">
    <cfRule type="expression" dxfId="305" priority="411">
      <formula>M235&gt;M211</formula>
    </cfRule>
  </conditionalFormatting>
  <conditionalFormatting sqref="O235">
    <cfRule type="expression" dxfId="304" priority="410">
      <formula>O235&gt;O211</formula>
    </cfRule>
  </conditionalFormatting>
  <conditionalFormatting sqref="Q235">
    <cfRule type="expression" dxfId="303" priority="409">
      <formula>Q235&gt;Q211</formula>
    </cfRule>
  </conditionalFormatting>
  <conditionalFormatting sqref="S235">
    <cfRule type="expression" dxfId="302" priority="408">
      <formula>S235&gt;S211</formula>
    </cfRule>
  </conditionalFormatting>
  <conditionalFormatting sqref="U235">
    <cfRule type="expression" dxfId="301" priority="407">
      <formula>U235&gt;U211</formula>
    </cfRule>
  </conditionalFormatting>
  <conditionalFormatting sqref="W235">
    <cfRule type="expression" dxfId="300" priority="406">
      <formula>W235&gt;W211</formula>
    </cfRule>
  </conditionalFormatting>
  <conditionalFormatting sqref="Y235">
    <cfRule type="expression" dxfId="299" priority="405">
      <formula>Y235&gt;Y211</formula>
    </cfRule>
  </conditionalFormatting>
  <conditionalFormatting sqref="D243:AA243">
    <cfRule type="expression" dxfId="298" priority="404">
      <formula>D243&gt;D252</formula>
    </cfRule>
  </conditionalFormatting>
  <conditionalFormatting sqref="D252:AB252">
    <cfRule type="expression" dxfId="297" priority="403">
      <formula>D243&gt;D252</formula>
    </cfRule>
  </conditionalFormatting>
  <conditionalFormatting sqref="D244:AA249">
    <cfRule type="expression" dxfId="296" priority="402">
      <formula>D244&gt;D253</formula>
    </cfRule>
  </conditionalFormatting>
  <conditionalFormatting sqref="D253:AA258">
    <cfRule type="expression" dxfId="295" priority="401">
      <formula>D244&gt;D253</formula>
    </cfRule>
  </conditionalFormatting>
  <conditionalFormatting sqref="D251:AA251">
    <cfRule type="expression" dxfId="294" priority="400">
      <formula>D251&gt;D252</formula>
    </cfRule>
  </conditionalFormatting>
  <conditionalFormatting sqref="AC251">
    <cfRule type="notContainsBlanks" dxfId="293" priority="398">
      <formula>LEN(TRIM(AC251))&gt;0</formula>
    </cfRule>
  </conditionalFormatting>
  <conditionalFormatting sqref="J265:AA265">
    <cfRule type="expression" dxfId="292" priority="397">
      <formula>J265&lt;&gt;J252</formula>
    </cfRule>
  </conditionalFormatting>
  <conditionalFormatting sqref="D252:AB252">
    <cfRule type="expression" dxfId="291" priority="396">
      <formula>D265&lt;&gt;D252</formula>
    </cfRule>
  </conditionalFormatting>
  <conditionalFormatting sqref="K252:AA252">
    <cfRule type="expression" dxfId="290" priority="395">
      <formula>K236&gt;K252</formula>
    </cfRule>
  </conditionalFormatting>
  <conditionalFormatting sqref="D272:AA272">
    <cfRule type="expression" dxfId="289" priority="393">
      <formula>D267&gt;D272</formula>
    </cfRule>
  </conditionalFormatting>
  <conditionalFormatting sqref="D272:AA272">
    <cfRule type="expression" dxfId="288" priority="391">
      <formula>D268&gt;D272</formula>
    </cfRule>
  </conditionalFormatting>
  <conditionalFormatting sqref="D272:AA272">
    <cfRule type="cellIs" dxfId="287" priority="390" operator="equal">
      <formula>0</formula>
    </cfRule>
  </conditionalFormatting>
  <conditionalFormatting sqref="D277:AA277">
    <cfRule type="expression" dxfId="286" priority="389">
      <formula>D277&gt;SUM(D273:D275)</formula>
    </cfRule>
  </conditionalFormatting>
  <conditionalFormatting sqref="D276:AA276">
    <cfRule type="cellIs" dxfId="285" priority="388" operator="equal">
      <formula>0</formula>
    </cfRule>
  </conditionalFormatting>
  <conditionalFormatting sqref="D276:AA276">
    <cfRule type="expression" dxfId="284" priority="387">
      <formula>E277&gt;(E273+E274+E275)</formula>
    </cfRule>
  </conditionalFormatting>
  <conditionalFormatting sqref="AC276">
    <cfRule type="notContainsBlanks" dxfId="283" priority="386">
      <formula>LEN(TRIM(AC276))&gt;0</formula>
    </cfRule>
  </conditionalFormatting>
  <conditionalFormatting sqref="D272:AA272">
    <cfRule type="expression" dxfId="282" priority="384">
      <formula>D276&gt;D272</formula>
    </cfRule>
  </conditionalFormatting>
  <conditionalFormatting sqref="AC277">
    <cfRule type="notContainsBlanks" dxfId="281" priority="383">
      <formula>LEN(TRIM(AC277))&gt;0</formula>
    </cfRule>
  </conditionalFormatting>
  <conditionalFormatting sqref="D280:AA280">
    <cfRule type="expression" dxfId="280" priority="382">
      <formula>D280&gt;D272</formula>
    </cfRule>
  </conditionalFormatting>
  <conditionalFormatting sqref="D272:AA272">
    <cfRule type="expression" dxfId="279" priority="381">
      <formula>D280&gt;D272</formula>
    </cfRule>
  </conditionalFormatting>
  <conditionalFormatting sqref="AC280">
    <cfRule type="notContainsBlanks" dxfId="278" priority="380">
      <formula>LEN(TRIM(AC280))&gt;0</formula>
    </cfRule>
  </conditionalFormatting>
  <conditionalFormatting sqref="AC280">
    <cfRule type="notContainsBlanks" dxfId="277" priority="379">
      <formula>LEN(TRIM(AC280))&gt;0</formula>
    </cfRule>
  </conditionalFormatting>
  <conditionalFormatting sqref="D252:AA252">
    <cfRule type="expression" dxfId="276" priority="376">
      <formula>D272&gt;D252</formula>
    </cfRule>
  </conditionalFormatting>
  <conditionalFormatting sqref="AC267">
    <cfRule type="notContainsBlanks" dxfId="275" priority="375">
      <formula>LEN(TRIM(AC267))&gt;0</formula>
    </cfRule>
  </conditionalFormatting>
  <conditionalFormatting sqref="D252:AA252">
    <cfRule type="expression" dxfId="274" priority="374">
      <formula>SUM(D99:D100)&gt;D252</formula>
    </cfRule>
  </conditionalFormatting>
  <conditionalFormatting sqref="K227">
    <cfRule type="expression" dxfId="273" priority="371">
      <formula>K227&gt;K243 &amp; EXACT($I$3,"1") &amp; EXACT($E$3,"1")</formula>
    </cfRule>
  </conditionalFormatting>
  <conditionalFormatting sqref="D283:AA283">
    <cfRule type="expression" dxfId="272" priority="370">
      <formula>D283&gt;D282</formula>
    </cfRule>
  </conditionalFormatting>
  <conditionalFormatting sqref="D282:AA282">
    <cfRule type="expression" dxfId="271" priority="369">
      <formula>D283&gt;D282</formula>
    </cfRule>
  </conditionalFormatting>
  <conditionalFormatting sqref="D304:AA310">
    <cfRule type="expression" dxfId="270" priority="368">
      <formula>D304&gt;D$298</formula>
    </cfRule>
  </conditionalFormatting>
  <conditionalFormatting sqref="D298:AA298">
    <cfRule type="expression" dxfId="269" priority="367">
      <formula>D304&gt;D$298</formula>
    </cfRule>
  </conditionalFormatting>
  <conditionalFormatting sqref="F315:AA315">
    <cfRule type="expression" dxfId="268" priority="366">
      <formula>F315&gt;F312</formula>
    </cfRule>
  </conditionalFormatting>
  <conditionalFormatting sqref="F312:AA312">
    <cfRule type="expression" dxfId="267" priority="365">
      <formula>F315&gt;F312</formula>
    </cfRule>
  </conditionalFormatting>
  <conditionalFormatting sqref="AD312">
    <cfRule type="notContainsBlanks" dxfId="266" priority="364">
      <formula>LEN(TRIM(AD312))&gt;0</formula>
    </cfRule>
  </conditionalFormatting>
  <conditionalFormatting sqref="F317:AA317">
    <cfRule type="expression" dxfId="265" priority="363">
      <formula>F317&gt;F315</formula>
    </cfRule>
  </conditionalFormatting>
  <conditionalFormatting sqref="F315:AA315">
    <cfRule type="expression" dxfId="264" priority="362">
      <formula>F317&gt;F315</formula>
    </cfRule>
  </conditionalFormatting>
  <conditionalFormatting sqref="F320:AA320">
    <cfRule type="expression" dxfId="263" priority="361">
      <formula>F320&lt;&gt;F313</formula>
    </cfRule>
  </conditionalFormatting>
  <conditionalFormatting sqref="F313:AA313">
    <cfRule type="expression" dxfId="262" priority="360">
      <formula>F320&lt;&gt;F313</formula>
    </cfRule>
  </conditionalFormatting>
  <conditionalFormatting sqref="F319:AA319">
    <cfRule type="expression" dxfId="261" priority="359">
      <formula>F319&gt;F317</formula>
    </cfRule>
  </conditionalFormatting>
  <conditionalFormatting sqref="F317:AA317">
    <cfRule type="expression" dxfId="260" priority="358">
      <formula>F319&gt;F317</formula>
    </cfRule>
  </conditionalFormatting>
  <conditionalFormatting sqref="AC312">
    <cfRule type="notContainsBlanks" dxfId="259" priority="356">
      <formula>LEN(TRIM(AC312))&gt;0</formula>
    </cfRule>
  </conditionalFormatting>
  <conditionalFormatting sqref="AC315">
    <cfRule type="notContainsBlanks" dxfId="258" priority="355">
      <formula>LEN(TRIM(AC315))&gt;0</formula>
    </cfRule>
  </conditionalFormatting>
  <conditionalFormatting sqref="AC316">
    <cfRule type="notContainsBlanks" dxfId="257" priority="354">
      <formula>LEN(TRIM(AC316))&gt;0</formula>
    </cfRule>
  </conditionalFormatting>
  <conditionalFormatting sqref="F316:AA316">
    <cfRule type="expression" dxfId="256" priority="353">
      <formula>F316&gt;F312</formula>
    </cfRule>
  </conditionalFormatting>
  <conditionalFormatting sqref="F314:AB314">
    <cfRule type="cellIs" dxfId="255" priority="352" operator="lessThan">
      <formula>0</formula>
    </cfRule>
  </conditionalFormatting>
  <conditionalFormatting sqref="F312:AA312">
    <cfRule type="expression" dxfId="254" priority="351">
      <formula>F316&gt;F312</formula>
    </cfRule>
  </conditionalFormatting>
  <conditionalFormatting sqref="AC317">
    <cfRule type="notContainsBlanks" dxfId="253" priority="350">
      <formula>LEN(TRIM(AC317))&gt;0</formula>
    </cfRule>
  </conditionalFormatting>
  <conditionalFormatting sqref="AE319">
    <cfRule type="notContainsBlanks" dxfId="252" priority="1460">
      <formula>LEN(TRIM(AE319))&gt;0</formula>
    </cfRule>
  </conditionalFormatting>
  <conditionalFormatting sqref="AF312">
    <cfRule type="notContainsBlanks" dxfId="251" priority="348">
      <formula>LEN(TRIM(AF312))&gt;0</formula>
    </cfRule>
  </conditionalFormatting>
  <conditionalFormatting sqref="AC319">
    <cfRule type="notContainsBlanks" dxfId="250" priority="347">
      <formula>LEN(TRIM(AC319))&gt;0</formula>
    </cfRule>
  </conditionalFormatting>
  <conditionalFormatting sqref="AC321">
    <cfRule type="notContainsBlanks" dxfId="249" priority="346">
      <formula>LEN(TRIM(AC321))&gt;0</formula>
    </cfRule>
  </conditionalFormatting>
  <conditionalFormatting sqref="AC320">
    <cfRule type="notContainsBlanks" dxfId="248" priority="345">
      <formula>LEN(TRIM(AC320))&gt;0</formula>
    </cfRule>
  </conditionalFormatting>
  <conditionalFormatting sqref="J78:AA83">
    <cfRule type="expression" dxfId="247" priority="344">
      <formula>J67&gt;J78</formula>
    </cfRule>
  </conditionalFormatting>
  <conditionalFormatting sqref="J67:AA72">
    <cfRule type="expression" dxfId="246" priority="343">
      <formula>J67&gt;J78</formula>
    </cfRule>
  </conditionalFormatting>
  <conditionalFormatting sqref="F315:AA315">
    <cfRule type="expression" dxfId="245" priority="322">
      <formula>F315&lt;F314</formula>
    </cfRule>
  </conditionalFormatting>
  <conditionalFormatting sqref="F314:AA314">
    <cfRule type="expression" dxfId="244" priority="321">
      <formula>F315&lt;F314</formula>
    </cfRule>
  </conditionalFormatting>
  <conditionalFormatting sqref="F319:AA319">
    <cfRule type="expression" dxfId="243" priority="320">
      <formula>F317&gt;F319</formula>
    </cfRule>
  </conditionalFormatting>
  <conditionalFormatting sqref="F317:AA317">
    <cfRule type="expression" dxfId="242" priority="319">
      <formula>F317&gt;F319</formula>
    </cfRule>
  </conditionalFormatting>
  <conditionalFormatting sqref="D288:AA288">
    <cfRule type="expression" dxfId="241" priority="318">
      <formula>D288&gt;D283</formula>
    </cfRule>
  </conditionalFormatting>
  <conditionalFormatting sqref="D283:AA283">
    <cfRule type="expression" dxfId="240" priority="317">
      <formula>D288&gt;D283</formula>
    </cfRule>
  </conditionalFormatting>
  <conditionalFormatting sqref="D283:AA283">
    <cfRule type="expression" dxfId="239" priority="316">
      <formula>D283&gt;D282</formula>
    </cfRule>
  </conditionalFormatting>
  <conditionalFormatting sqref="D287:AA287">
    <cfRule type="expression" dxfId="238" priority="315">
      <formula>D287&gt;SUM(D286,D285,D284)</formula>
    </cfRule>
  </conditionalFormatting>
  <conditionalFormatting sqref="D286:AA286">
    <cfRule type="expression" dxfId="237" priority="314">
      <formula>D287&gt;SUM(D286,D285,D284)</formula>
    </cfRule>
  </conditionalFormatting>
  <conditionalFormatting sqref="D285:AA285">
    <cfRule type="expression" dxfId="236" priority="313">
      <formula>D287&gt;SUM(D286,D285,D284)</formula>
    </cfRule>
  </conditionalFormatting>
  <conditionalFormatting sqref="D284:AA284">
    <cfRule type="expression" dxfId="235" priority="312">
      <formula>D287&gt;SUM(D286,D285,D284)</formula>
    </cfRule>
  </conditionalFormatting>
  <conditionalFormatting sqref="D268:AA268">
    <cfRule type="expression" dxfId="234" priority="311">
      <formula>D279&gt;D268</formula>
    </cfRule>
  </conditionalFormatting>
  <conditionalFormatting sqref="D279:AA279">
    <cfRule type="expression" dxfId="233" priority="310">
      <formula>D279&gt;D268</formula>
    </cfRule>
  </conditionalFormatting>
  <conditionalFormatting sqref="K204">
    <cfRule type="expression" dxfId="232" priority="309">
      <formula>K205&gt;K204</formula>
    </cfRule>
  </conditionalFormatting>
  <conditionalFormatting sqref="K232">
    <cfRule type="expression" dxfId="231" priority="308">
      <formula>K232&gt;K205</formula>
    </cfRule>
  </conditionalFormatting>
  <conditionalFormatting sqref="M232">
    <cfRule type="expression" dxfId="230" priority="307">
      <formula>M232&gt;M205</formula>
    </cfRule>
  </conditionalFormatting>
  <conditionalFormatting sqref="O232">
    <cfRule type="expression" dxfId="229" priority="306">
      <formula>O232&gt;O205</formula>
    </cfRule>
  </conditionalFormatting>
  <conditionalFormatting sqref="Q232">
    <cfRule type="expression" dxfId="228" priority="305">
      <formula>Q232&gt;Q205</formula>
    </cfRule>
  </conditionalFormatting>
  <conditionalFormatting sqref="S232">
    <cfRule type="expression" dxfId="227" priority="304">
      <formula>S232&gt;S205</formula>
    </cfRule>
  </conditionalFormatting>
  <conditionalFormatting sqref="U232">
    <cfRule type="expression" dxfId="226" priority="303">
      <formula>U232&gt;U205</formula>
    </cfRule>
  </conditionalFormatting>
  <conditionalFormatting sqref="W232">
    <cfRule type="expression" dxfId="225" priority="302">
      <formula>W232&gt;W205</formula>
    </cfRule>
  </conditionalFormatting>
  <conditionalFormatting sqref="Y232">
    <cfRule type="expression" dxfId="224" priority="301">
      <formula>Y232&gt;Y205</formula>
    </cfRule>
  </conditionalFormatting>
  <conditionalFormatting sqref="D18:AA18">
    <cfRule type="cellIs" dxfId="223" priority="300" operator="equal">
      <formula>0</formula>
    </cfRule>
  </conditionalFormatting>
  <conditionalFormatting sqref="AC11">
    <cfRule type="notContainsBlanks" dxfId="222" priority="299">
      <formula>LEN(TRIM(AC11))&gt;0</formula>
    </cfRule>
  </conditionalFormatting>
  <conditionalFormatting sqref="AC12">
    <cfRule type="notContainsBlanks" dxfId="221" priority="298">
      <formula>LEN(TRIM(AC12))&gt;0</formula>
    </cfRule>
  </conditionalFormatting>
  <conditionalFormatting sqref="AC16">
    <cfRule type="notContainsBlanks" dxfId="220" priority="296">
      <formula>LEN(TRIM(AC16))&gt;0</formula>
    </cfRule>
  </conditionalFormatting>
  <conditionalFormatting sqref="AC15">
    <cfRule type="notContainsBlanks" dxfId="219" priority="295">
      <formula>LEN(TRIM(AC15))&gt;0</formula>
    </cfRule>
  </conditionalFormatting>
  <conditionalFormatting sqref="D10:AA10">
    <cfRule type="expression" dxfId="218" priority="288">
      <formula>D10&gt;D9</formula>
    </cfRule>
  </conditionalFormatting>
  <conditionalFormatting sqref="D12:AA12">
    <cfRule type="expression" dxfId="217" priority="287">
      <formula>D12&gt;D11</formula>
    </cfRule>
  </conditionalFormatting>
  <conditionalFormatting sqref="D11:AA11">
    <cfRule type="expression" dxfId="216" priority="286">
      <formula>D12&gt;D11</formula>
    </cfRule>
  </conditionalFormatting>
  <conditionalFormatting sqref="D12:AA12">
    <cfRule type="expression" dxfId="215" priority="285">
      <formula>D13&gt;D12</formula>
    </cfRule>
  </conditionalFormatting>
  <conditionalFormatting sqref="D16:AA16">
    <cfRule type="expression" dxfId="214" priority="283">
      <formula>D16&gt;D15</formula>
    </cfRule>
  </conditionalFormatting>
  <conditionalFormatting sqref="D15:AA15">
    <cfRule type="expression" dxfId="213" priority="282">
      <formula>D16&gt;D15</formula>
    </cfRule>
  </conditionalFormatting>
  <conditionalFormatting sqref="D16:AA16">
    <cfRule type="expression" dxfId="212" priority="281">
      <formula>D17&gt;D16</formula>
    </cfRule>
  </conditionalFormatting>
  <conditionalFormatting sqref="D17:AA17">
    <cfRule type="expression" dxfId="211" priority="280">
      <formula>D17&gt;D16</formula>
    </cfRule>
  </conditionalFormatting>
  <conditionalFormatting sqref="D14:AA14">
    <cfRule type="cellIs" dxfId="210" priority="279" operator="equal">
      <formula>0</formula>
    </cfRule>
  </conditionalFormatting>
  <conditionalFormatting sqref="AC14">
    <cfRule type="notContainsBlanks" dxfId="209" priority="278">
      <formula>LEN(TRIM(AC14))&gt;0</formula>
    </cfRule>
  </conditionalFormatting>
  <conditionalFormatting sqref="D14:AA14">
    <cfRule type="expression" dxfId="208" priority="277">
      <formula>D49&gt;D14</formula>
    </cfRule>
  </conditionalFormatting>
  <conditionalFormatting sqref="D49:AA49">
    <cfRule type="expression" dxfId="207" priority="276">
      <formula>D49&gt;D14</formula>
    </cfRule>
  </conditionalFormatting>
  <conditionalFormatting sqref="M124">
    <cfRule type="expression" dxfId="206" priority="241">
      <formula>(M127+M126+M125)&gt;M124</formula>
    </cfRule>
    <cfRule type="cellIs" dxfId="205" priority="258" operator="equal">
      <formula>0</formula>
    </cfRule>
  </conditionalFormatting>
  <conditionalFormatting sqref="M125">
    <cfRule type="expression" dxfId="204" priority="240">
      <formula>(M127+M126+M125)&gt;M124</formula>
    </cfRule>
  </conditionalFormatting>
  <conditionalFormatting sqref="M126">
    <cfRule type="expression" dxfId="203" priority="239">
      <formula>(M127+M126+M125)&gt;M124</formula>
    </cfRule>
  </conditionalFormatting>
  <conditionalFormatting sqref="M127">
    <cfRule type="expression" dxfId="202" priority="238">
      <formula>(M127+M126+M125)&gt;M124</formula>
    </cfRule>
  </conditionalFormatting>
  <conditionalFormatting sqref="O124">
    <cfRule type="expression" dxfId="201" priority="236">
      <formula>(O127+O126+O125)&gt;O124</formula>
    </cfRule>
    <cfRule type="cellIs" dxfId="200" priority="237" operator="equal">
      <formula>0</formula>
    </cfRule>
  </conditionalFormatting>
  <conditionalFormatting sqref="O125">
    <cfRule type="expression" dxfId="199" priority="235">
      <formula>(O127+O126+O125)&gt;O124</formula>
    </cfRule>
  </conditionalFormatting>
  <conditionalFormatting sqref="O126">
    <cfRule type="expression" dxfId="198" priority="234">
      <formula>(O127+O126+O125)&gt;O124</formula>
    </cfRule>
  </conditionalFormatting>
  <conditionalFormatting sqref="O127">
    <cfRule type="expression" dxfId="197" priority="233">
      <formula>(O127+O126+O125)&gt;O124</formula>
    </cfRule>
  </conditionalFormatting>
  <conditionalFormatting sqref="Q124">
    <cfRule type="expression" dxfId="196" priority="231">
      <formula>(Q127+Q126+Q125)&gt;Q124</formula>
    </cfRule>
    <cfRule type="cellIs" dxfId="195" priority="232" operator="equal">
      <formula>0</formula>
    </cfRule>
  </conditionalFormatting>
  <conditionalFormatting sqref="Q125">
    <cfRule type="expression" dxfId="194" priority="230">
      <formula>(Q127+Q126+Q125)&gt;Q124</formula>
    </cfRule>
  </conditionalFormatting>
  <conditionalFormatting sqref="Q126">
    <cfRule type="expression" dxfId="193" priority="229">
      <formula>(Q127+Q126+Q125)&gt;Q124</formula>
    </cfRule>
  </conditionalFormatting>
  <conditionalFormatting sqref="Q127">
    <cfRule type="expression" dxfId="192" priority="228">
      <formula>(Q127+Q126+Q125)&gt;Q124</formula>
    </cfRule>
  </conditionalFormatting>
  <conditionalFormatting sqref="S124">
    <cfRule type="expression" dxfId="191" priority="226">
      <formula>(S127+S126+S125)&gt;S124</formula>
    </cfRule>
    <cfRule type="cellIs" dxfId="190" priority="227" operator="equal">
      <formula>0</formula>
    </cfRule>
  </conditionalFormatting>
  <conditionalFormatting sqref="S125">
    <cfRule type="expression" dxfId="189" priority="225">
      <formula>(S127+S126+S125)&gt;S124</formula>
    </cfRule>
  </conditionalFormatting>
  <conditionalFormatting sqref="S126">
    <cfRule type="expression" dxfId="188" priority="224">
      <formula>(S127+S126+S125)&gt;S124</formula>
    </cfRule>
  </conditionalFormatting>
  <conditionalFormatting sqref="S127">
    <cfRule type="expression" dxfId="187" priority="223">
      <formula>(S127+S126+S125)&gt;S124</formula>
    </cfRule>
  </conditionalFormatting>
  <conditionalFormatting sqref="U124">
    <cfRule type="expression" dxfId="186" priority="221">
      <formula>(U127+U126+U125)&gt;U124</formula>
    </cfRule>
    <cfRule type="cellIs" dxfId="185" priority="222" operator="equal">
      <formula>0</formula>
    </cfRule>
  </conditionalFormatting>
  <conditionalFormatting sqref="U125">
    <cfRule type="expression" dxfId="184" priority="220">
      <formula>(U127+U126+U125)&gt;U124</formula>
    </cfRule>
  </conditionalFormatting>
  <conditionalFormatting sqref="U126">
    <cfRule type="expression" dxfId="183" priority="219">
      <formula>(U127+U126+U125)&gt;U124</formula>
    </cfRule>
  </conditionalFormatting>
  <conditionalFormatting sqref="U127">
    <cfRule type="expression" dxfId="182" priority="218">
      <formula>(U127+U126+U125)&gt;U124</formula>
    </cfRule>
  </conditionalFormatting>
  <conditionalFormatting sqref="W124">
    <cfRule type="expression" dxfId="181" priority="216">
      <formula>(W127+W126+W125)&gt;W124</formula>
    </cfRule>
    <cfRule type="cellIs" dxfId="180" priority="217" operator="equal">
      <formula>0</formula>
    </cfRule>
  </conditionalFormatting>
  <conditionalFormatting sqref="W125">
    <cfRule type="expression" dxfId="179" priority="215">
      <formula>(W127+W126+W125)&gt;W124</formula>
    </cfRule>
  </conditionalFormatting>
  <conditionalFormatting sqref="W126">
    <cfRule type="expression" dxfId="178" priority="214">
      <formula>(W127+W126+W125)&gt;W124</formula>
    </cfRule>
  </conditionalFormatting>
  <conditionalFormatting sqref="W127">
    <cfRule type="expression" dxfId="177" priority="213">
      <formula>(W127+W126+W125)&gt;W124</formula>
    </cfRule>
  </conditionalFormatting>
  <conditionalFormatting sqref="Y124">
    <cfRule type="expression" dxfId="176" priority="211">
      <formula>(Y127+Y126+Y125)&gt;Y124</formula>
    </cfRule>
    <cfRule type="cellIs" dxfId="175" priority="212" operator="equal">
      <formula>0</formula>
    </cfRule>
  </conditionalFormatting>
  <conditionalFormatting sqref="Y125">
    <cfRule type="expression" dxfId="174" priority="210">
      <formula>(Y127+Y126+Y125)&gt;Y124</formula>
    </cfRule>
  </conditionalFormatting>
  <conditionalFormatting sqref="Y126">
    <cfRule type="expression" dxfId="173" priority="209">
      <formula>(Y127+Y126+Y125)&gt;Y124</formula>
    </cfRule>
  </conditionalFormatting>
  <conditionalFormatting sqref="Y127">
    <cfRule type="expression" dxfId="172" priority="208">
      <formula>(Y127+Y126+Y125)&gt;Y124</formula>
    </cfRule>
  </conditionalFormatting>
  <conditionalFormatting sqref="AA124">
    <cfRule type="expression" dxfId="171" priority="206">
      <formula>(AA127+AA126+AA125)&gt;AA124</formula>
    </cfRule>
    <cfRule type="cellIs" dxfId="170" priority="207" operator="equal">
      <formula>0</formula>
    </cfRule>
  </conditionalFormatting>
  <conditionalFormatting sqref="AA125">
    <cfRule type="expression" dxfId="169" priority="205">
      <formula>(AA127+AA126+AA125)&gt;AA124</formula>
    </cfRule>
  </conditionalFormatting>
  <conditionalFormatting sqref="AA126">
    <cfRule type="expression" dxfId="168" priority="204">
      <formula>(AA127+AA126+AA125)&gt;AA124</formula>
    </cfRule>
  </conditionalFormatting>
  <conditionalFormatting sqref="AA127">
    <cfRule type="expression" dxfId="167" priority="203">
      <formula>(AA127+AA126+AA125)&gt;AA124</formula>
    </cfRule>
  </conditionalFormatting>
  <conditionalFormatting sqref="M117">
    <cfRule type="expression" dxfId="166" priority="200">
      <formula>(M120+M119+M118)&gt;M117</formula>
    </cfRule>
    <cfRule type="cellIs" dxfId="165" priority="201" operator="equal">
      <formula>0</formula>
    </cfRule>
  </conditionalFormatting>
  <conditionalFormatting sqref="M118">
    <cfRule type="expression" dxfId="164" priority="199">
      <formula>(M120+M119+M118)&gt;M117</formula>
    </cfRule>
  </conditionalFormatting>
  <conditionalFormatting sqref="M119">
    <cfRule type="expression" dxfId="163" priority="198">
      <formula>(M120+M119+M118)&gt;M117</formula>
    </cfRule>
  </conditionalFormatting>
  <conditionalFormatting sqref="M120">
    <cfRule type="expression" dxfId="162" priority="197">
      <formula>(M120+M119+M118)&gt;M117</formula>
    </cfRule>
  </conditionalFormatting>
  <conditionalFormatting sqref="O117">
    <cfRule type="expression" dxfId="161" priority="195">
      <formula>(O120+O119+O118)&gt;O117</formula>
    </cfRule>
    <cfRule type="cellIs" dxfId="160" priority="196" operator="equal">
      <formula>0</formula>
    </cfRule>
  </conditionalFormatting>
  <conditionalFormatting sqref="O118">
    <cfRule type="expression" dxfId="159" priority="194">
      <formula>(O120+O119+O118)&gt;O117</formula>
    </cfRule>
  </conditionalFormatting>
  <conditionalFormatting sqref="O119">
    <cfRule type="expression" dxfId="158" priority="193">
      <formula>(O120+O119+O118)&gt;O117</formula>
    </cfRule>
  </conditionalFormatting>
  <conditionalFormatting sqref="O120">
    <cfRule type="expression" dxfId="157" priority="192">
      <formula>(O120+O119+O118)&gt;O117</formula>
    </cfRule>
  </conditionalFormatting>
  <conditionalFormatting sqref="Q117">
    <cfRule type="expression" dxfId="156" priority="190">
      <formula>(Q120+Q119+Q118)&gt;Q117</formula>
    </cfRule>
    <cfRule type="cellIs" dxfId="155" priority="191" operator="equal">
      <formula>0</formula>
    </cfRule>
  </conditionalFormatting>
  <conditionalFormatting sqref="Q118">
    <cfRule type="expression" dxfId="154" priority="189">
      <formula>(Q120+Q119+Q118)&gt;Q117</formula>
    </cfRule>
  </conditionalFormatting>
  <conditionalFormatting sqref="Q119">
    <cfRule type="expression" dxfId="153" priority="188">
      <formula>(Q120+Q119+Q118)&gt;Q117</formula>
    </cfRule>
  </conditionalFormatting>
  <conditionalFormatting sqref="Q120">
    <cfRule type="expression" dxfId="152" priority="187">
      <formula>(Q120+Q119+Q118)&gt;Q117</formula>
    </cfRule>
  </conditionalFormatting>
  <conditionalFormatting sqref="S117">
    <cfRule type="expression" dxfId="151" priority="185">
      <formula>(S120+S119+S118)&gt;S117</formula>
    </cfRule>
    <cfRule type="cellIs" dxfId="150" priority="186" operator="equal">
      <formula>0</formula>
    </cfRule>
  </conditionalFormatting>
  <conditionalFormatting sqref="S118">
    <cfRule type="expression" dxfId="149" priority="184">
      <formula>(S120+S119+S118)&gt;S117</formula>
    </cfRule>
  </conditionalFormatting>
  <conditionalFormatting sqref="S119">
    <cfRule type="expression" dxfId="148" priority="183">
      <formula>(S120+S119+S118)&gt;S117</formula>
    </cfRule>
  </conditionalFormatting>
  <conditionalFormatting sqref="S120">
    <cfRule type="expression" dxfId="147" priority="182">
      <formula>(S120+S119+S118)&gt;S117</formula>
    </cfRule>
  </conditionalFormatting>
  <conditionalFormatting sqref="U117">
    <cfRule type="expression" dxfId="146" priority="180">
      <formula>(U120+U119+U118)&gt;U117</formula>
    </cfRule>
    <cfRule type="cellIs" dxfId="145" priority="181" operator="equal">
      <formula>0</formula>
    </cfRule>
  </conditionalFormatting>
  <conditionalFormatting sqref="U118">
    <cfRule type="expression" dxfId="144" priority="179">
      <formula>(U120+U119+U118)&gt;U117</formula>
    </cfRule>
  </conditionalFormatting>
  <conditionalFormatting sqref="U119">
    <cfRule type="expression" dxfId="143" priority="178">
      <formula>(U120+U119+U118)&gt;U117</formula>
    </cfRule>
  </conditionalFormatting>
  <conditionalFormatting sqref="U120">
    <cfRule type="expression" dxfId="142" priority="177">
      <formula>(U120+U119+U118)&gt;U117</formula>
    </cfRule>
  </conditionalFormatting>
  <conditionalFormatting sqref="W117">
    <cfRule type="expression" dxfId="141" priority="175">
      <formula>(W120+W119+W118)&gt;W117</formula>
    </cfRule>
    <cfRule type="cellIs" dxfId="140" priority="176" operator="equal">
      <formula>0</formula>
    </cfRule>
  </conditionalFormatting>
  <conditionalFormatting sqref="W118">
    <cfRule type="expression" dxfId="139" priority="174">
      <formula>(W120+W119+W118)&gt;W117</formula>
    </cfRule>
  </conditionalFormatting>
  <conditionalFormatting sqref="W119">
    <cfRule type="expression" dxfId="138" priority="173">
      <formula>(W120+W119+W118)&gt;W117</formula>
    </cfRule>
  </conditionalFormatting>
  <conditionalFormatting sqref="W120">
    <cfRule type="expression" dxfId="137" priority="172">
      <formula>(W120+W119+W118)&gt;W117</formula>
    </cfRule>
  </conditionalFormatting>
  <conditionalFormatting sqref="Y117">
    <cfRule type="expression" dxfId="136" priority="170">
      <formula>(Y120+Y119+Y118)&gt;Y117</formula>
    </cfRule>
    <cfRule type="cellIs" dxfId="135" priority="171" operator="equal">
      <formula>0</formula>
    </cfRule>
  </conditionalFormatting>
  <conditionalFormatting sqref="Y118">
    <cfRule type="expression" dxfId="134" priority="169">
      <formula>(Y120+Y119+Y118)&gt;Y117</formula>
    </cfRule>
  </conditionalFormatting>
  <conditionalFormatting sqref="Y119">
    <cfRule type="expression" dxfId="133" priority="168">
      <formula>(Y120+Y119+Y118)&gt;Y117</formula>
    </cfRule>
  </conditionalFormatting>
  <conditionalFormatting sqref="Y120">
    <cfRule type="expression" dxfId="132" priority="167">
      <formula>(Y120+Y119+Y118)&gt;Y117</formula>
    </cfRule>
  </conditionalFormatting>
  <conditionalFormatting sqref="AA117">
    <cfRule type="expression" dxfId="131" priority="165">
      <formula>(AA120+AA119+AA118)&gt;AA117</formula>
    </cfRule>
    <cfRule type="cellIs" dxfId="130" priority="166" operator="equal">
      <formula>0</formula>
    </cfRule>
  </conditionalFormatting>
  <conditionalFormatting sqref="AA118">
    <cfRule type="expression" dxfId="129" priority="164">
      <formula>(AA120+AA119+AA118)&gt;AA117</formula>
    </cfRule>
  </conditionalFormatting>
  <conditionalFormatting sqref="AA119">
    <cfRule type="expression" dxfId="128" priority="163">
      <formula>(AA120+AA119+AA118)&gt;AA117</formula>
    </cfRule>
  </conditionalFormatting>
  <conditionalFormatting sqref="AA120">
    <cfRule type="expression" dxfId="127" priority="162">
      <formula>(AA120+AA119+AA118)&gt;AA117</formula>
    </cfRule>
  </conditionalFormatting>
  <conditionalFormatting sqref="M131">
    <cfRule type="expression" dxfId="126" priority="160">
      <formula>(M134+M133+M132)&gt;M131</formula>
    </cfRule>
    <cfRule type="cellIs" dxfId="125" priority="161" operator="equal">
      <formula>0</formula>
    </cfRule>
  </conditionalFormatting>
  <conditionalFormatting sqref="M132">
    <cfRule type="expression" dxfId="124" priority="159">
      <formula>(M134+M133+M132)&gt;M131</formula>
    </cfRule>
  </conditionalFormatting>
  <conditionalFormatting sqref="M133">
    <cfRule type="expression" dxfId="123" priority="158">
      <formula>(M134+M133+M132)&gt;M131</formula>
    </cfRule>
  </conditionalFormatting>
  <conditionalFormatting sqref="M134">
    <cfRule type="expression" dxfId="122" priority="157">
      <formula>(M134+M133+M132)&gt;M131</formula>
    </cfRule>
  </conditionalFormatting>
  <conditionalFormatting sqref="O131">
    <cfRule type="expression" dxfId="121" priority="155">
      <formula>(O134+O133+O132)&gt;O131</formula>
    </cfRule>
    <cfRule type="cellIs" dxfId="120" priority="156" operator="equal">
      <formula>0</formula>
    </cfRule>
  </conditionalFormatting>
  <conditionalFormatting sqref="O132">
    <cfRule type="expression" dxfId="119" priority="154">
      <formula>(O134+O133+O132)&gt;O131</formula>
    </cfRule>
  </conditionalFormatting>
  <conditionalFormatting sqref="O133">
    <cfRule type="expression" dxfId="118" priority="153">
      <formula>(O134+O133+O132)&gt;O131</formula>
    </cfRule>
  </conditionalFormatting>
  <conditionalFormatting sqref="O134">
    <cfRule type="expression" dxfId="117" priority="152">
      <formula>(O134+O133+O132)&gt;O131</formula>
    </cfRule>
  </conditionalFormatting>
  <conditionalFormatting sqref="Q131">
    <cfRule type="expression" dxfId="116" priority="150">
      <formula>(Q134+Q133+Q132)&gt;Q131</formula>
    </cfRule>
    <cfRule type="cellIs" dxfId="115" priority="151" operator="equal">
      <formula>0</formula>
    </cfRule>
  </conditionalFormatting>
  <conditionalFormatting sqref="Q132">
    <cfRule type="expression" dxfId="114" priority="149">
      <formula>(Q134+Q133+Q132)&gt;Q131</formula>
    </cfRule>
  </conditionalFormatting>
  <conditionalFormatting sqref="Q133">
    <cfRule type="expression" dxfId="113" priority="148">
      <formula>(Q134+Q133+Q132)&gt;Q131</formula>
    </cfRule>
  </conditionalFormatting>
  <conditionalFormatting sqref="Q134">
    <cfRule type="expression" dxfId="112" priority="147">
      <formula>(Q134+Q133+Q132)&gt;Q131</formula>
    </cfRule>
  </conditionalFormatting>
  <conditionalFormatting sqref="S131">
    <cfRule type="expression" dxfId="111" priority="145">
      <formula>(S134+S133+S132)&gt;S131</formula>
    </cfRule>
    <cfRule type="cellIs" dxfId="110" priority="146" operator="equal">
      <formula>0</formula>
    </cfRule>
  </conditionalFormatting>
  <conditionalFormatting sqref="S132">
    <cfRule type="expression" dxfId="109" priority="144">
      <formula>(S134+S133+S132)&gt;S131</formula>
    </cfRule>
  </conditionalFormatting>
  <conditionalFormatting sqref="S133">
    <cfRule type="expression" dxfId="108" priority="143">
      <formula>(S134+S133+S132)&gt;S131</formula>
    </cfRule>
  </conditionalFormatting>
  <conditionalFormatting sqref="S134">
    <cfRule type="expression" dxfId="107" priority="142">
      <formula>(S134+S133+S132)&gt;S131</formula>
    </cfRule>
  </conditionalFormatting>
  <conditionalFormatting sqref="U131">
    <cfRule type="expression" dxfId="106" priority="140">
      <formula>(U134+U133+U132)&gt;U131</formula>
    </cfRule>
    <cfRule type="cellIs" dxfId="105" priority="141" operator="equal">
      <formula>0</formula>
    </cfRule>
  </conditionalFormatting>
  <conditionalFormatting sqref="U132">
    <cfRule type="expression" dxfId="104" priority="139">
      <formula>(U134+U133+U132)&gt;U131</formula>
    </cfRule>
  </conditionalFormatting>
  <conditionalFormatting sqref="U133">
    <cfRule type="expression" dxfId="103" priority="138">
      <formula>(U134+U133+U132)&gt;U131</formula>
    </cfRule>
  </conditionalFormatting>
  <conditionalFormatting sqref="U134">
    <cfRule type="expression" dxfId="102" priority="137">
      <formula>(U134+U133+U132)&gt;U131</formula>
    </cfRule>
  </conditionalFormatting>
  <conditionalFormatting sqref="W131">
    <cfRule type="expression" dxfId="101" priority="135">
      <formula>(W134+W133+W132)&gt;W131</formula>
    </cfRule>
    <cfRule type="cellIs" dxfId="100" priority="136" operator="equal">
      <formula>0</formula>
    </cfRule>
  </conditionalFormatting>
  <conditionalFormatting sqref="W132">
    <cfRule type="expression" dxfId="99" priority="134">
      <formula>(W134+W133+W132)&gt;W131</formula>
    </cfRule>
  </conditionalFormatting>
  <conditionalFormatting sqref="W133">
    <cfRule type="expression" dxfId="98" priority="133">
      <formula>(W134+W133+W132)&gt;W131</formula>
    </cfRule>
  </conditionalFormatting>
  <conditionalFormatting sqref="W134">
    <cfRule type="expression" dxfId="97" priority="132">
      <formula>(W134+W133+W132)&gt;W131</formula>
    </cfRule>
  </conditionalFormatting>
  <conditionalFormatting sqref="Y131">
    <cfRule type="expression" dxfId="96" priority="130">
      <formula>(Y134+Y133+Y132)&gt;Y131</formula>
    </cfRule>
    <cfRule type="cellIs" dxfId="95" priority="131" operator="equal">
      <formula>0</formula>
    </cfRule>
  </conditionalFormatting>
  <conditionalFormatting sqref="Y132">
    <cfRule type="expression" dxfId="94" priority="129">
      <formula>(Y134+Y133+Y132)&gt;Y131</formula>
    </cfRule>
  </conditionalFormatting>
  <conditionalFormatting sqref="Y133">
    <cfRule type="expression" dxfId="93" priority="128">
      <formula>(Y134+Y133+Y132)&gt;Y131</formula>
    </cfRule>
  </conditionalFormatting>
  <conditionalFormatting sqref="Y134">
    <cfRule type="expression" dxfId="92" priority="127">
      <formula>(Y134+Y133+Y132)&gt;Y131</formula>
    </cfRule>
  </conditionalFormatting>
  <conditionalFormatting sqref="AA131">
    <cfRule type="expression" dxfId="91" priority="125">
      <formula>(AA134+AA133+AA132)&gt;AA131</formula>
    </cfRule>
    <cfRule type="cellIs" dxfId="90" priority="126" operator="equal">
      <formula>0</formula>
    </cfRule>
  </conditionalFormatting>
  <conditionalFormatting sqref="AA132">
    <cfRule type="expression" dxfId="89" priority="124">
      <formula>(AA134+AA133+AA132)&gt;AA131</formula>
    </cfRule>
  </conditionalFormatting>
  <conditionalFormatting sqref="AA133">
    <cfRule type="expression" dxfId="88" priority="123">
      <formula>(AA134+AA133+AA132)&gt;AA131</formula>
    </cfRule>
  </conditionalFormatting>
  <conditionalFormatting sqref="AA134">
    <cfRule type="expression" dxfId="87" priority="122">
      <formula>(AA134+AA133+AA132)&gt;AA131</formula>
    </cfRule>
  </conditionalFormatting>
  <conditionalFormatting sqref="AE147:AF147">
    <cfRule type="notContainsBlanks" dxfId="86" priority="118">
      <formula>LEN(TRIM(AE147))&gt;0</formula>
    </cfRule>
  </conditionalFormatting>
  <conditionalFormatting sqref="AB148:AB173">
    <cfRule type="cellIs" dxfId="85" priority="116" operator="equal">
      <formula>0</formula>
    </cfRule>
  </conditionalFormatting>
  <conditionalFormatting sqref="AE148:AF155">
    <cfRule type="notContainsBlanks" dxfId="84" priority="114">
      <formula>LEN(TRIM(AE148))&gt;0</formula>
    </cfRule>
  </conditionalFormatting>
  <conditionalFormatting sqref="AE156:AF156">
    <cfRule type="notContainsBlanks" dxfId="83" priority="105">
      <formula>LEN(TRIM(AE156))&gt;0</formula>
    </cfRule>
  </conditionalFormatting>
  <conditionalFormatting sqref="AE157:AF164">
    <cfRule type="notContainsBlanks" dxfId="82" priority="101">
      <formula>LEN(TRIM(AE157))&gt;0</formula>
    </cfRule>
  </conditionalFormatting>
  <conditionalFormatting sqref="AE165:AF165">
    <cfRule type="notContainsBlanks" dxfId="81" priority="92">
      <formula>LEN(TRIM(AE165))&gt;0</formula>
    </cfRule>
  </conditionalFormatting>
  <conditionalFormatting sqref="AE166:AF173">
    <cfRule type="notContainsBlanks" dxfId="80" priority="88">
      <formula>LEN(TRIM(AE166))&gt;0</formula>
    </cfRule>
  </conditionalFormatting>
  <conditionalFormatting sqref="D99:AA99">
    <cfRule type="expression" dxfId="79" priority="1542">
      <formula>SUM(D99:D100)&gt;D252</formula>
    </cfRule>
  </conditionalFormatting>
  <conditionalFormatting sqref="D100:E100">
    <cfRule type="expression" dxfId="78" priority="1543">
      <formula>SUM(D99:D100)&gt;D252</formula>
    </cfRule>
  </conditionalFormatting>
  <conditionalFormatting sqref="D140:AA140">
    <cfRule type="cellIs" dxfId="77" priority="81" operator="equal">
      <formula>0</formula>
    </cfRule>
  </conditionalFormatting>
  <conditionalFormatting sqref="D177:AA177 D176:AB176 D175:AA175 D174:AB174">
    <cfRule type="cellIs" dxfId="76" priority="80" operator="equal">
      <formula>0</formula>
    </cfRule>
  </conditionalFormatting>
  <conditionalFormatting sqref="D178:AA178">
    <cfRule type="expression" dxfId="75" priority="79">
      <formula>D178&gt;D174</formula>
    </cfRule>
  </conditionalFormatting>
  <conditionalFormatting sqref="D174:AA174">
    <cfRule type="expression" dxfId="74" priority="78">
      <formula>D178&gt;D174</formula>
    </cfRule>
  </conditionalFormatting>
  <conditionalFormatting sqref="AB147">
    <cfRule type="cellIs" dxfId="73" priority="77" operator="equal">
      <formula>0</formula>
    </cfRule>
  </conditionalFormatting>
  <conditionalFormatting sqref="AB8:AB10">
    <cfRule type="cellIs" dxfId="72" priority="76" operator="equal">
      <formula>0</formula>
    </cfRule>
  </conditionalFormatting>
  <conditionalFormatting sqref="AB11:AB13">
    <cfRule type="cellIs" dxfId="71" priority="75" operator="equal">
      <formula>0</formula>
    </cfRule>
  </conditionalFormatting>
  <conditionalFormatting sqref="AB14">
    <cfRule type="cellIs" dxfId="70" priority="74" operator="equal">
      <formula>0</formula>
    </cfRule>
  </conditionalFormatting>
  <conditionalFormatting sqref="AB15:AB17">
    <cfRule type="cellIs" dxfId="69" priority="73" operator="equal">
      <formula>0</formula>
    </cfRule>
  </conditionalFormatting>
  <conditionalFormatting sqref="AB18">
    <cfRule type="cellIs" dxfId="68" priority="72" operator="equal">
      <formula>0</formula>
    </cfRule>
  </conditionalFormatting>
  <conditionalFormatting sqref="D139:AA139">
    <cfRule type="expression" dxfId="67" priority="71">
      <formula>D139&gt;D138</formula>
    </cfRule>
  </conditionalFormatting>
  <conditionalFormatting sqref="D138:AA138">
    <cfRule type="expression" dxfId="66" priority="70">
      <formula>D139&gt;D138</formula>
    </cfRule>
  </conditionalFormatting>
  <conditionalFormatting sqref="D140:AA140">
    <cfRule type="expression" dxfId="65" priority="69">
      <formula>D140&gt;D139</formula>
    </cfRule>
  </conditionalFormatting>
  <conditionalFormatting sqref="D139:AA139">
    <cfRule type="expression" dxfId="64" priority="68">
      <formula>D140&gt;D139</formula>
    </cfRule>
  </conditionalFormatting>
  <conditionalFormatting sqref="D175:AA175">
    <cfRule type="expression" dxfId="63" priority="67">
      <formula>D175&gt;D174</formula>
    </cfRule>
  </conditionalFormatting>
  <conditionalFormatting sqref="D174:AA174">
    <cfRule type="expression" dxfId="62" priority="66">
      <formula>D175&gt;D174</formula>
    </cfRule>
  </conditionalFormatting>
  <conditionalFormatting sqref="AC141">
    <cfRule type="notContainsBlanks" dxfId="61" priority="65">
      <formula>LEN(TRIM(AC141))&gt;0</formula>
    </cfRule>
  </conditionalFormatting>
  <conditionalFormatting sqref="AD147">
    <cfRule type="notContainsBlanks" dxfId="60" priority="64">
      <formula>LEN(TRIM(AD147))&gt;0</formula>
    </cfRule>
  </conditionalFormatting>
  <conditionalFormatting sqref="AD156">
    <cfRule type="notContainsBlanks" dxfId="59" priority="63">
      <formula>LEN(TRIM(AD156))&gt;0</formula>
    </cfRule>
  </conditionalFormatting>
  <conditionalFormatting sqref="AD165">
    <cfRule type="notContainsBlanks" dxfId="58" priority="62">
      <formula>LEN(TRIM(AD165))&gt;0</formula>
    </cfRule>
  </conditionalFormatting>
  <conditionalFormatting sqref="D142:AA142">
    <cfRule type="expression" dxfId="57" priority="61">
      <formula>D142&gt;D141</formula>
    </cfRule>
  </conditionalFormatting>
  <conditionalFormatting sqref="D141:AA141">
    <cfRule type="expression" dxfId="56" priority="60">
      <formula>D142&gt;D141</formula>
    </cfRule>
  </conditionalFormatting>
  <conditionalFormatting sqref="AC138">
    <cfRule type="notContainsBlanks" dxfId="55" priority="59">
      <formula>LEN(TRIM(AC138))&gt;0</formula>
    </cfRule>
  </conditionalFormatting>
  <conditionalFormatting sqref="AC143">
    <cfRule type="notContainsBlanks" dxfId="54" priority="58">
      <formula>LEN(TRIM(AC143))&gt;0</formula>
    </cfRule>
  </conditionalFormatting>
  <conditionalFormatting sqref="D144:AA144">
    <cfRule type="expression" dxfId="53" priority="57">
      <formula>D144&gt;D143</formula>
    </cfRule>
  </conditionalFormatting>
  <conditionalFormatting sqref="D143:AA143">
    <cfRule type="expression" dxfId="52" priority="56">
      <formula>D144&gt;D143</formula>
    </cfRule>
  </conditionalFormatting>
  <conditionalFormatting sqref="AC148:AC149 AC151 AC153:AC155">
    <cfRule type="notContainsBlanks" dxfId="51" priority="55">
      <formula>LEN(TRIM(AC148))&gt;0</formula>
    </cfRule>
  </conditionalFormatting>
  <conditionalFormatting sqref="AC150">
    <cfRule type="notContainsBlanks" dxfId="50" priority="54">
      <formula>LEN(TRIM(AC150))&gt;0</formula>
    </cfRule>
  </conditionalFormatting>
  <conditionalFormatting sqref="AC147">
    <cfRule type="notContainsBlanks" dxfId="49" priority="53">
      <formula>LEN(TRIM(AC147))&gt;0</formula>
    </cfRule>
  </conditionalFormatting>
  <conditionalFormatting sqref="AC152">
    <cfRule type="notContainsBlanks" dxfId="48" priority="52">
      <formula>LEN(TRIM(AC152))&gt;0</formula>
    </cfRule>
  </conditionalFormatting>
  <conditionalFormatting sqref="AC157:AC158 AC160 AC162:AC164">
    <cfRule type="notContainsBlanks" dxfId="47" priority="51">
      <formula>LEN(TRIM(AC157))&gt;0</formula>
    </cfRule>
  </conditionalFormatting>
  <conditionalFormatting sqref="AC159">
    <cfRule type="notContainsBlanks" dxfId="46" priority="50">
      <formula>LEN(TRIM(AC159))&gt;0</formula>
    </cfRule>
  </conditionalFormatting>
  <conditionalFormatting sqref="AC156">
    <cfRule type="notContainsBlanks" dxfId="45" priority="49">
      <formula>LEN(TRIM(AC156))&gt;0</formula>
    </cfRule>
  </conditionalFormatting>
  <conditionalFormatting sqref="AC161">
    <cfRule type="notContainsBlanks" dxfId="44" priority="48">
      <formula>LEN(TRIM(AC161))&gt;0</formula>
    </cfRule>
  </conditionalFormatting>
  <conditionalFormatting sqref="AC166:AC167 AC169 AC171:AC173">
    <cfRule type="notContainsBlanks" dxfId="43" priority="47">
      <formula>LEN(TRIM(AC166))&gt;0</formula>
    </cfRule>
  </conditionalFormatting>
  <conditionalFormatting sqref="AC168">
    <cfRule type="notContainsBlanks" dxfId="42" priority="46">
      <formula>LEN(TRIM(AC168))&gt;0</formula>
    </cfRule>
  </conditionalFormatting>
  <conditionalFormatting sqref="AC165">
    <cfRule type="notContainsBlanks" dxfId="41" priority="45">
      <formula>LEN(TRIM(AC165))&gt;0</formula>
    </cfRule>
  </conditionalFormatting>
  <conditionalFormatting sqref="AC170">
    <cfRule type="notContainsBlanks" dxfId="40" priority="44">
      <formula>LEN(TRIM(AC170))&gt;0</formula>
    </cfRule>
  </conditionalFormatting>
  <conditionalFormatting sqref="D147:AA147">
    <cfRule type="cellIs" dxfId="39" priority="43" operator="equal">
      <formula>0</formula>
    </cfRule>
  </conditionalFormatting>
  <conditionalFormatting sqref="D149:AA149">
    <cfRule type="cellIs" dxfId="38" priority="42" operator="equal">
      <formula>0</formula>
    </cfRule>
  </conditionalFormatting>
  <conditionalFormatting sqref="D148:AA148">
    <cfRule type="expression" dxfId="37" priority="41">
      <formula>D148&gt;D147</formula>
    </cfRule>
  </conditionalFormatting>
  <conditionalFormatting sqref="D147:AA147">
    <cfRule type="expression" dxfId="36" priority="40">
      <formula>D148&gt;D147</formula>
    </cfRule>
  </conditionalFormatting>
  <conditionalFormatting sqref="D149:AA149">
    <cfRule type="expression" dxfId="35" priority="39">
      <formula>D149&gt;D148</formula>
    </cfRule>
  </conditionalFormatting>
  <conditionalFormatting sqref="D148:AA148">
    <cfRule type="expression" dxfId="34" priority="38">
      <formula>D149&gt;D148</formula>
    </cfRule>
  </conditionalFormatting>
  <conditionalFormatting sqref="D151:AA151">
    <cfRule type="expression" dxfId="33" priority="37">
      <formula>D151&gt;D150</formula>
    </cfRule>
  </conditionalFormatting>
  <conditionalFormatting sqref="D150:AA150">
    <cfRule type="expression" dxfId="32" priority="36">
      <formula>D151&gt;D150</formula>
    </cfRule>
  </conditionalFormatting>
  <conditionalFormatting sqref="D153:AA153">
    <cfRule type="expression" dxfId="31" priority="35">
      <formula>D153&gt;D152</formula>
    </cfRule>
  </conditionalFormatting>
  <conditionalFormatting sqref="D152:AA152">
    <cfRule type="expression" dxfId="30" priority="34">
      <formula>D153&gt;D152</formula>
    </cfRule>
  </conditionalFormatting>
  <conditionalFormatting sqref="D158:AA158">
    <cfRule type="cellIs" dxfId="29" priority="32" operator="equal">
      <formula>0</formula>
    </cfRule>
  </conditionalFormatting>
  <conditionalFormatting sqref="D157:AA157">
    <cfRule type="expression" dxfId="28" priority="31">
      <formula>D157&gt;D156</formula>
    </cfRule>
  </conditionalFormatting>
  <conditionalFormatting sqref="D156:AA156">
    <cfRule type="expression" dxfId="27" priority="30">
      <formula>D157&gt;D156</formula>
    </cfRule>
  </conditionalFormatting>
  <conditionalFormatting sqref="D158:AA158">
    <cfRule type="expression" dxfId="26" priority="29">
      <formula>D158&gt;D157</formula>
    </cfRule>
  </conditionalFormatting>
  <conditionalFormatting sqref="D157:AA157">
    <cfRule type="expression" dxfId="25" priority="28">
      <formula>D158&gt;D157</formula>
    </cfRule>
  </conditionalFormatting>
  <conditionalFormatting sqref="D160:AA160">
    <cfRule type="expression" dxfId="24" priority="27">
      <formula>D160&gt;D159</formula>
    </cfRule>
  </conditionalFormatting>
  <conditionalFormatting sqref="D159:AA159">
    <cfRule type="expression" dxfId="23" priority="26">
      <formula>D160&gt;D159</formula>
    </cfRule>
  </conditionalFormatting>
  <conditionalFormatting sqref="D162:AA162">
    <cfRule type="expression" dxfId="22" priority="25">
      <formula>D162&gt;D161</formula>
    </cfRule>
  </conditionalFormatting>
  <conditionalFormatting sqref="D161:AA161">
    <cfRule type="expression" dxfId="21" priority="24">
      <formula>D162&gt;D161</formula>
    </cfRule>
  </conditionalFormatting>
  <conditionalFormatting sqref="D165:AA165">
    <cfRule type="cellIs" dxfId="20" priority="23" operator="equal">
      <formula>0</formula>
    </cfRule>
  </conditionalFormatting>
  <conditionalFormatting sqref="D167:AA167">
    <cfRule type="cellIs" dxfId="19" priority="22" operator="equal">
      <formula>0</formula>
    </cfRule>
  </conditionalFormatting>
  <conditionalFormatting sqref="D166:AA166">
    <cfRule type="expression" dxfId="18" priority="21">
      <formula>D166&gt;D165</formula>
    </cfRule>
  </conditionalFormatting>
  <conditionalFormatting sqref="D165:AA165">
    <cfRule type="expression" dxfId="17" priority="20">
      <formula>D166&gt;D165</formula>
    </cfRule>
  </conditionalFormatting>
  <conditionalFormatting sqref="D167:AA167">
    <cfRule type="expression" dxfId="16" priority="19">
      <formula>D167&gt;D166</formula>
    </cfRule>
  </conditionalFormatting>
  <conditionalFormatting sqref="D166:AA166">
    <cfRule type="expression" dxfId="15" priority="18">
      <formula>D167&gt;D166</formula>
    </cfRule>
  </conditionalFormatting>
  <conditionalFormatting sqref="D169:AA169">
    <cfRule type="expression" dxfId="14" priority="17">
      <formula>D169&gt;D168</formula>
    </cfRule>
  </conditionalFormatting>
  <conditionalFormatting sqref="D168:AA168">
    <cfRule type="expression" dxfId="13" priority="16">
      <formula>D169&gt;D168</formula>
    </cfRule>
  </conditionalFormatting>
  <conditionalFormatting sqref="D171:AA171">
    <cfRule type="expression" dxfId="12" priority="15">
      <formula>D171&gt;D170</formula>
    </cfRule>
  </conditionalFormatting>
  <conditionalFormatting sqref="D170:AA170">
    <cfRule type="expression" dxfId="11" priority="14">
      <formula>D171&gt;D170</formula>
    </cfRule>
  </conditionalFormatting>
  <conditionalFormatting sqref="K182 M182 O182 Q182 S182 U182 W182 Y182 AA182">
    <cfRule type="expression" dxfId="10" priority="13">
      <formula>K182&gt;K181</formula>
    </cfRule>
  </conditionalFormatting>
  <conditionalFormatting sqref="D184:AA184">
    <cfRule type="expression" dxfId="9" priority="12">
      <formula>D184&gt;D183</formula>
    </cfRule>
  </conditionalFormatting>
  <conditionalFormatting sqref="K181 M181 O181 Q181 S181 U181 W181 Y181 AA181">
    <cfRule type="expression" dxfId="8" priority="11">
      <formula>K181&gt;K174</formula>
    </cfRule>
  </conditionalFormatting>
  <conditionalFormatting sqref="D174:AA174">
    <cfRule type="expression" dxfId="7" priority="10">
      <formula>D181&gt;D174</formula>
    </cfRule>
  </conditionalFormatting>
  <conditionalFormatting sqref="D276:AA276">
    <cfRule type="expression" dxfId="6" priority="9">
      <formula>D276&gt;D272</formula>
    </cfRule>
  </conditionalFormatting>
  <conditionalFormatting sqref="AD267:AD280">
    <cfRule type="notContainsBlanks" dxfId="5" priority="8">
      <formula>LEN(TRIM(AD267))&gt;0</formula>
    </cfRule>
  </conditionalFormatting>
  <conditionalFormatting sqref="D280:AA280">
    <cfRule type="expression" dxfId="4" priority="7">
      <formula>D280&gt;D277</formula>
    </cfRule>
  </conditionalFormatting>
  <conditionalFormatting sqref="D277:AA277">
    <cfRule type="expression" dxfId="3" priority="6">
      <formula>D280&gt;D277</formula>
    </cfRule>
  </conditionalFormatting>
  <conditionalFormatting sqref="AD214:AD222">
    <cfRule type="notContainsBlanks" dxfId="2" priority="5">
      <formula>LEN(TRIM(AD214))&gt;0</formula>
    </cfRule>
  </conditionalFormatting>
  <conditionalFormatting sqref="D243:E243">
    <cfRule type="expression" dxfId="1" priority="2">
      <formula>D220&lt;&gt;D243</formula>
    </cfRule>
  </conditionalFormatting>
  <conditionalFormatting sqref="AF214:AF222">
    <cfRule type="notContainsBlanks" dxfId="0" priority="1">
      <formula>LEN(TRIM(AF214))&gt;0</formula>
    </cfRule>
  </conditionalFormatting>
  <dataValidations count="2">
    <dataValidation type="whole" allowBlank="1" showInputMessage="1" showErrorMessage="1" errorTitle="Non-Numeric or abnormal value" error="Enter Numbers only between 0 and 99999" sqref="E304:AA310 D54:AA58 D226:AA239 D62:AA95 D114:AA134 E177:AA188 AB94:AB95 E281:AB281 E303:AB303 D298:D310 D22:AA48 E252:AB252 D99:AA110 E243:AA251 E298:AA302 D192:AA222 E148:AA175 E176:AB176 D8:AA18 AB138 D138:D188 E138:AA146 E147:AB147 D243:D288 E253:AA280 E282:AA288 D312:AA321" xr:uid="{B89F7BEB-D895-441B-9690-CF40DBC25312}">
      <formula1>0</formula1>
      <formula2>99999</formula2>
    </dataValidation>
    <dataValidation type="whole" allowBlank="1" showInputMessage="1" showErrorMessage="1" errorTitle="Numeric Characters Error" error="Enter Numeric Characters only between range 0 and 2000" sqref="D292:AA297"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0" max="16383" man="1"/>
  </rowBreaks>
  <ignoredErrors>
    <ignoredError sqref="J20 J52 J60 J97 J136 J241 J290 J224 J190" twoDigitTextYear="1"/>
    <ignoredError sqref="D176:AA17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2020-06-05T08:11:09Z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