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C2D40268-D7FD-456B-81FB-8432CD2B5E1C}" xr6:coauthVersionLast="45" xr6:coauthVersionMax="45" xr10:uidLastSave="{00000000-0000-0000-0000-000000000000}"/>
  <workbookProtection workbookAlgorithmName="SHA-512" workbookHashValue="cPvhaXs730mrgLzHt5Rl87o6TzeovzFhWmNUAlmhmXXOoA/7jjlnKrO4h1HZOmdgNoXk2ByVPDp9kWVjMEMH6Q==" workbookSaltValue="ZJmJdmlOFHPXNdFapbjhAQ==" workbookSpinCount="100000" lockStructure="1"/>
  <bookViews>
    <workbookView xWindow="-120" yWindow="-120" windowWidth="29040" windowHeight="15840" activeTab="1" xr2:uid="{1C7A72A4-46D5-4130-84F6-E2BF1F1A15D0}"/>
  </bookViews>
  <sheets>
    <sheet name="InstructionsForm1A" sheetId="4" r:id="rId1"/>
    <sheet name="Feb" sheetId="1" r:id="rId2"/>
  </sheets>
  <definedNames>
    <definedName name="_xlnm._FilterDatabase" localSheetId="0" hidden="1">InstructionsForm1A!$B$2:$F$296</definedName>
    <definedName name="_xlnm.Print_Area" localSheetId="1">Feb!$A$1:$AB$327</definedName>
    <definedName name="_xlnm.Print_Area" localSheetId="0">InstructionsForm1A!$B$1:$F$296</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45" i="1" l="1"/>
  <c r="F245" i="1"/>
  <c r="G245" i="1"/>
  <c r="H245" i="1"/>
  <c r="I245" i="1"/>
  <c r="J245" i="1"/>
  <c r="K245" i="1"/>
  <c r="L245" i="1"/>
  <c r="M245" i="1"/>
  <c r="N245" i="1"/>
  <c r="O245" i="1"/>
  <c r="P245" i="1"/>
  <c r="Q245" i="1"/>
  <c r="R245" i="1"/>
  <c r="S245" i="1"/>
  <c r="T245" i="1"/>
  <c r="U245" i="1"/>
  <c r="V245" i="1"/>
  <c r="W245" i="1"/>
  <c r="X245" i="1"/>
  <c r="Y245" i="1"/>
  <c r="Z245" i="1"/>
  <c r="AA245" i="1"/>
  <c r="AB326" i="1" l="1"/>
  <c r="AB9" i="1"/>
  <c r="AB10" i="1"/>
  <c r="K55" i="1" l="1"/>
  <c r="L55" i="1"/>
  <c r="M55" i="1"/>
  <c r="N55" i="1"/>
  <c r="O55" i="1"/>
  <c r="P55" i="1"/>
  <c r="Q55" i="1"/>
  <c r="R55" i="1"/>
  <c r="S55" i="1"/>
  <c r="T55" i="1"/>
  <c r="U55" i="1"/>
  <c r="V55" i="1"/>
  <c r="W55" i="1"/>
  <c r="X55" i="1"/>
  <c r="Y55" i="1"/>
  <c r="Z55" i="1"/>
  <c r="AA55" i="1"/>
  <c r="J55" i="1"/>
  <c r="AC239" i="1" l="1"/>
  <c r="AC241" i="1" l="1"/>
  <c r="AE271" i="1" l="1"/>
  <c r="AE270" i="1"/>
  <c r="E272" i="1"/>
  <c r="F272" i="1"/>
  <c r="G272" i="1"/>
  <c r="H272" i="1"/>
  <c r="I272" i="1"/>
  <c r="J272" i="1"/>
  <c r="K272" i="1"/>
  <c r="L272" i="1"/>
  <c r="M272" i="1"/>
  <c r="N272" i="1"/>
  <c r="O272" i="1"/>
  <c r="P272" i="1"/>
  <c r="Q272" i="1"/>
  <c r="R272" i="1"/>
  <c r="S272" i="1"/>
  <c r="T272" i="1"/>
  <c r="U272" i="1"/>
  <c r="V272" i="1"/>
  <c r="W272" i="1"/>
  <c r="X272" i="1"/>
  <c r="Y272" i="1"/>
  <c r="Z272" i="1"/>
  <c r="AA272" i="1"/>
  <c r="E279" i="1"/>
  <c r="F279" i="1"/>
  <c r="G279" i="1"/>
  <c r="H279" i="1"/>
  <c r="I279" i="1"/>
  <c r="J279" i="1"/>
  <c r="K279" i="1"/>
  <c r="L279" i="1"/>
  <c r="M279" i="1"/>
  <c r="N279" i="1"/>
  <c r="O279" i="1"/>
  <c r="P279" i="1"/>
  <c r="Q279" i="1"/>
  <c r="R279" i="1"/>
  <c r="S279" i="1"/>
  <c r="T279" i="1"/>
  <c r="U279" i="1"/>
  <c r="V279" i="1"/>
  <c r="W279" i="1"/>
  <c r="X279" i="1"/>
  <c r="Y279" i="1"/>
  <c r="Z279" i="1"/>
  <c r="AA279" i="1"/>
  <c r="AC8" i="1" l="1"/>
  <c r="AC9" i="1"/>
  <c r="G319" i="1" l="1"/>
  <c r="H319" i="1"/>
  <c r="I319" i="1"/>
  <c r="J319" i="1"/>
  <c r="K319" i="1"/>
  <c r="L319" i="1"/>
  <c r="M319" i="1"/>
  <c r="N319" i="1"/>
  <c r="O319" i="1"/>
  <c r="P319" i="1"/>
  <c r="Q319" i="1"/>
  <c r="R319" i="1"/>
  <c r="S319" i="1"/>
  <c r="T319" i="1"/>
  <c r="U319" i="1"/>
  <c r="V319" i="1"/>
  <c r="W319" i="1"/>
  <c r="X319" i="1"/>
  <c r="Y319" i="1"/>
  <c r="Z319" i="1"/>
  <c r="AA319" i="1"/>
  <c r="W321" i="1"/>
  <c r="AB287" i="1"/>
  <c r="AB288" i="1"/>
  <c r="AB289" i="1"/>
  <c r="AB290" i="1"/>
  <c r="AB291" i="1"/>
  <c r="E284" i="1"/>
  <c r="F284" i="1"/>
  <c r="G284" i="1"/>
  <c r="H284" i="1"/>
  <c r="I284" i="1"/>
  <c r="J284" i="1"/>
  <c r="K284" i="1"/>
  <c r="L284" i="1"/>
  <c r="M284" i="1"/>
  <c r="N284" i="1"/>
  <c r="O284" i="1"/>
  <c r="P284" i="1"/>
  <c r="Q284" i="1"/>
  <c r="R284" i="1"/>
  <c r="S284" i="1"/>
  <c r="T284" i="1"/>
  <c r="U284" i="1"/>
  <c r="V284" i="1"/>
  <c r="W284" i="1"/>
  <c r="X284" i="1"/>
  <c r="Y284" i="1"/>
  <c r="Z284" i="1"/>
  <c r="AA284" i="1"/>
  <c r="D284" i="1"/>
  <c r="AB234" i="1"/>
  <c r="AB233" i="1"/>
  <c r="AB237" i="1"/>
  <c r="AB236" i="1"/>
  <c r="AB231" i="1"/>
  <c r="AB232" i="1"/>
  <c r="AB206" i="1"/>
  <c r="AB207" i="1"/>
  <c r="AB82" i="1"/>
  <c r="AB83" i="1"/>
  <c r="AB84" i="1"/>
  <c r="AB85" i="1"/>
  <c r="AB81" i="1"/>
  <c r="AB80" i="1"/>
  <c r="AB75" i="1"/>
  <c r="AB77" i="1"/>
  <c r="AB78" i="1"/>
  <c r="AB76" i="1"/>
  <c r="AB69" i="1"/>
  <c r="AB70" i="1"/>
  <c r="AB71" i="1"/>
  <c r="AB72" i="1"/>
  <c r="AB73" i="1"/>
  <c r="AB74" i="1"/>
  <c r="AB66" i="1"/>
  <c r="AB65" i="1"/>
  <c r="D224" i="1" l="1"/>
  <c r="E224" i="1"/>
  <c r="E283" i="1"/>
  <c r="F283" i="1"/>
  <c r="G283" i="1"/>
  <c r="H283" i="1"/>
  <c r="I283" i="1"/>
  <c r="J283" i="1"/>
  <c r="K283" i="1"/>
  <c r="L283" i="1"/>
  <c r="M283" i="1"/>
  <c r="N283" i="1"/>
  <c r="O283" i="1"/>
  <c r="P283" i="1"/>
  <c r="Q283" i="1"/>
  <c r="R283" i="1"/>
  <c r="S283" i="1"/>
  <c r="T283" i="1"/>
  <c r="U283" i="1"/>
  <c r="V283" i="1"/>
  <c r="W283" i="1"/>
  <c r="X283" i="1"/>
  <c r="Y283" i="1"/>
  <c r="Z283" i="1"/>
  <c r="AA283" i="1"/>
  <c r="AF284" i="1"/>
  <c r="AD284" i="1"/>
  <c r="D279" i="1"/>
  <c r="AC183" i="1" l="1"/>
  <c r="AC184" i="1"/>
  <c r="AC181" i="1"/>
  <c r="AC172" i="1"/>
  <c r="AC163" i="1"/>
  <c r="AC161" i="1"/>
  <c r="AC158" i="1"/>
  <c r="AC154" i="1"/>
  <c r="AC152" i="1"/>
  <c r="E167" i="1"/>
  <c r="F167" i="1"/>
  <c r="G167" i="1"/>
  <c r="H167" i="1"/>
  <c r="I167" i="1"/>
  <c r="J167" i="1"/>
  <c r="K167" i="1"/>
  <c r="L167" i="1"/>
  <c r="M167" i="1"/>
  <c r="N167" i="1"/>
  <c r="O167" i="1"/>
  <c r="P167" i="1"/>
  <c r="Q167" i="1"/>
  <c r="R167" i="1"/>
  <c r="S167" i="1"/>
  <c r="T167" i="1"/>
  <c r="U167" i="1"/>
  <c r="V167" i="1"/>
  <c r="W167" i="1"/>
  <c r="X167" i="1"/>
  <c r="Y167" i="1"/>
  <c r="Z167" i="1"/>
  <c r="AA167" i="1"/>
  <c r="D167" i="1"/>
  <c r="E149" i="1"/>
  <c r="F149" i="1"/>
  <c r="G149" i="1"/>
  <c r="H149" i="1"/>
  <c r="I149" i="1"/>
  <c r="J149" i="1"/>
  <c r="K149" i="1"/>
  <c r="L149" i="1"/>
  <c r="M149" i="1"/>
  <c r="N149" i="1"/>
  <c r="O149" i="1"/>
  <c r="P149" i="1"/>
  <c r="Q149" i="1"/>
  <c r="R149" i="1"/>
  <c r="S149" i="1"/>
  <c r="T149" i="1"/>
  <c r="U149" i="1"/>
  <c r="V149" i="1"/>
  <c r="W149" i="1"/>
  <c r="X149" i="1"/>
  <c r="Y149" i="1"/>
  <c r="Z149" i="1"/>
  <c r="AA149" i="1"/>
  <c r="D149" i="1"/>
  <c r="AA169" i="1"/>
  <c r="Z169" i="1"/>
  <c r="Y169" i="1"/>
  <c r="X169" i="1"/>
  <c r="W169" i="1"/>
  <c r="V169" i="1"/>
  <c r="U169" i="1"/>
  <c r="T169" i="1"/>
  <c r="S169" i="1"/>
  <c r="R169" i="1"/>
  <c r="Q169" i="1"/>
  <c r="P169" i="1"/>
  <c r="O169" i="1"/>
  <c r="N169" i="1"/>
  <c r="M169" i="1"/>
  <c r="L169" i="1"/>
  <c r="K169" i="1"/>
  <c r="J169" i="1"/>
  <c r="I169" i="1"/>
  <c r="H169" i="1"/>
  <c r="G169" i="1"/>
  <c r="F169" i="1"/>
  <c r="E169" i="1"/>
  <c r="D169" i="1"/>
  <c r="AA160" i="1"/>
  <c r="Z160" i="1"/>
  <c r="Y160" i="1"/>
  <c r="X160" i="1"/>
  <c r="W160" i="1"/>
  <c r="V160" i="1"/>
  <c r="U160" i="1"/>
  <c r="T160" i="1"/>
  <c r="S160" i="1"/>
  <c r="R160" i="1"/>
  <c r="Q160" i="1"/>
  <c r="P160" i="1"/>
  <c r="O160" i="1"/>
  <c r="N160" i="1"/>
  <c r="M160" i="1"/>
  <c r="L160" i="1"/>
  <c r="K160" i="1"/>
  <c r="J160" i="1"/>
  <c r="I160" i="1"/>
  <c r="H160" i="1"/>
  <c r="G160" i="1"/>
  <c r="F160" i="1"/>
  <c r="E160" i="1"/>
  <c r="D160" i="1"/>
  <c r="AB158" i="1"/>
  <c r="AA151" i="1"/>
  <c r="Z151" i="1"/>
  <c r="Y151" i="1"/>
  <c r="X151" i="1"/>
  <c r="W151" i="1"/>
  <c r="V151" i="1"/>
  <c r="U151" i="1"/>
  <c r="T151" i="1"/>
  <c r="S151" i="1"/>
  <c r="R151" i="1"/>
  <c r="Q151" i="1"/>
  <c r="P151" i="1"/>
  <c r="O151" i="1"/>
  <c r="N151" i="1"/>
  <c r="M151" i="1"/>
  <c r="L151" i="1"/>
  <c r="K151" i="1"/>
  <c r="J151" i="1"/>
  <c r="I151" i="1"/>
  <c r="H151" i="1"/>
  <c r="G151" i="1"/>
  <c r="F151" i="1"/>
  <c r="E151" i="1"/>
  <c r="D151" i="1"/>
  <c r="AC170" i="1"/>
  <c r="AC145" i="1"/>
  <c r="AC143" i="1"/>
  <c r="E142" i="1"/>
  <c r="F142" i="1"/>
  <c r="G142" i="1"/>
  <c r="H142" i="1"/>
  <c r="I142" i="1"/>
  <c r="J142" i="1"/>
  <c r="K142" i="1"/>
  <c r="L142" i="1"/>
  <c r="M142" i="1"/>
  <c r="N142" i="1"/>
  <c r="O142" i="1"/>
  <c r="P142" i="1"/>
  <c r="Q142" i="1"/>
  <c r="R142" i="1"/>
  <c r="S142" i="1"/>
  <c r="T142" i="1"/>
  <c r="U142" i="1"/>
  <c r="V142" i="1"/>
  <c r="W142" i="1"/>
  <c r="X142" i="1"/>
  <c r="Y142" i="1"/>
  <c r="Z142" i="1"/>
  <c r="AA142" i="1"/>
  <c r="E140" i="1"/>
  <c r="F140" i="1"/>
  <c r="G140" i="1"/>
  <c r="H140" i="1"/>
  <c r="I140" i="1"/>
  <c r="J140" i="1"/>
  <c r="K140" i="1"/>
  <c r="L140" i="1"/>
  <c r="M140" i="1"/>
  <c r="N140" i="1"/>
  <c r="O140" i="1"/>
  <c r="P140" i="1"/>
  <c r="Q140" i="1"/>
  <c r="R140" i="1"/>
  <c r="S140" i="1"/>
  <c r="T140" i="1"/>
  <c r="U140" i="1"/>
  <c r="V140" i="1"/>
  <c r="W140" i="1"/>
  <c r="X140" i="1"/>
  <c r="Y140" i="1"/>
  <c r="Z140" i="1"/>
  <c r="AA140" i="1"/>
  <c r="D18" i="1"/>
  <c r="E18" i="1"/>
  <c r="AB16" i="1"/>
  <c r="AB17" i="1"/>
  <c r="AB15" i="1"/>
  <c r="AB12" i="1"/>
  <c r="AB13" i="1"/>
  <c r="AB140" i="1"/>
  <c r="D140" i="1"/>
  <c r="D14" i="1"/>
  <c r="E14" i="1"/>
  <c r="AB178" i="1"/>
  <c r="AB159" i="1"/>
  <c r="AB161" i="1"/>
  <c r="AB162" i="1"/>
  <c r="AB163" i="1"/>
  <c r="AB164" i="1"/>
  <c r="AB165" i="1"/>
  <c r="AB166" i="1"/>
  <c r="AB168" i="1"/>
  <c r="AB170" i="1"/>
  <c r="AB171" i="1"/>
  <c r="AB172" i="1"/>
  <c r="AB173" i="1"/>
  <c r="AB174" i="1"/>
  <c r="AB175" i="1"/>
  <c r="AB157" i="1"/>
  <c r="AB150" i="1"/>
  <c r="AB152" i="1"/>
  <c r="AB153" i="1"/>
  <c r="AB154" i="1"/>
  <c r="AB155" i="1"/>
  <c r="AB156" i="1"/>
  <c r="AB148" i="1"/>
  <c r="D142" i="1"/>
  <c r="AB143" i="1"/>
  <c r="AB144" i="1"/>
  <c r="AB145" i="1"/>
  <c r="AB146" i="1"/>
  <c r="AB147"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AA133" i="1"/>
  <c r="Y133" i="1"/>
  <c r="W133" i="1"/>
  <c r="U133" i="1"/>
  <c r="S133" i="1"/>
  <c r="Q133" i="1"/>
  <c r="O133" i="1"/>
  <c r="M133" i="1"/>
  <c r="AA119" i="1"/>
  <c r="Y119" i="1"/>
  <c r="W119" i="1"/>
  <c r="U119" i="1"/>
  <c r="S119" i="1"/>
  <c r="Q119" i="1"/>
  <c r="O119" i="1"/>
  <c r="M119" i="1"/>
  <c r="AA126" i="1"/>
  <c r="Y126" i="1"/>
  <c r="W126" i="1"/>
  <c r="U126" i="1"/>
  <c r="S126" i="1"/>
  <c r="Q126" i="1"/>
  <c r="O126" i="1"/>
  <c r="M126" i="1"/>
  <c r="F14" i="1"/>
  <c r="AB18" i="1" l="1"/>
  <c r="AB160" i="1"/>
  <c r="AB169" i="1"/>
  <c r="AC124" i="1"/>
  <c r="AB151" i="1"/>
  <c r="AC167" i="1"/>
  <c r="AD167" i="1" s="1"/>
  <c r="AB149" i="1"/>
  <c r="AB284" i="1"/>
  <c r="AC149" i="1"/>
  <c r="AD149" i="1" s="1"/>
  <c r="AB14" i="1"/>
  <c r="AC140" i="1"/>
  <c r="AD140" i="1" s="1"/>
  <c r="AB167" i="1"/>
  <c r="AD158" i="1"/>
  <c r="AC178" i="1"/>
  <c r="AC176" i="1"/>
  <c r="AB142" i="1"/>
  <c r="AC131" i="1"/>
  <c r="AC117" i="1"/>
  <c r="AB133" i="1"/>
  <c r="AB119" i="1"/>
  <c r="AB126" i="1"/>
  <c r="AC16" i="1"/>
  <c r="AC15" i="1"/>
  <c r="AC12" i="1"/>
  <c r="AC11" i="1"/>
  <c r="G18" i="1"/>
  <c r="H18" i="1"/>
  <c r="I18" i="1"/>
  <c r="J18" i="1"/>
  <c r="K18" i="1"/>
  <c r="L18" i="1"/>
  <c r="M18" i="1"/>
  <c r="N18" i="1"/>
  <c r="O18" i="1"/>
  <c r="P18" i="1"/>
  <c r="Q18" i="1"/>
  <c r="R18" i="1"/>
  <c r="S18" i="1"/>
  <c r="T18" i="1"/>
  <c r="U18" i="1"/>
  <c r="V18" i="1"/>
  <c r="W18" i="1"/>
  <c r="X18" i="1"/>
  <c r="Y18" i="1"/>
  <c r="Z18" i="1"/>
  <c r="AA18" i="1"/>
  <c r="F18" i="1"/>
  <c r="AE232" i="1" l="1"/>
  <c r="AC212" i="1"/>
  <c r="F317" i="1" l="1"/>
  <c r="G317" i="1"/>
  <c r="H317" i="1"/>
  <c r="I317" i="1"/>
  <c r="J317" i="1"/>
  <c r="K317" i="1"/>
  <c r="L317" i="1"/>
  <c r="M317" i="1"/>
  <c r="O317" i="1"/>
  <c r="P317" i="1"/>
  <c r="Q317" i="1"/>
  <c r="R317" i="1"/>
  <c r="S317" i="1"/>
  <c r="T317" i="1"/>
  <c r="U317" i="1"/>
  <c r="V317" i="1"/>
  <c r="W317" i="1"/>
  <c r="X317" i="1"/>
  <c r="Y317" i="1"/>
  <c r="Z317" i="1"/>
  <c r="AA317" i="1"/>
  <c r="AC323" i="1"/>
  <c r="AC101" i="1"/>
  <c r="AE322" i="1"/>
  <c r="AC320" i="1"/>
  <c r="AC318" i="1"/>
  <c r="AC315" i="1"/>
  <c r="AC301" i="1"/>
  <c r="F253" i="4"/>
  <c r="AE239" i="1"/>
  <c r="E255" i="1"/>
  <c r="F255" i="1"/>
  <c r="G255" i="1"/>
  <c r="H255" i="1"/>
  <c r="I255" i="1"/>
  <c r="J255" i="1"/>
  <c r="K255" i="1"/>
  <c r="L255" i="1"/>
  <c r="M255" i="1"/>
  <c r="N255" i="1"/>
  <c r="O255" i="1"/>
  <c r="P255" i="1"/>
  <c r="Q255" i="1"/>
  <c r="R255" i="1"/>
  <c r="S255" i="1"/>
  <c r="T255" i="1"/>
  <c r="U255" i="1"/>
  <c r="V255" i="1"/>
  <c r="W255" i="1"/>
  <c r="X255" i="1"/>
  <c r="Y255" i="1"/>
  <c r="Z255" i="1"/>
  <c r="AA255" i="1"/>
  <c r="AC271" i="1"/>
  <c r="AC270" i="1"/>
  <c r="AB273" i="1" l="1"/>
  <c r="AB274" i="1"/>
  <c r="AB276" i="1"/>
  <c r="AB277" i="1"/>
  <c r="AB278" i="1"/>
  <c r="AB280" i="1"/>
  <c r="AB269" i="1"/>
  <c r="AB270" i="1"/>
  <c r="AB271" i="1"/>
  <c r="AB279" i="1" l="1"/>
  <c r="AC279" i="1"/>
  <c r="E268" i="1" l="1"/>
  <c r="F268" i="1"/>
  <c r="G268" i="1"/>
  <c r="H268" i="1"/>
  <c r="I268" i="1"/>
  <c r="J268" i="1"/>
  <c r="K268" i="1"/>
  <c r="L268" i="1"/>
  <c r="M268" i="1"/>
  <c r="N268" i="1"/>
  <c r="O268" i="1"/>
  <c r="P268" i="1"/>
  <c r="Q268" i="1"/>
  <c r="R268" i="1"/>
  <c r="S268" i="1"/>
  <c r="T268" i="1"/>
  <c r="U268" i="1"/>
  <c r="V268" i="1"/>
  <c r="W268" i="1"/>
  <c r="X268" i="1"/>
  <c r="Y268" i="1"/>
  <c r="Z268" i="1"/>
  <c r="AA268" i="1"/>
  <c r="D255" i="1"/>
  <c r="AC105" i="1" s="1"/>
  <c r="AB246" i="1"/>
  <c r="AB247" i="1"/>
  <c r="AB248" i="1"/>
  <c r="AB249" i="1"/>
  <c r="AB250" i="1"/>
  <c r="AB251" i="1"/>
  <c r="AC254" i="1" l="1"/>
  <c r="AC237" i="1"/>
  <c r="AC236" i="1"/>
  <c r="AC234" i="1"/>
  <c r="AC233" i="1"/>
  <c r="AE233" i="1"/>
  <c r="AE231" i="1"/>
  <c r="AE229" i="1" l="1"/>
  <c r="AE228" i="1"/>
  <c r="AC195" i="1"/>
  <c r="D218" i="1"/>
  <c r="D221" i="1"/>
  <c r="AE220" i="1"/>
  <c r="AE219" i="1"/>
  <c r="AC219" i="1"/>
  <c r="AC220" i="1"/>
  <c r="AC217" i="1"/>
  <c r="AC216" i="1"/>
  <c r="AC214" i="1"/>
  <c r="E221" i="1"/>
  <c r="E218" i="1"/>
  <c r="AC210" i="1"/>
  <c r="AC208" i="1"/>
  <c r="AC206" i="1"/>
  <c r="AC221" i="1" l="1"/>
  <c r="AE221" i="1"/>
  <c r="AB221" i="1"/>
  <c r="AE195" i="1" l="1"/>
  <c r="AF194" i="1" s="1"/>
  <c r="AC202" i="1"/>
  <c r="AC200"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5" i="1"/>
  <c r="AC64" i="1"/>
  <c r="AC47" i="1"/>
  <c r="AC45" i="1"/>
  <c r="AC43" i="1"/>
  <c r="AC41" i="1"/>
  <c r="AC39" i="1"/>
  <c r="AC37" i="1"/>
  <c r="AC35" i="1"/>
  <c r="AC33" i="1"/>
  <c r="AC26" i="1"/>
  <c r="AE24" i="1"/>
  <c r="AC22" i="1"/>
  <c r="AB79" i="1" l="1"/>
  <c r="AC88" i="1"/>
  <c r="AC78" i="1"/>
  <c r="AC75" i="1"/>
  <c r="AB285" i="1" l="1"/>
  <c r="D283" i="1"/>
  <c r="AC282" i="1" s="1"/>
  <c r="AB281" i="1"/>
  <c r="E275" i="1"/>
  <c r="F275" i="1"/>
  <c r="G275" i="1"/>
  <c r="H275" i="1"/>
  <c r="J275" i="1"/>
  <c r="K275" i="1"/>
  <c r="L275" i="1"/>
  <c r="M275" i="1"/>
  <c r="N275" i="1"/>
  <c r="O275" i="1"/>
  <c r="P275" i="1"/>
  <c r="Q275" i="1"/>
  <c r="R275" i="1"/>
  <c r="S275" i="1"/>
  <c r="T275" i="1"/>
  <c r="U275" i="1"/>
  <c r="V275" i="1"/>
  <c r="W275" i="1"/>
  <c r="X275" i="1"/>
  <c r="Y275" i="1"/>
  <c r="Z275" i="1"/>
  <c r="AA275" i="1"/>
  <c r="D272" i="1"/>
  <c r="AC280" i="1" s="1"/>
  <c r="AB282" i="1"/>
  <c r="J68" i="1"/>
  <c r="AC68" i="1" s="1"/>
  <c r="D245" i="1"/>
  <c r="AC224" i="1" s="1"/>
  <c r="AB254" i="1"/>
  <c r="AC79" i="1" l="1"/>
  <c r="I275" i="1"/>
  <c r="D275" i="1"/>
  <c r="AB272" i="1"/>
  <c r="AB286" i="1"/>
  <c r="AB283" i="1"/>
  <c r="AB275" i="1" l="1"/>
  <c r="AC275" i="1"/>
  <c r="AC283" i="1"/>
  <c r="AE275" i="1"/>
  <c r="AF270" i="1" s="1"/>
  <c r="AB318" i="1"/>
  <c r="AB320" i="1"/>
  <c r="AB322" i="1"/>
  <c r="AB323" i="1"/>
  <c r="F324" i="1"/>
  <c r="G324" i="1"/>
  <c r="H324" i="1"/>
  <c r="I324" i="1"/>
  <c r="J324" i="1"/>
  <c r="K324" i="1"/>
  <c r="L324" i="1"/>
  <c r="M324" i="1"/>
  <c r="N324" i="1"/>
  <c r="O324" i="1"/>
  <c r="P324" i="1"/>
  <c r="Q324" i="1"/>
  <c r="R324" i="1"/>
  <c r="S324" i="1"/>
  <c r="T324" i="1"/>
  <c r="U324" i="1"/>
  <c r="V324" i="1"/>
  <c r="W324" i="1"/>
  <c r="X324" i="1"/>
  <c r="Y324" i="1"/>
  <c r="Z324" i="1"/>
  <c r="AA324" i="1"/>
  <c r="F321" i="1"/>
  <c r="G321" i="1"/>
  <c r="H321" i="1"/>
  <c r="I321" i="1"/>
  <c r="J321" i="1"/>
  <c r="K321" i="1"/>
  <c r="L321" i="1"/>
  <c r="M321" i="1"/>
  <c r="N321" i="1"/>
  <c r="O321" i="1"/>
  <c r="P321" i="1"/>
  <c r="Q321" i="1"/>
  <c r="R321" i="1"/>
  <c r="S321" i="1"/>
  <c r="T321" i="1"/>
  <c r="U321" i="1"/>
  <c r="V321" i="1"/>
  <c r="X321" i="1"/>
  <c r="Y321" i="1"/>
  <c r="Z321" i="1"/>
  <c r="AA321" i="1"/>
  <c r="F319" i="1"/>
  <c r="AC319" i="1" s="1"/>
  <c r="N317" i="1"/>
  <c r="AE317" i="1" s="1"/>
  <c r="AB316" i="1"/>
  <c r="AB315" i="1"/>
  <c r="AB141" i="1"/>
  <c r="AB176" i="1"/>
  <c r="AB224" i="1"/>
  <c r="AB213" i="1"/>
  <c r="AB214" i="1"/>
  <c r="AB215" i="1"/>
  <c r="AB216" i="1"/>
  <c r="AB217" i="1"/>
  <c r="AB219" i="1"/>
  <c r="AB220" i="1"/>
  <c r="AB222" i="1"/>
  <c r="AB223" i="1"/>
  <c r="AB202" i="1"/>
  <c r="AB203" i="1"/>
  <c r="AB204" i="1"/>
  <c r="AB205" i="1"/>
  <c r="AB208" i="1"/>
  <c r="AB209" i="1"/>
  <c r="AB210" i="1"/>
  <c r="AB211" i="1"/>
  <c r="AB212" i="1"/>
  <c r="AB200" i="1"/>
  <c r="AB218" i="1"/>
  <c r="AE326" i="1" l="1"/>
  <c r="AD270" i="1"/>
  <c r="AF315" i="1"/>
  <c r="AC324" i="1"/>
  <c r="AD315" i="1" s="1"/>
  <c r="AB317" i="1"/>
  <c r="AB319" i="1"/>
  <c r="AB324" i="1"/>
  <c r="AB321" i="1"/>
  <c r="Y230" i="1"/>
  <c r="W230" i="1"/>
  <c r="U230" i="1"/>
  <c r="S230" i="1"/>
  <c r="Q230" i="1"/>
  <c r="O230" i="1"/>
  <c r="M230" i="1"/>
  <c r="K230" i="1"/>
  <c r="AB230" i="1" l="1"/>
  <c r="Y199" i="1"/>
  <c r="W199" i="1"/>
  <c r="U199" i="1"/>
  <c r="S199" i="1"/>
  <c r="Q199" i="1"/>
  <c r="O199" i="1"/>
  <c r="M199" i="1"/>
  <c r="K199" i="1"/>
  <c r="Y198" i="1"/>
  <c r="W198" i="1"/>
  <c r="U198" i="1"/>
  <c r="S198" i="1"/>
  <c r="Q198" i="1"/>
  <c r="O198" i="1"/>
  <c r="M198" i="1"/>
  <c r="K198" i="1"/>
  <c r="AB198" i="1" l="1"/>
  <c r="AB199" i="1"/>
  <c r="F50" i="1"/>
  <c r="AB302" i="1" l="1"/>
  <c r="AB303" i="1"/>
  <c r="AB304" i="1"/>
  <c r="AB305" i="1"/>
  <c r="D306" i="1" l="1"/>
  <c r="E306" i="1"/>
  <c r="F306" i="1"/>
  <c r="G306" i="1"/>
  <c r="H306" i="1"/>
  <c r="I306" i="1"/>
  <c r="J306" i="1"/>
  <c r="K306" i="1"/>
  <c r="L306" i="1"/>
  <c r="M306" i="1"/>
  <c r="N306" i="1"/>
  <c r="O306" i="1"/>
  <c r="P306" i="1"/>
  <c r="Q306" i="1"/>
  <c r="R306" i="1"/>
  <c r="S306" i="1"/>
  <c r="T306" i="1"/>
  <c r="U306" i="1"/>
  <c r="V306" i="1"/>
  <c r="W306" i="1"/>
  <c r="X306" i="1"/>
  <c r="Y306" i="1"/>
  <c r="Z306" i="1"/>
  <c r="AA306" i="1"/>
  <c r="AF295" i="1" l="1"/>
  <c r="AB252" i="1" l="1"/>
  <c r="AB256" i="1"/>
  <c r="AB257" i="1"/>
  <c r="AB258" i="1"/>
  <c r="AB259" i="1"/>
  <c r="AB260" i="1"/>
  <c r="AB261" i="1"/>
  <c r="AB262" i="1"/>
  <c r="AB263" i="1"/>
  <c r="AB264" i="1"/>
  <c r="AB265" i="1"/>
  <c r="AB266" i="1"/>
  <c r="AB267" i="1"/>
  <c r="AB295" i="1"/>
  <c r="AB296" i="1"/>
  <c r="AB297" i="1"/>
  <c r="AB298" i="1"/>
  <c r="AB299" i="1"/>
  <c r="AB300" i="1"/>
  <c r="AB301" i="1"/>
  <c r="D268" i="1"/>
  <c r="AC255" i="1" l="1"/>
  <c r="AB268" i="1"/>
  <c r="AB255" i="1"/>
  <c r="AC245" i="1"/>
  <c r="AF54" i="1" l="1"/>
  <c r="AF101" i="1"/>
  <c r="AF116" i="1"/>
  <c r="AF140" i="1"/>
  <c r="AE34" i="1"/>
  <c r="AD54" i="1"/>
  <c r="AB245" i="1"/>
  <c r="AB306" i="1"/>
  <c r="AB307" i="1"/>
  <c r="AB308" i="1"/>
  <c r="AB309" i="1"/>
  <c r="AB310" i="1"/>
  <c r="AB311" i="1"/>
  <c r="AB312" i="1"/>
  <c r="AB313" i="1"/>
  <c r="AB229" i="1"/>
  <c r="AB235" i="1"/>
  <c r="AB238" i="1"/>
  <c r="AB239" i="1"/>
  <c r="AB240" i="1"/>
  <c r="AB241" i="1"/>
  <c r="AB228" i="1"/>
  <c r="AB195" i="1"/>
  <c r="AB196" i="1"/>
  <c r="AB197" i="1"/>
  <c r="AB201" i="1"/>
  <c r="AB194" i="1"/>
  <c r="AB177" i="1"/>
  <c r="AB179" i="1"/>
  <c r="AB180" i="1"/>
  <c r="AC180" i="1" s="1"/>
  <c r="AB181" i="1"/>
  <c r="AB182" i="1"/>
  <c r="AB183" i="1"/>
  <c r="AB184" i="1"/>
  <c r="AB185" i="1"/>
  <c r="AB186" i="1"/>
  <c r="AB187" i="1"/>
  <c r="AB188" i="1"/>
  <c r="AB189" i="1"/>
  <c r="AB190" i="1"/>
  <c r="AB117" i="1"/>
  <c r="AB118" i="1"/>
  <c r="AB120" i="1"/>
  <c r="AB121" i="1"/>
  <c r="AB122" i="1"/>
  <c r="AB123" i="1"/>
  <c r="AB124" i="1"/>
  <c r="AB125" i="1"/>
  <c r="AB127" i="1"/>
  <c r="AB128" i="1"/>
  <c r="AB129" i="1"/>
  <c r="AB130" i="1"/>
  <c r="AB131" i="1"/>
  <c r="AB132" i="1"/>
  <c r="AB134" i="1"/>
  <c r="AB135" i="1"/>
  <c r="AB136"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B25" i="1"/>
  <c r="AB26" i="1"/>
  <c r="AB27" i="1"/>
  <c r="AC182" i="1" l="1"/>
  <c r="AE218" i="1"/>
  <c r="AF216" i="1" s="1"/>
  <c r="AD8" i="1"/>
  <c r="AD216" i="1"/>
  <c r="AC229" i="1"/>
  <c r="AC194" i="1"/>
  <c r="AE68" i="1"/>
  <c r="AF64" i="1" s="1"/>
  <c r="AC197" i="1"/>
  <c r="AC49" i="1"/>
  <c r="AC190" i="1"/>
  <c r="AE47" i="1"/>
  <c r="AC86" i="1"/>
  <c r="AD64" i="1" s="1"/>
  <c r="AE31" i="1"/>
  <c r="AC252" i="1"/>
  <c r="AD245" i="1" s="1"/>
  <c r="AE45" i="1"/>
  <c r="AE41" i="1"/>
  <c r="AE37" i="1"/>
  <c r="AC185" i="1"/>
  <c r="AC240" i="1"/>
  <c r="AC189" i="1"/>
  <c r="AC31" i="1"/>
  <c r="AD295" i="1"/>
  <c r="AE43" i="1"/>
  <c r="AE35" i="1"/>
  <c r="AB50" i="1"/>
  <c r="AB49" i="1"/>
  <c r="AE14" i="1" s="1"/>
  <c r="AF8" i="1" s="1"/>
  <c r="AC187" i="1"/>
  <c r="AC204" i="1"/>
  <c r="AE235" i="1"/>
  <c r="AC196" i="1"/>
  <c r="AE33" i="1"/>
  <c r="AC104" i="1"/>
  <c r="AD101" i="1" s="1"/>
  <c r="AE50" i="1"/>
  <c r="AE26" i="1"/>
  <c r="AE240" i="1"/>
  <c r="AE39" i="1"/>
  <c r="AE49" i="1"/>
  <c r="AE252" i="1"/>
  <c r="AF245" i="1" s="1"/>
  <c r="AE241" i="1"/>
  <c r="AC235" i="1"/>
  <c r="AD194" i="1" l="1"/>
  <c r="AD176" i="1"/>
  <c r="AF228" i="1"/>
  <c r="AD228" i="1"/>
  <c r="AD22" i="1"/>
  <c r="AD116" i="1"/>
  <c r="AF22" i="1"/>
  <c r="A353" i="1" l="1"/>
  <c r="AF6" i="1" s="1"/>
  <c r="A331" i="1"/>
  <c r="AD6" i="1" s="1"/>
  <c r="M331" i="1" l="1"/>
</calcChain>
</file>

<file path=xl/sharedStrings.xml><?xml version="1.0" encoding="utf-8"?>
<sst xmlns="http://schemas.openxmlformats.org/spreadsheetml/2006/main" count="2321" uniqueCount="1077">
  <si>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</si>
  <si>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</si>
  <si>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</si>
  <si>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</si>
  <si>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</si>
  <si>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</si>
  <si>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</si>
  <si>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</si>
  <si>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</si>
  <si>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</si>
  <si>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</si>
  <si>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</si>
  <si>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</si>
  <si>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</si>
  <si>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</si>
  <si>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</si>
  <si>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</si>
  <si>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</si>
  <si>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</si>
  <si>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</si>
  <si>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</si>
  <si>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</si>
  <si>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</si>
  <si>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</si>
  <si>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</si>
  <si>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</si>
  <si>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</si>
  <si>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</si>
  <si>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</si>
  <si>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</si>
  <si>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</si>
  <si>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</si>
  <si>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</si>
  <si>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</si>
  <si>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</si>
  <si>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</si>
  <si>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</si>
  <si>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</si>
  <si>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</si>
  <si>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</si>
  <si>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</si>
  <si>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</si>
  <si>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</si>
  <si>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</si>
  <si>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</si>
  <si>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</si>
  <si>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</si>
  <si>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</si>
  <si>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</si>
  <si>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</si>
  <si>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</si>
  <si>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</si>
  <si>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</si>
  <si>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</si>
  <si>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</si>
  <si>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</si>
  <si>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</si>
  <si>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</si>
  <si>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</si>
  <si>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</si>
  <si>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</si>
  <si>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</si>
  <si>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</si>
  <si>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</si>
  <si>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</si>
  <si>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</si>
  <si>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</si>
  <si>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</si>
  <si>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</si>
  <si>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</si>
  <si>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</si>
  <si>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</si>
  <si>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</si>
  <si>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</si>
  <si>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</si>
  <si>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</si>
  <si>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</si>
  <si>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</si>
  <si>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</si>
  <si>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</si>
  <si>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</si>
  <si>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</si>
  <si>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</si>
  <si>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</si>
  <si>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</si>
  <si>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</si>
  <si>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</si>
  <si>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</si>
  <si>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</si>
  <si>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</si>
  <si>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</si>
  <si>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</si>
  <si>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</si>
  <si>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</si>
  <si>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</si>
  <si>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</si>
  <si>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</si>
  <si>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</si>
  <si>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</si>
  <si>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</si>
  <si>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</si>
  <si>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</si>
  <si>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</si>
  <si>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</si>
  <si>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</si>
  <si>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</si>
  <si>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</si>
  <si>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</si>
  <si>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</si>
  <si>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</si>
  <si>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</si>
  <si>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</si>
  <si>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</si>
  <si>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</si>
  <si>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</si>
  <si>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</si>
  <si>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</si>
  <si>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</si>
  <si>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</si>
  <si>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</si>
  <si>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</si>
  <si>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</si>
  <si>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</si>
  <si>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</si>
  <si>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</si>
  <si>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</si>
  <si>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</si>
  <si>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</si>
  <si>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</si>
  <si>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</si>
  <si>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</si>
  <si>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</si>
  <si>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</si>
  <si>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</si>
  <si>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</si>
  <si>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</si>
  <si>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</si>
  <si>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</si>
  <si>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</si>
  <si>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</si>
  <si>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</si>
  <si>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</si>
  <si>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</si>
  <si>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</si>
  <si>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</si>
  <si>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</si>
  <si>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</si>
  <si>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</si>
  <si>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</si>
  <si>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</si>
  <si>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</si>
  <si>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</si>
  <si>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</si>
  <si>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</si>
  <si>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</si>
  <si>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</si>
  <si>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</si>
  <si>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</si>
  <si>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</si>
  <si>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</si>
  <si>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</si>
  <si>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</si>
  <si>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</si>
  <si>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</si>
  <si>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</si>
  <si>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</si>
  <si>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</si>
  <si>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</si>
  <si>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</si>
  <si>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</si>
  <si>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</si>
  <si>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</si>
  <si>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</si>
  <si>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</si>
  <si>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</si>
  <si>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</si>
  <si>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</si>
  <si>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</si>
  <si>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</si>
  <si>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</si>
  <si>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</si>
  <si>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</si>
  <si>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</si>
  <si>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</si>
  <si>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</si>
  <si>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</si>
  <si>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</si>
  <si>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</si>
  <si>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</si>
  <si>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</si>
  <si>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</si>
  <si>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</si>
  <si>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</si>
  <si>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</si>
  <si>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</si>
  <si>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</si>
  <si>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</si>
  <si>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</si>
  <si>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</si>
  <si>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</si>
  <si>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</si>
  <si>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</si>
  <si>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</si>
  <si>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</si>
  <si>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</si>
  <si>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</si>
  <si>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</si>
  <si>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</si>
  <si>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</si>
  <si>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</si>
  <si>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</si>
  <si>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</si>
  <si>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</si>
  <si>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</si>
  <si>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</si>
  <si>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</si>
  <si>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</si>
  <si>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</si>
  <si>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</si>
  <si>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</si>
  <si>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</si>
  <si>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</si>
  <si>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</si>
  <si>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</si>
  <si>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</si>
  <si>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</si>
  <si>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</si>
  <si>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</si>
  <si>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</si>
  <si>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</si>
  <si>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</si>
  <si>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</si>
  <si>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</si>
  <si>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</si>
  <si>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</si>
  <si>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</si>
  <si>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</si>
  <si>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</si>
  <si>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</si>
  <si>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</si>
  <si>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</si>
  <si>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</si>
  <si>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</si>
  <si>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</si>
  <si>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</si>
  <si>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</si>
  <si>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</si>
  <si>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</si>
  <si>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</si>
  <si>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</si>
  <si>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</si>
  <si>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</si>
  <si>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</si>
  <si>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</si>
  <si>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</si>
  <si>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</si>
  <si>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</si>
  <si>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</si>
  <si>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</si>
  <si>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</si>
  <si>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</si>
  <si>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</si>
  <si>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</si>
  <si>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</si>
  <si>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</si>
  <si>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</si>
  <si>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</si>
  <si>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</si>
  <si>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</si>
  <si>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</si>
  <si>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</si>
  <si>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</si>
  <si>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</si>
  <si>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</si>
  <si>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</si>
  <si>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</si>
  <si>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</si>
  <si>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</si>
  <si>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</si>
  <si>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</si>
  <si>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</si>
  <si>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</si>
  <si>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</si>
  <si>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</si>
  <si>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</si>
  <si>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</si>
  <si>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</si>
  <si>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</si>
  <si>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</si>
  <si>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</si>
  <si>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</si>
  <si>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</si>
  <si>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</si>
  <si>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</si>
  <si>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</si>
  <si>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</si>
  <si>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</si>
  <si>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</si>
  <si>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</si>
  <si>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</si>
  <si>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</si>
  <si>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</si>
  <si>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</si>
  <si>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</si>
  <si>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</si>
  <si>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</si>
  <si>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</si>
  <si>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</si>
  <si>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</si>
  <si>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</si>
  <si>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</si>
  <si>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</si>
  <si>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</si>
  <si>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</si>
  <si>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</si>
  <si>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</si>
  <si>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</si>
  <si>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</si>
  <si>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</si>
  <si>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</si>
  <si>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</si>
  <si>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</si>
  <si>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</si>
  <si>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</si>
  <si>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</si>
  <si>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</si>
  <si>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</si>
  <si>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</si>
  <si>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</si>
  <si>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</si>
  <si>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</si>
  <si>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</si>
  <si>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</si>
  <si>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</si>
  <si>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</si>
  <si>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</si>
  <si>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</si>
  <si>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</si>
  <si>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</si>
  <si>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</si>
  <si>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</si>
  <si>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</si>
  <si>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</si>
  <si>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</si>
  <si>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</si>
  <si>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</si>
  <si>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</si>
  <si>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</si>
  <si>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</si>
  <si>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</si>
  <si>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</si>
  <si>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</si>
  <si>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</si>
  <si>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</si>
  <si>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</si>
  <si>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</si>
  <si>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</si>
  <si>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</si>
  <si>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</si>
  <si>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</si>
  <si>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</si>
  <si>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</si>
  <si>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</si>
  <si>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</si>
  <si>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</si>
  <si>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</si>
  <si>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</si>
  <si>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</si>
  <si>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</si>
  <si>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</si>
  <si>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</si>
  <si>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</si>
  <si>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</si>
  <si>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</si>
  <si>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</si>
  <si>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</si>
  <si>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</si>
  <si>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</si>
  <si>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</si>
  <si>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</si>
  <si>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</si>
  <si>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</si>
  <si>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</si>
  <si>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</si>
  <si>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</si>
  <si>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</si>
  <si>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</si>
  <si>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</si>
  <si>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</si>
  <si>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</si>
  <si>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</si>
  <si>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</si>
  <si>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</si>
  <si>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</si>
  <si>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</si>
  <si>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</si>
  <si>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</si>
  <si>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</si>
  <si>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</si>
  <si>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</si>
  <si>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</si>
  <si>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</si>
  <si>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</si>
  <si>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</si>
  <si>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</si>
  <si>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</si>
  <si>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</si>
  <si>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</si>
  <si>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</si>
  <si>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</si>
  <si>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</si>
  <si>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</si>
  <si>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</si>
  <si>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</si>
  <si>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</si>
  <si>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</si>
  <si>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</si>
  <si>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</si>
  <si>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</si>
  <si>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</si>
  <si>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</si>
  <si>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</si>
  <si>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</si>
  <si>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</si>
  <si>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</si>
  <si>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</si>
  <si>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</si>
  <si>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</si>
  <si>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</si>
  <si>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</si>
  <si>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</si>
  <si>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</si>
  <si>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</si>
  <si>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</si>
  <si>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</si>
  <si>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</si>
  <si>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</si>
  <si>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</si>
  <si>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</si>
  <si>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</si>
  <si>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</si>
  <si>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</si>
  <si>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</si>
  <si>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</si>
  <si>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</si>
  <si>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</si>
  <si>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</si>
  <si>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</si>
  <si>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</si>
  <si>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</si>
  <si>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</si>
  <si>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</si>
  <si>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</si>
  <si>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</si>
  <si>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</si>
  <si>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</si>
  <si>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</si>
  <si>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</si>
  <si>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</si>
  <si>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</si>
  <si>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</si>
  <si>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</si>
  <si>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</si>
  <si>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</si>
  <si>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</si>
  <si>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</si>
  <si>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</si>
  <si>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</si>
  <si>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</si>
  <si>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</si>
  <si>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</si>
  <si>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</si>
  <si>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</si>
  <si>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</si>
  <si>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</si>
  <si>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</si>
  <si>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</si>
  <si>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</si>
  <si>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</si>
  <si>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</si>
  <si>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</si>
  <si>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</si>
  <si>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</si>
  <si>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</si>
  <si>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</si>
  <si>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</si>
  <si>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</si>
  <si>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</si>
  <si>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</si>
  <si>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</si>
  <si>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</si>
  <si>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</si>
  <si>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</si>
  <si>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</si>
  <si>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</si>
  <si>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</si>
  <si>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</si>
  <si>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</si>
  <si>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</si>
  <si>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</si>
  <si>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</si>
  <si>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</si>
  <si>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</si>
  <si>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</si>
  <si>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</si>
  <si>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</si>
  <si>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</si>
  <si>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</si>
  <si>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</si>
  <si>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</si>
  <si>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</si>
  <si>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</si>
  <si>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</si>
  <si>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</si>
  <si>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</si>
  <si>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</si>
  <si>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</si>
  <si>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</si>
  <si>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</si>
  <si>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</si>
  <si>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</si>
  <si>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</si>
  <si>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</si>
  <si>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</si>
  <si>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</si>
  <si>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</si>
  <si>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</si>
  <si>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</si>
  <si>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</si>
  <si>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</si>
  <si>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</si>
  <si>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</si>
  <si>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</si>
  <si>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</si>
  <si>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</si>
  <si>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</si>
  <si>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</si>
  <si>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</si>
  <si>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</si>
  <si>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</si>
  <si>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</si>
  <si>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</si>
  <si>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</si>
  <si>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</si>
  <si>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</si>
  <si>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</si>
  <si>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</si>
  <si>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</si>
  <si>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</si>
  <si>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</si>
  <si>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</si>
  <si>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</si>
  <si>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</si>
  <si>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</si>
  <si>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</si>
  <si>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</si>
  <si>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</si>
  <si>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</si>
  <si>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</si>
  <si>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</si>
  <si>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</si>
  <si>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</si>
  <si>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</si>
  <si>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</si>
  <si>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</si>
  <si>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</si>
  <si>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</si>
  <si>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</si>
  <si>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</si>
  <si>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</si>
  <si>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</si>
  <si>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</si>
  <si>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</si>
  <si>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</si>
  <si>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</si>
  <si>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</si>
  <si>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</si>
  <si>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</si>
  <si>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</si>
  <si>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</si>
  <si>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</si>
  <si>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</si>
  <si>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</si>
  <si>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</si>
  <si>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</si>
  <si>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</si>
  <si>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</si>
  <si>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</si>
  <si>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</si>
  <si>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</si>
  <si>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</si>
  <si>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</si>
  <si>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</si>
  <si>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</si>
  <si>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</si>
  <si>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</si>
  <si>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</si>
  <si>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</si>
  <si>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</si>
  <si>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</si>
  <si>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</si>
  <si>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</si>
  <si>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</si>
  <si>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</si>
  <si>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</si>
  <si>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</si>
  <si>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</si>
  <si>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</si>
  <si>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</si>
  <si>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</si>
  <si>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</si>
  <si>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</si>
  <si>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</si>
  <si>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</si>
  <si>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</si>
  <si>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</si>
  <si>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</si>
  <si>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</si>
  <si>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</si>
  <si>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</si>
  <si>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</si>
  <si>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</si>
  <si>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</si>
  <si>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</si>
  <si>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</si>
  <si>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</si>
  <si>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</si>
  <si>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</si>
  <si>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</si>
  <si>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</si>
  <si>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</si>
  <si>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</si>
  <si>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</si>
  <si>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</si>
  <si>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</si>
  <si>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</si>
  <si>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</si>
  <si>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</si>
  <si>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</si>
  <si>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</si>
  <si>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</si>
  <si>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</si>
  <si>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</si>
  <si>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</si>
  <si>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</si>
  <si>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</si>
  <si>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</si>
  <si>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</si>
  <si>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</si>
  <si>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</si>
  <si>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</si>
  <si>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</si>
  <si>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</si>
  <si>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</si>
  <si>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</si>
  <si>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</si>
  <si>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r>
      <t>Directly Assisted</t>
    </r>
    <r>
      <rPr>
        <b/>
        <sz val="22"/>
        <color theme="1"/>
        <rFont val="Browallia New"/>
        <family val="2"/>
        <charset val="222"/>
      </rPr>
      <t xml:space="preserve">  </t>
    </r>
  </si>
  <si>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</si>
  <si>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</si>
  <si>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</si>
  <si>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</si>
  <si>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</si>
  <si>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</si>
  <si>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</si>
  <si>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</si>
  <si>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</si>
  <si>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</si>
  <si>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</si>
  <si>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r>
      <t>Discontinued PrEP</t>
    </r>
    <r>
      <rPr>
        <b/>
        <sz val="22"/>
        <color theme="1"/>
        <rFont val="Browallia New"/>
        <family val="2"/>
        <charset val="222"/>
      </rPr>
      <t xml:space="preserve">   </t>
    </r>
  </si>
  <si>
    <t>Drug resistance tests done</t>
  </si>
  <si>
    <t>Referred to other facilities</t>
  </si>
  <si>
    <t>Still on preparation</t>
  </si>
  <si>
    <t>Using condoms</t>
  </si>
  <si>
    <t>Declined</t>
  </si>
  <si>
    <t>Discordant couples at PMTCT</t>
  </si>
  <si>
    <t>Discordant couples at  HTS</t>
  </si>
  <si>
    <r>
      <t>New on ART (IPT)</t>
    </r>
    <r>
      <rPr>
        <b/>
        <sz val="22"/>
        <color theme="1"/>
        <rFont val="Browallia New"/>
        <family val="2"/>
        <charset val="222"/>
      </rPr>
      <t xml:space="preserve"> </t>
    </r>
  </si>
  <si>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</si>
  <si>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</si>
  <si>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</si>
  <si>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</si>
  <si>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</si>
  <si>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</si>
  <si>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</si>
  <si>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</si>
  <si>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</si>
  <si>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</si>
  <si>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</si>
  <si>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</si>
  <si>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</si>
  <si>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</si>
  <si>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</si>
  <si>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</si>
  <si>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</si>
  <si>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</si>
  <si>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r>
      <t>HIV positive at 1</t>
    </r>
    <r>
      <rPr>
        <vertAlign val="superscript"/>
        <sz val="22"/>
        <color theme="1"/>
        <rFont val="Browallia New"/>
        <family val="2"/>
        <charset val="222"/>
      </rPr>
      <t>st</t>
    </r>
    <r>
      <rPr>
        <sz val="22"/>
        <color theme="1"/>
        <rFont val="Browallia New"/>
        <family val="2"/>
        <charset val="222"/>
      </rPr>
      <t xml:space="preserve"> visit</t>
    </r>
  </si>
  <si>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</si>
  <si>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</si>
  <si>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</si>
  <si>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</si>
  <si>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</si>
  <si>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</si>
  <si>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</si>
  <si>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</si>
  <si>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</si>
  <si>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</si>
  <si>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</si>
  <si>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</si>
  <si>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</si>
  <si>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</si>
  <si>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</si>
  <si>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</si>
  <si>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</si>
  <si>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</si>
  <si>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</si>
  <si>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</si>
  <si>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</si>
  <si>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</si>
  <si>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</si>
  <si>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</si>
  <si>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</si>
  <si>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</si>
  <si>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</si>
  <si>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Facility Details</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</si>
  <si>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</si>
  <si>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</si>
  <si>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</si>
  <si>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</si>
  <si>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</si>
  <si>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</si>
  <si>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</si>
  <si>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</si>
  <si>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</si>
  <si>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</si>
  <si>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</si>
  <si>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</si>
  <si>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</si>
  <si>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</si>
  <si>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</si>
  <si>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</si>
  <si>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</si>
  <si>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</si>
  <si>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</si>
  <si>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</si>
  <si>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</si>
  <si>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</si>
  <si>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</si>
  <si>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</si>
  <si>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</si>
  <si>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</si>
  <si>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</si>
  <si>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</si>
  <si>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</si>
  <si>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</si>
  <si>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</si>
  <si>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</si>
  <si>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</si>
  <si>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</si>
  <si>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</si>
  <si>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</si>
  <si>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</si>
  <si>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</si>
  <si>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</si>
  <si>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</si>
  <si>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</si>
  <si>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</si>
  <si>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</si>
  <si>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</si>
  <si>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</si>
  <si>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</si>
  <si>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</si>
  <si>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</si>
  <si>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</si>
  <si>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</si>
  <si>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</si>
  <si>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</si>
  <si>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</si>
  <si>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</si>
  <si>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</si>
  <si>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</si>
  <si>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</si>
  <si>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</si>
  <si>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</si>
  <si>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</si>
  <si>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</si>
  <si>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</si>
  <si>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</si>
  <si>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</si>
  <si>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</si>
  <si>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</si>
  <si>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</si>
  <si>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</si>
  <si>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</si>
  <si>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</si>
  <si>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</si>
  <si>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</si>
  <si>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</si>
  <si>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</si>
  <si>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</si>
  <si>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</si>
  <si>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</si>
  <si>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</si>
  <si>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</si>
  <si>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</si>
  <si>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</si>
  <si>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</si>
  <si>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</si>
  <si>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</si>
  <si>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</si>
  <si>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</si>
  <si>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</si>
  <si>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</si>
  <si>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</si>
  <si>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</si>
  <si>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</si>
  <si>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</si>
  <si>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</si>
  <si>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</si>
  <si>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</si>
  <si>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</si>
  <si>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</si>
  <si>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</si>
  <si>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</si>
  <si>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</si>
  <si>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</si>
  <si>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</si>
  <si>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</si>
  <si>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</si>
  <si>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</si>
  <si>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</si>
  <si>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</si>
  <si>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</si>
  <si>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</si>
  <si>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</si>
  <si>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</si>
  <si>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</si>
  <si>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</si>
  <si>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</si>
  <si>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</si>
  <si>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</si>
  <si>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</si>
  <si>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</si>
  <si>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</si>
  <si>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</si>
  <si>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</si>
  <si>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</si>
  <si>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</si>
  <si>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</si>
  <si>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</si>
  <si>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</si>
  <si>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</si>
  <si>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</si>
  <si>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</si>
  <si>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</si>
  <si>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</si>
  <si>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</si>
  <si>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</si>
  <si>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</si>
  <si>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</si>
  <si>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</si>
  <si>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ART</t>
  </si>
  <si>
    <t>HTS</t>
  </si>
  <si>
    <t>PMTCT</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</si>
  <si>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</si>
  <si>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</si>
  <si>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</si>
  <si>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</si>
  <si>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</si>
  <si>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</si>
  <si>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</si>
  <si>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r>
      <t xml:space="preserve">No. of patients whose specimens were sent for </t>
    </r>
    <r>
      <rPr>
        <b/>
        <sz val="22"/>
        <color theme="1"/>
        <rFont val="Browallia New"/>
        <family val="2"/>
      </rPr>
      <t>Smear Only</t>
    </r>
  </si>
  <si>
    <r>
      <t xml:space="preserve">No. of patients whose specimens were sent for </t>
    </r>
    <r>
      <rPr>
        <b/>
        <sz val="22"/>
        <color theme="1"/>
        <rFont val="Browallia New"/>
        <family val="2"/>
      </rPr>
      <t>Gene Xpert MTB /R if Assay</t>
    </r>
  </si>
  <si>
    <r>
      <t xml:space="preserve">No. of patients whose specimens were sent for </t>
    </r>
    <r>
      <rPr>
        <b/>
        <sz val="22"/>
        <color theme="1"/>
        <rFont val="Browallia New"/>
        <family val="2"/>
      </rPr>
      <t>Other (No Xpert)</t>
    </r>
  </si>
  <si>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</si>
  <si>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</si>
  <si>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</si>
  <si>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</si>
  <si>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</si>
  <si>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</si>
  <si>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</si>
  <si>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</si>
  <si>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</si>
  <si>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</si>
  <si>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</si>
  <si>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</si>
  <si>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</si>
  <si>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</si>
  <si>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F00-11</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</si>
  <si>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</si>
  <si>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</si>
  <si>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</si>
  <si>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</si>
  <si>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</si>
  <si>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</si>
  <si>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</si>
  <si>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</si>
  <si>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</si>
  <si>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</si>
  <si>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</si>
  <si>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</si>
  <si>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</si>
  <si>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</si>
  <si>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</si>
  <si>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</si>
  <si>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</si>
  <si>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</si>
  <si>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</si>
  <si>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</si>
  <si>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</si>
  <si>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</si>
  <si>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</si>
  <si>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</si>
  <si>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</si>
  <si>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</si>
  <si>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</si>
  <si>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</si>
  <si>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</si>
  <si>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</si>
  <si>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</si>
  <si>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</si>
  <si>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</si>
  <si>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</si>
  <si>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</si>
  <si>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</si>
  <si>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</si>
  <si>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</si>
  <si>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</si>
  <si>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</si>
  <si>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</si>
  <si>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</si>
  <si>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</si>
  <si>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</si>
  <si>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</si>
  <si>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</si>
  <si>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</si>
  <si>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</si>
  <si>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</si>
  <si>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</si>
  <si>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</si>
  <si>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</si>
  <si>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</si>
  <si>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</si>
  <si>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r>
      <t>Current on PREP (</t>
    </r>
    <r>
      <rPr>
        <i/>
        <sz val="22"/>
        <color theme="1"/>
        <rFont val="Browallia New"/>
        <family val="2"/>
      </rPr>
      <t>sum unique clients that received PrEP from October to Date</t>
    </r>
    <r>
      <rPr>
        <b/>
        <sz val="22"/>
        <color theme="1"/>
        <rFont val="Browallia New"/>
        <family val="2"/>
      </rPr>
      <t>)</t>
    </r>
  </si>
  <si>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</si>
  <si>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</si>
  <si>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</si>
  <si>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</si>
  <si>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</si>
  <si>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</si>
  <si>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</si>
  <si>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</si>
  <si>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</si>
  <si>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</si>
  <si>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</si>
  <si>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</si>
  <si>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</si>
  <si>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</si>
  <si>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</si>
  <si>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</si>
  <si>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</si>
  <si>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</si>
  <si>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</si>
  <si>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</si>
  <si>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</si>
  <si>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</si>
  <si>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</si>
  <si>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</si>
  <si>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</si>
  <si>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</si>
  <si>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</si>
  <si>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</si>
  <si>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</si>
  <si>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</si>
  <si>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</si>
  <si>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</si>
  <si>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</si>
  <si>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</si>
  <si>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</si>
  <si>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</si>
  <si>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</si>
  <si>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</si>
  <si>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</si>
  <si>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</si>
  <si>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</si>
  <si>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</si>
  <si>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</si>
  <si>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</si>
  <si>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</si>
  <si>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</si>
  <si>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</si>
  <si>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</si>
  <si>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</si>
  <si>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</si>
  <si>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</si>
  <si>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</si>
  <si>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</si>
  <si>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</si>
  <si>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</si>
  <si>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</si>
  <si>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</si>
  <si>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</si>
  <si>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</si>
  <si>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</si>
  <si>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</si>
  <si>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</si>
  <si>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</si>
  <si>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</si>
  <si>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</si>
  <si>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</si>
  <si>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</si>
  <si>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</si>
  <si>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</si>
  <si>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</si>
  <si>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</si>
  <si>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</si>
  <si>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</si>
  <si>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</si>
  <si>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</si>
  <si>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</si>
  <si>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</si>
  <si>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</si>
  <si>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</si>
  <si>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</si>
  <si>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</si>
  <si>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r>
      <rPr>
        <b/>
        <sz val="22"/>
        <color theme="1"/>
        <rFont val="Browallia New"/>
        <family val="2"/>
      </rPr>
      <t xml:space="preserve">ANC 2 visit and above </t>
    </r>
    <r>
      <rPr>
        <sz val="22"/>
        <color theme="1"/>
        <rFont val="Browallia New"/>
        <family val="2"/>
      </rPr>
      <t xml:space="preserve">
</t>
    </r>
    <r>
      <rPr>
        <i/>
        <sz val="22"/>
        <color theme="1"/>
        <rFont val="Browallia New"/>
        <family val="2"/>
      </rPr>
      <t>(includes 2nd, 3rd, 4th ANC visits etc.)</t>
    </r>
  </si>
  <si>
    <r>
      <rPr>
        <b/>
        <sz val="22"/>
        <color theme="1"/>
        <rFont val="Browallia New"/>
        <family val="2"/>
      </rPr>
      <t xml:space="preserve">ANC 2 and above </t>
    </r>
    <r>
      <rPr>
        <i/>
        <sz val="22"/>
        <color theme="1"/>
        <rFont val="Browallia New"/>
        <family val="2"/>
      </rPr>
      <t>(includes 2nd, 3rd, 4th ANC visits etc)</t>
    </r>
  </si>
  <si>
    <r>
      <t>Infant Prophylaxis</t>
    </r>
    <r>
      <rPr>
        <b/>
        <i/>
        <sz val="22"/>
        <color theme="1"/>
        <rFont val="Browallia New"/>
        <family val="2"/>
      </rPr>
      <t xml:space="preserve"> 
</t>
    </r>
    <r>
      <rPr>
        <i/>
        <sz val="22"/>
        <color theme="1"/>
        <rFont val="Browallia New"/>
        <family val="2"/>
      </rPr>
      <t>(use  mother's age for reporting)</t>
    </r>
  </si>
  <si>
    <r>
      <t xml:space="preserve">Cause of  death (COD) </t>
    </r>
    <r>
      <rPr>
        <b/>
        <i/>
        <sz val="22"/>
        <color theme="1"/>
        <rFont val="Browallia New"/>
        <family val="2"/>
      </rPr>
      <t>Optional</t>
    </r>
  </si>
  <si>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</si>
  <si>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</si>
  <si>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</si>
  <si>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</si>
  <si>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</si>
  <si>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</si>
  <si>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</si>
  <si>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</si>
  <si>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</si>
  <si>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</si>
  <si>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</si>
  <si>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</si>
  <si>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</si>
  <si>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r>
      <t>Total Eligible For HTS Testing in OPD</t>
    </r>
    <r>
      <rPr>
        <b/>
        <sz val="22"/>
        <color theme="9" tint="0.59999389629810485"/>
        <rFont val="Browallia New"/>
        <family val="2"/>
      </rPr>
      <t xml:space="preserve"> IPD and MCH</t>
    </r>
  </si>
  <si>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</si>
  <si>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</si>
  <si>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</si>
  <si>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</si>
  <si>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</si>
  <si>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</si>
  <si>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</si>
  <si>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r>
      <t xml:space="preserve">Note: Please </t>
    </r>
    <r>
      <rPr>
        <b/>
        <sz val="36"/>
        <color rgb="FFFF0000"/>
        <rFont val="Browallia New"/>
        <family val="2"/>
      </rPr>
      <t>DON'T</t>
    </r>
    <r>
      <rPr>
        <b/>
        <sz val="28"/>
        <color rgb="FFFF0000"/>
        <rFont val="Browallia New"/>
        <family val="2"/>
        <charset val="222"/>
      </rPr>
      <t xml:space="preserve"> cut paste any cell, this will interfere with the formulas.</t>
    </r>
  </si>
  <si>
    <r>
      <t xml:space="preserve">Incase you copy data, please </t>
    </r>
    <r>
      <rPr>
        <b/>
        <sz val="22"/>
        <color theme="1"/>
        <rFont val="Browallia New"/>
        <family val="2"/>
      </rPr>
      <t>paste as value</t>
    </r>
    <r>
      <rPr>
        <b/>
        <sz val="22"/>
        <color rgb="FFFF0000"/>
        <rFont val="Browallia New"/>
        <family val="2"/>
        <charset val="222"/>
      </rPr>
      <t xml:space="preserve"> to avoid unexpected Red alerts</t>
    </r>
  </si>
  <si>
    <t>Initiated on IPT 6 months ago or before</t>
  </si>
  <si>
    <t>3.0  IPT Outcomes ( For All Clients Current on ART )</t>
  </si>
  <si>
    <t>Screening positive for TB ( Presumptive TB clients)  Previously enrolled on ART</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</si>
  <si>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</si>
  <si>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</si>
  <si>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</si>
  <si>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</si>
  <si>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</si>
  <si>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</si>
  <si>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</si>
  <si>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</si>
  <si>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</si>
  <si>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</si>
  <si>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</si>
  <si>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Form 1A  version 4.0.3</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</si>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</sst>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8"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color rgb="FFFF0000"/>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sz val="18"/>
      <color theme="0"/>
      <name val="Browallia New"/>
      <family val="2"/>
      <charset val="222"/>
    </font>
    <font>
      <b/>
      <sz val="18"/>
      <color theme="0"/>
      <name val="Browallia New"/>
      <family val="2"/>
      <charset val="222"/>
    </font>
    <font>
      <sz val="18"/>
      <color rgb="FFFF0000"/>
      <name val="Browallia New"/>
      <family val="2"/>
      <charset val="222"/>
    </font>
    <font>
      <sz val="18"/>
      <color theme="4" tint="-0.499984740745262"/>
      <name val="Browallia New"/>
      <family val="2"/>
      <charset val="222"/>
    </font>
    <font>
      <b/>
      <sz val="18"/>
      <color theme="9" tint="0.39997558519241921"/>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sz val="22"/>
      <color theme="1"/>
      <name val="Browallia New"/>
      <family val="2"/>
      <charset val="222"/>
    </font>
    <font>
      <sz val="22"/>
      <name val="Browallia New"/>
      <family val="2"/>
      <charset val="222"/>
    </font>
    <font>
      <vertAlign val="superscript"/>
      <sz val="22"/>
      <color theme="1"/>
      <name val="Browallia New"/>
      <family val="2"/>
      <charset val="222"/>
    </font>
    <font>
      <i/>
      <sz val="22"/>
      <color theme="1"/>
      <name val="Browallia New"/>
      <family val="2"/>
      <charset val="222"/>
    </font>
    <font>
      <b/>
      <sz val="20"/>
      <color rgb="FFFF0000"/>
      <name val="Browallia New"/>
      <family val="2"/>
      <charset val="222"/>
    </font>
    <font>
      <b/>
      <sz val="20"/>
      <color theme="1"/>
      <name val="Browallia New"/>
      <family val="2"/>
    </font>
    <font>
      <sz val="20"/>
      <color theme="1"/>
      <name val="Browallia New"/>
      <family val="2"/>
    </font>
    <font>
      <sz val="22"/>
      <color theme="1"/>
      <name val="Browallia New"/>
      <family val="2"/>
    </font>
    <font>
      <b/>
      <sz val="18"/>
      <color theme="1"/>
      <name val="Browallia New"/>
      <family val="2"/>
    </font>
    <font>
      <b/>
      <sz val="20"/>
      <color theme="0" tint="-4.9989318521683403E-2"/>
      <name val="Browallia New"/>
      <family val="2"/>
    </font>
    <font>
      <b/>
      <sz val="16"/>
      <color theme="1"/>
      <name val="Browallia New"/>
      <family val="2"/>
      <charset val="222"/>
    </font>
    <font>
      <b/>
      <sz val="28"/>
      <color rgb="FFFF0000"/>
      <name val="Browallia New"/>
      <family val="2"/>
      <charset val="222"/>
    </font>
    <font>
      <b/>
      <sz val="22"/>
      <color theme="1"/>
      <name val="Browallia New"/>
      <family val="2"/>
    </font>
    <font>
      <b/>
      <sz val="22"/>
      <name val="Browallia New"/>
      <family val="2"/>
      <charset val="222"/>
    </font>
    <font>
      <i/>
      <sz val="22"/>
      <color theme="1"/>
      <name val="Browallia New"/>
      <family val="2"/>
    </font>
    <font>
      <b/>
      <sz val="24"/>
      <name val="Browallia New"/>
      <family val="2"/>
      <charset val="22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b/>
      <sz val="24"/>
      <color theme="5"/>
      <name val="Browallia New"/>
      <family val="2"/>
      <charset val="222"/>
    </font>
    <font>
      <b/>
      <sz val="20"/>
      <color theme="0"/>
      <name val="Browallia New"/>
      <family val="2"/>
    </font>
    <font>
      <sz val="20"/>
      <color theme="0"/>
      <name val="Browallia New"/>
      <family val="2"/>
    </font>
    <font>
      <b/>
      <sz val="18"/>
      <color theme="5"/>
      <name val="Browallia New"/>
      <family val="2"/>
    </font>
    <font>
      <b/>
      <sz val="20"/>
      <color theme="5"/>
      <name val="Browallia New"/>
      <family val="2"/>
    </font>
    <font>
      <b/>
      <i/>
      <sz val="22"/>
      <color theme="1"/>
      <name val="Browallia New"/>
      <family val="2"/>
    </font>
    <font>
      <sz val="22"/>
      <color theme="0"/>
      <name val="Browallia New"/>
      <family val="2"/>
    </font>
    <font>
      <b/>
      <sz val="24"/>
      <color theme="1"/>
      <name val="Browallia New"/>
      <family val="2"/>
    </font>
    <font>
      <b/>
      <sz val="28"/>
      <color theme="1"/>
      <name val="Browallia New"/>
      <family val="2"/>
    </font>
    <font>
      <sz val="28"/>
      <color theme="1"/>
      <name val="Browallia New"/>
      <family val="2"/>
    </font>
    <font>
      <vertAlign val="superscript"/>
      <sz val="26"/>
      <color theme="1"/>
      <name val="Browallia New"/>
      <family val="2"/>
    </font>
    <font>
      <sz val="22"/>
      <name val="Browallia New"/>
      <family val="2"/>
    </font>
    <font>
      <b/>
      <sz val="22"/>
      <color rgb="FFFF0000"/>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sz val="18"/>
      <color theme="1"/>
      <name val="Calibri"/>
      <family val="2"/>
      <scheme val="minor"/>
    </font>
    <font>
      <b/>
      <sz val="22"/>
      <color theme="0"/>
      <name val="Browallia New"/>
      <family val="2"/>
    </font>
    <font>
      <b/>
      <sz val="22"/>
      <color theme="9" tint="0.59999389629810485"/>
      <name val="Browallia New"/>
      <family val="2"/>
    </font>
    <font>
      <b/>
      <sz val="22"/>
      <color rgb="FFFF0000"/>
      <name val="Browallia New"/>
      <family val="2"/>
      <charset val="222"/>
    </font>
    <font>
      <b/>
      <sz val="36"/>
      <color rgb="FFFF0000"/>
      <name val="Browallia New"/>
      <family val="2"/>
    </font>
    <font>
      <i/>
      <sz val="22"/>
      <color rgb="FFFF0000"/>
      <name val="Browallia New"/>
      <family val="2"/>
      <charset val="222"/>
    </font>
    <font>
      <b/>
      <sz val="24"/>
      <color theme="1"/>
      <name val="Browallia New"/>
      <family val="2"/>
      <charset val="22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6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right style="thin">
        <color indexed="64"/>
      </right>
      <top style="medium">
        <color theme="9"/>
      </top>
      <bottom style="medium">
        <color theme="9"/>
      </bottom>
      <diagonal/>
    </border>
    <border>
      <left style="thin">
        <color indexed="64"/>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thin">
        <color indexed="64"/>
      </left>
      <right/>
      <top style="thin">
        <color indexed="64"/>
      </top>
      <bottom style="medium">
        <color theme="9"/>
      </bottom>
      <diagonal/>
    </border>
    <border>
      <left/>
      <right/>
      <top style="thin">
        <color indexed="64"/>
      </top>
      <bottom style="medium">
        <color theme="9"/>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medium">
        <color theme="9"/>
      </left>
      <right style="thin">
        <color theme="2" tint="-0.249977111117893"/>
      </right>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right/>
      <top/>
      <bottom style="medium">
        <color theme="9"/>
      </bottom>
      <diagonal/>
    </border>
    <border>
      <left/>
      <right style="thin">
        <color theme="2" tint="-0.249977111117893"/>
      </right>
      <top style="medium">
        <color theme="9"/>
      </top>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right/>
      <top style="medium">
        <color theme="9"/>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thin">
        <color theme="2" tint="-9.9978637043366805E-2"/>
      </left>
      <right/>
      <top style="medium">
        <color theme="9"/>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s>
  <cellStyleXfs count="3">
    <xf numFmtId="0" fontId="0" fillId="0" borderId="0"/>
    <xf numFmtId="0" fontId="1" fillId="0" borderId="0" applyNumberFormat="0" applyFont="0" applyFill="0" applyBorder="0" applyAlignment="0" applyProtection="0"/>
    <xf numFmtId="0" fontId="2" fillId="11" borderId="0" applyNumberFormat="0" applyBorder="0" applyAlignment="0" applyProtection="0"/>
  </cellStyleXfs>
  <cellXfs count="800">
    <xf numFmtId="0" fontId="0" fillId="0" borderId="0" xfId="0"/>
    <xf numFmtId="0" fontId="4" fillId="0" borderId="0" xfId="0" applyFont="1" applyAlignment="1">
      <alignment horizontal="center" wrapText="1"/>
    </xf>
    <xf numFmtId="0" fontId="5" fillId="0" borderId="0" xfId="0" applyFont="1"/>
    <xf numFmtId="0" fontId="4" fillId="0" borderId="0" xfId="0" applyFont="1"/>
    <xf numFmtId="0" fontId="5"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5" fillId="5" borderId="0" xfId="0" applyFont="1" applyFill="1"/>
    <xf numFmtId="0" fontId="5" fillId="0" borderId="0" xfId="0" applyFont="1" applyAlignment="1">
      <alignment vertical="center"/>
    </xf>
    <xf numFmtId="0" fontId="5" fillId="0" borderId="0" xfId="0" applyFont="1" applyAlignment="1"/>
    <xf numFmtId="0" fontId="4" fillId="0" borderId="3" xfId="0" applyFont="1" applyBorder="1" applyAlignment="1">
      <alignment wrapText="1"/>
    </xf>
    <xf numFmtId="0" fontId="28" fillId="0" borderId="2" xfId="0" applyFont="1" applyBorder="1" applyAlignment="1">
      <alignment wrapText="1"/>
    </xf>
    <xf numFmtId="0" fontId="4" fillId="0" borderId="3" xfId="0" applyFont="1" applyBorder="1"/>
    <xf numFmtId="0" fontId="4" fillId="0" borderId="2" xfId="0" applyFont="1" applyBorder="1"/>
    <xf numFmtId="0" fontId="4" fillId="0" borderId="0" xfId="0" applyFont="1" applyAlignment="1">
      <alignment vertical="center"/>
    </xf>
    <xf numFmtId="0" fontId="5" fillId="5" borderId="0" xfId="0" applyFont="1" applyFill="1" applyAlignment="1"/>
    <xf numFmtId="0" fontId="34" fillId="5" borderId="1" xfId="0" applyFont="1" applyFill="1" applyBorder="1" applyAlignment="1">
      <alignment horizontal="left" wrapText="1"/>
    </xf>
    <xf numFmtId="0" fontId="36" fillId="5" borderId="0" xfId="0" applyFont="1" applyFill="1" applyAlignment="1">
      <alignment horizontal="left" wrapText="1"/>
    </xf>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10" fillId="4" borderId="7" xfId="0" applyFont="1" applyFill="1" applyBorder="1" applyAlignment="1" applyProtection="1">
      <alignment horizontal="center" vertical="center"/>
    </xf>
    <xf numFmtId="49" fontId="7" fillId="4" borderId="7" xfId="1" applyNumberFormat="1" applyFont="1" applyFill="1" applyBorder="1" applyAlignment="1">
      <alignment horizontal="center" vertical="center"/>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49" fontId="4" fillId="6" borderId="7" xfId="0" applyNumberFormat="1" applyFont="1" applyFill="1" applyBorder="1" applyAlignment="1" applyProtection="1">
      <alignment horizontal="center" vertical="center"/>
    </xf>
    <xf numFmtId="1" fontId="7" fillId="5" borderId="7" xfId="1" applyNumberFormat="1"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5" borderId="10" xfId="0" applyFont="1" applyFill="1" applyBorder="1" applyAlignment="1" applyProtection="1">
      <alignment horizontal="center" vertical="center"/>
      <protection locked="0"/>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9" fillId="6" borderId="14" xfId="0" applyFont="1" applyFill="1" applyBorder="1" applyAlignment="1">
      <alignment horizontal="center" vertical="center"/>
    </xf>
    <xf numFmtId="0" fontId="10" fillId="4" borderId="15" xfId="0" applyFont="1" applyFill="1" applyBorder="1" applyAlignment="1" applyProtection="1">
      <alignment horizontal="center" vertical="center"/>
    </xf>
    <xf numFmtId="0" fontId="10" fillId="4" borderId="12"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15" xfId="0" applyFont="1" applyBorder="1" applyAlignment="1" applyProtection="1">
      <alignment horizontal="center" vertical="center"/>
      <protection locked="0"/>
    </xf>
    <xf numFmtId="0" fontId="9" fillId="6" borderId="16" xfId="0" applyFont="1" applyFill="1" applyBorder="1" applyAlignment="1">
      <alignment horizontal="center" vertical="center"/>
    </xf>
    <xf numFmtId="0" fontId="4" fillId="4" borderId="15" xfId="0" applyFont="1" applyFill="1" applyBorder="1" applyAlignment="1" applyProtection="1">
      <alignment horizontal="center" vertical="center"/>
    </xf>
    <xf numFmtId="0" fontId="5" fillId="5" borderId="12" xfId="0" applyFont="1" applyFill="1" applyBorder="1" applyAlignment="1" applyProtection="1">
      <alignment horizontal="center" vertical="center"/>
      <protection locked="0"/>
    </xf>
    <xf numFmtId="1" fontId="4" fillId="6" borderId="12" xfId="0" applyNumberFormat="1" applyFont="1" applyFill="1" applyBorder="1" applyAlignment="1" applyProtection="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5" borderId="13"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protection locked="0"/>
    </xf>
    <xf numFmtId="0" fontId="5" fillId="0" borderId="15" xfId="0" applyFont="1" applyBorder="1" applyAlignment="1" applyProtection="1">
      <alignment horizontal="center" vertical="center" wrapText="1"/>
      <protection locked="0"/>
    </xf>
    <xf numFmtId="0" fontId="5" fillId="5" borderId="15"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49" fontId="4" fillId="6" borderId="15" xfId="0" applyNumberFormat="1" applyFont="1" applyFill="1" applyBorder="1" applyAlignment="1" applyProtection="1">
      <alignment horizontal="center" vertical="center"/>
    </xf>
    <xf numFmtId="49" fontId="4" fillId="6" borderId="16" xfId="0" applyNumberFormat="1" applyFont="1" applyFill="1" applyBorder="1" applyAlignment="1">
      <alignment horizontal="center" vertical="center"/>
    </xf>
    <xf numFmtId="49" fontId="4" fillId="6" borderId="13" xfId="0" applyNumberFormat="1" applyFont="1" applyFill="1" applyBorder="1" applyAlignment="1">
      <alignment horizontal="center" vertical="center"/>
    </xf>
    <xf numFmtId="0" fontId="4" fillId="4" borderId="19" xfId="0" applyFont="1" applyFill="1" applyBorder="1" applyAlignment="1">
      <alignment horizontal="center" vertical="center" wrapText="1"/>
    </xf>
    <xf numFmtId="0" fontId="5" fillId="4" borderId="19" xfId="0" applyFont="1" applyFill="1" applyBorder="1" applyAlignment="1" applyProtection="1">
      <alignment horizontal="center" vertical="center"/>
    </xf>
    <xf numFmtId="0" fontId="5" fillId="0" borderId="19" xfId="0" applyFont="1" applyBorder="1" applyAlignment="1" applyProtection="1">
      <alignment horizontal="center" vertical="center"/>
      <protection locked="0"/>
    </xf>
    <xf numFmtId="0" fontId="4" fillId="6" borderId="20" xfId="0" applyFont="1" applyFill="1" applyBorder="1" applyAlignment="1">
      <alignment horizontal="center" vertical="center"/>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5" fillId="0" borderId="17" xfId="0" applyFont="1" applyBorder="1" applyAlignment="1" applyProtection="1">
      <alignment horizontal="center" vertical="center"/>
      <protection locked="0"/>
    </xf>
    <xf numFmtId="0" fontId="13" fillId="6" borderId="15" xfId="2" applyFont="1" applyFill="1" applyBorder="1" applyAlignment="1" applyProtection="1">
      <alignment horizontal="center" vertical="center"/>
    </xf>
    <xf numFmtId="0" fontId="13" fillId="6" borderId="16" xfId="2" applyFont="1" applyFill="1" applyBorder="1" applyAlignment="1" applyProtection="1">
      <alignment horizontal="center" vertical="center"/>
    </xf>
    <xf numFmtId="0" fontId="5" fillId="6" borderId="15" xfId="0" applyFont="1" applyFill="1" applyBorder="1" applyAlignment="1" applyProtection="1">
      <alignment horizontal="center" vertical="center"/>
    </xf>
    <xf numFmtId="1" fontId="7" fillId="5" borderId="12" xfId="1" applyNumberFormat="1" applyFont="1" applyFill="1" applyBorder="1" applyAlignment="1" applyProtection="1">
      <alignment horizontal="center" vertical="center"/>
      <protection locked="0"/>
    </xf>
    <xf numFmtId="1" fontId="7" fillId="5" borderId="15" xfId="1" applyNumberFormat="1"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49" fontId="7" fillId="4" borderId="12" xfId="1" applyNumberFormat="1" applyFont="1" applyFill="1" applyBorder="1" applyAlignment="1">
      <alignment horizontal="center" vertical="center"/>
    </xf>
    <xf numFmtId="49" fontId="7" fillId="4" borderId="15" xfId="1" applyNumberFormat="1" applyFont="1" applyFill="1" applyBorder="1" applyAlignment="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4" fillId="8" borderId="23" xfId="0" applyFont="1" applyFill="1" applyBorder="1" applyAlignment="1">
      <alignment horizontal="center" vertical="center"/>
    </xf>
    <xf numFmtId="0" fontId="13" fillId="6" borderId="19" xfId="2" applyFont="1" applyFill="1" applyBorder="1" applyAlignment="1" applyProtection="1">
      <alignment horizontal="center" vertical="center" wrapText="1"/>
    </xf>
    <xf numFmtId="0" fontId="4" fillId="6" borderId="20" xfId="0" applyFont="1" applyFill="1" applyBorder="1" applyAlignment="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4" fillId="2" borderId="23" xfId="0" applyFont="1" applyFill="1" applyBorder="1" applyAlignment="1">
      <alignment horizontal="left" vertical="top"/>
    </xf>
    <xf numFmtId="0" fontId="4" fillId="10" borderId="23" xfId="0" applyFont="1" applyFill="1" applyBorder="1" applyAlignment="1">
      <alignment horizontal="left" vertical="top" wrapText="1"/>
    </xf>
    <xf numFmtId="0" fontId="5" fillId="2" borderId="23" xfId="0" applyFont="1" applyFill="1" applyBorder="1" applyAlignment="1">
      <alignment vertical="top"/>
    </xf>
    <xf numFmtId="0" fontId="5" fillId="10" borderId="23" xfId="0" applyFont="1" applyFill="1" applyBorder="1" applyAlignment="1">
      <alignment wrapText="1"/>
    </xf>
    <xf numFmtId="0" fontId="10" fillId="2" borderId="23" xfId="0" applyFont="1" applyFill="1" applyBorder="1" applyAlignment="1">
      <alignment horizontal="left" vertical="top"/>
    </xf>
    <xf numFmtId="0" fontId="5" fillId="10" borderId="43" xfId="0" applyFont="1" applyFill="1" applyBorder="1" applyAlignment="1">
      <alignment horizontal="left" vertical="top" wrapText="1"/>
    </xf>
    <xf numFmtId="3" fontId="5" fillId="0" borderId="10" xfId="0" applyNumberFormat="1" applyFont="1" applyBorder="1" applyAlignment="1" applyProtection="1">
      <alignment horizontal="center" vertical="center"/>
      <protection locked="0"/>
    </xf>
    <xf numFmtId="0" fontId="5" fillId="10" borderId="44" xfId="0" applyFont="1" applyFill="1" applyBorder="1" applyAlignment="1">
      <alignment horizontal="left" vertical="top" wrapText="1"/>
    </xf>
    <xf numFmtId="0" fontId="5" fillId="2" borderId="44" xfId="0" applyFont="1" applyFill="1" applyBorder="1" applyAlignment="1">
      <alignment vertical="top"/>
    </xf>
    <xf numFmtId="0" fontId="5" fillId="5" borderId="37" xfId="0" applyFont="1" applyFill="1" applyBorder="1" applyAlignment="1" applyProtection="1">
      <alignment horizontal="center" vertical="center"/>
      <protection locked="0"/>
    </xf>
    <xf numFmtId="0" fontId="5" fillId="2" borderId="44" xfId="0" applyFont="1" applyFill="1" applyBorder="1" applyAlignment="1">
      <alignment horizontal="left" vertical="top"/>
    </xf>
    <xf numFmtId="0" fontId="5" fillId="10" borderId="44" xfId="0" applyFont="1" applyFill="1" applyBorder="1" applyAlignment="1">
      <alignment horizontal="left" vertical="top"/>
    </xf>
    <xf numFmtId="0" fontId="5" fillId="5" borderId="9" xfId="0" applyFont="1" applyFill="1" applyBorder="1" applyAlignment="1" applyProtection="1">
      <alignment horizontal="center" vertical="center"/>
      <protection locked="0"/>
    </xf>
    <xf numFmtId="49" fontId="4" fillId="6" borderId="35" xfId="0" applyNumberFormat="1" applyFont="1" applyFill="1" applyBorder="1" applyAlignment="1">
      <alignment horizontal="center" vertical="center"/>
    </xf>
    <xf numFmtId="0" fontId="5" fillId="10" borderId="44" xfId="0" applyFont="1" applyFill="1" applyBorder="1" applyAlignment="1">
      <alignment wrapText="1"/>
    </xf>
    <xf numFmtId="49" fontId="4" fillId="6" borderId="37" xfId="0" applyNumberFormat="1" applyFont="1" applyFill="1" applyBorder="1" applyAlignment="1">
      <alignment horizontal="center" vertical="center"/>
    </xf>
    <xf numFmtId="0" fontId="17" fillId="0" borderId="48" xfId="0" applyFont="1" applyBorder="1" applyAlignment="1">
      <alignment horizontal="left" vertical="center"/>
    </xf>
    <xf numFmtId="0" fontId="17" fillId="6" borderId="50" xfId="0" applyFont="1" applyFill="1" applyBorder="1" applyAlignment="1">
      <alignment vertical="center"/>
    </xf>
    <xf numFmtId="0" fontId="33" fillId="6" borderId="9" xfId="0" applyFont="1" applyFill="1" applyBorder="1" applyAlignment="1">
      <alignment horizontal="center" vertical="center"/>
    </xf>
    <xf numFmtId="0" fontId="42" fillId="6" borderId="9" xfId="0" applyFont="1" applyFill="1" applyBorder="1" applyAlignment="1">
      <alignment horizontal="center" vertical="center"/>
    </xf>
    <xf numFmtId="0" fontId="42" fillId="6" borderId="37" xfId="0" applyFont="1" applyFill="1" applyBorder="1" applyAlignment="1">
      <alignment horizontal="center" vertical="center"/>
    </xf>
    <xf numFmtId="0" fontId="4" fillId="10" borderId="43" xfId="0" applyFont="1" applyFill="1" applyBorder="1" applyAlignment="1">
      <alignment horizontal="left" vertical="top"/>
    </xf>
    <xf numFmtId="0" fontId="4" fillId="0" borderId="0" xfId="0" applyFont="1" applyAlignment="1"/>
    <xf numFmtId="0" fontId="17" fillId="6" borderId="13" xfId="0" applyFont="1" applyFill="1" applyBorder="1" applyAlignment="1">
      <alignment horizontal="center" vertical="center"/>
    </xf>
    <xf numFmtId="49" fontId="7" fillId="4" borderId="32" xfId="1" applyNumberFormat="1" applyFont="1" applyFill="1" applyBorder="1" applyAlignment="1">
      <alignment horizontal="center" vertical="center"/>
    </xf>
    <xf numFmtId="0" fontId="35" fillId="5" borderId="0" xfId="0" applyFont="1" applyFill="1" applyAlignment="1"/>
    <xf numFmtId="0" fontId="34" fillId="5" borderId="1" xfId="0" applyFont="1" applyFill="1" applyBorder="1" applyAlignment="1">
      <alignment horizontal="left" vertical="center"/>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5" fillId="5" borderId="0" xfId="0" applyFont="1" applyFill="1" applyAlignment="1">
      <alignment horizontal="left" vertical="center"/>
    </xf>
    <xf numFmtId="0" fontId="37" fillId="0" borderId="0" xfId="0" applyFont="1" applyAlignment="1"/>
    <xf numFmtId="0" fontId="5" fillId="4" borderId="38" xfId="0" applyFont="1" applyFill="1" applyBorder="1" applyAlignment="1" applyProtection="1">
      <alignment horizontal="center" vertical="center"/>
    </xf>
    <xf numFmtId="0" fontId="5" fillId="4" borderId="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0" fillId="4" borderId="8" xfId="0" applyFont="1" applyFill="1" applyBorder="1" applyAlignment="1" applyProtection="1">
      <alignment horizontal="center" vertical="center"/>
    </xf>
    <xf numFmtId="0" fontId="10" fillId="4" borderId="32" xfId="0" applyFont="1" applyFill="1" applyBorder="1" applyAlignment="1" applyProtection="1">
      <alignment horizontal="center" vertical="center"/>
    </xf>
    <xf numFmtId="0" fontId="4" fillId="4" borderId="24" xfId="0" applyFont="1" applyFill="1" applyBorder="1" applyAlignment="1">
      <alignment horizontal="center" vertical="center" wrapText="1"/>
    </xf>
    <xf numFmtId="0" fontId="4" fillId="4" borderId="25" xfId="0" applyFont="1" applyFill="1" applyBorder="1" applyAlignment="1">
      <alignment horizontal="center" vertical="center"/>
    </xf>
    <xf numFmtId="0" fontId="4" fillId="4" borderId="25" xfId="0" applyFont="1" applyFill="1" applyBorder="1" applyAlignment="1">
      <alignment horizontal="center" vertical="center" wrapText="1"/>
    </xf>
    <xf numFmtId="0" fontId="5" fillId="4" borderId="25" xfId="0" applyFont="1" applyFill="1" applyBorder="1" applyAlignment="1">
      <alignment horizontal="center" vertical="center" wrapText="1"/>
    </xf>
    <xf numFmtId="0" fontId="4" fillId="4" borderId="26" xfId="0" applyFont="1" applyFill="1" applyBorder="1" applyAlignment="1">
      <alignment horizontal="center" vertical="center" wrapText="1"/>
    </xf>
    <xf numFmtId="0" fontId="10" fillId="4" borderId="31" xfId="0" applyFont="1" applyFill="1" applyBorder="1" applyAlignment="1" applyProtection="1">
      <alignment horizontal="center" vertical="center"/>
    </xf>
    <xf numFmtId="0" fontId="11" fillId="4" borderId="32" xfId="0" applyFont="1" applyFill="1" applyBorder="1" applyAlignment="1" applyProtection="1">
      <alignment horizontal="center" vertical="center"/>
    </xf>
    <xf numFmtId="0" fontId="5" fillId="4" borderId="31" xfId="0" applyFont="1" applyFill="1" applyBorder="1" applyAlignment="1" applyProtection="1">
      <alignment horizontal="center" vertical="center"/>
    </xf>
    <xf numFmtId="0" fontId="4" fillId="4" borderId="3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33" fillId="6" borderId="36" xfId="0" applyFont="1" applyFill="1" applyBorder="1" applyAlignment="1">
      <alignment horizontal="center" vertical="center"/>
    </xf>
    <xf numFmtId="0" fontId="4" fillId="4" borderId="26" xfId="0" applyFont="1" applyFill="1" applyBorder="1" applyAlignment="1">
      <alignment horizontal="center" vertical="center"/>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42" xfId="0" applyFont="1" applyFill="1" applyBorder="1" applyAlignment="1">
      <alignment horizontal="center" vertical="center" wrapText="1"/>
    </xf>
    <xf numFmtId="0" fontId="5" fillId="0" borderId="38" xfId="0" applyFont="1" applyBorder="1" applyAlignment="1" applyProtection="1">
      <alignment horizontal="center" vertical="center"/>
      <protection locked="0"/>
    </xf>
    <xf numFmtId="0" fontId="5" fillId="0" borderId="32" xfId="0" applyFont="1" applyBorder="1" applyAlignment="1" applyProtection="1">
      <alignment horizontal="center" vertical="center"/>
      <protection locked="0"/>
    </xf>
    <xf numFmtId="0" fontId="5" fillId="0" borderId="31" xfId="0" applyFont="1" applyBorder="1" applyAlignment="1" applyProtection="1">
      <alignment horizontal="center" vertical="center" wrapText="1"/>
      <protection locked="0"/>
    </xf>
    <xf numFmtId="0" fontId="5" fillId="0" borderId="32" xfId="0" applyFont="1" applyBorder="1" applyAlignment="1" applyProtection="1">
      <alignment horizontal="center" vertical="center" wrapText="1"/>
      <protection locked="0"/>
    </xf>
    <xf numFmtId="0" fontId="5" fillId="5" borderId="31" xfId="0" applyFont="1" applyFill="1" applyBorder="1" applyAlignment="1" applyProtection="1">
      <alignment horizontal="center" vertical="center"/>
      <protection locked="0"/>
    </xf>
    <xf numFmtId="0" fontId="5" fillId="5" borderId="32" xfId="0" applyFont="1" applyFill="1" applyBorder="1" applyAlignment="1" applyProtection="1">
      <alignment horizontal="center" vertical="center"/>
      <protection locked="0"/>
    </xf>
    <xf numFmtId="0" fontId="5" fillId="5" borderId="38" xfId="0" applyFont="1" applyFill="1" applyBorder="1" applyAlignment="1" applyProtection="1">
      <alignment horizontal="center" vertical="center"/>
      <protection locked="0"/>
    </xf>
    <xf numFmtId="0" fontId="5" fillId="5" borderId="36" xfId="0" applyFont="1" applyFill="1" applyBorder="1" applyAlignment="1" applyProtection="1">
      <alignment horizontal="center" vertical="center"/>
      <protection locked="0"/>
    </xf>
    <xf numFmtId="0" fontId="4" fillId="4" borderId="24" xfId="0" applyFont="1" applyFill="1" applyBorder="1" applyAlignment="1">
      <alignment horizontal="center" vertical="center"/>
    </xf>
    <xf numFmtId="0" fontId="7" fillId="4" borderId="24" xfId="0" applyFont="1" applyFill="1" applyBorder="1" applyAlignment="1">
      <alignment horizontal="center" vertical="center" wrapText="1"/>
    </xf>
    <xf numFmtId="0" fontId="7" fillId="4" borderId="26" xfId="0" applyFont="1" applyFill="1" applyBorder="1" applyAlignment="1">
      <alignment horizontal="center" vertical="center" wrapText="1"/>
    </xf>
    <xf numFmtId="0" fontId="7" fillId="4" borderId="41" xfId="0" applyFont="1" applyFill="1" applyBorder="1" applyAlignment="1">
      <alignment horizontal="center" vertical="center" wrapText="1"/>
    </xf>
    <xf numFmtId="0" fontId="5" fillId="0" borderId="8" xfId="0" applyFont="1" applyBorder="1" applyAlignment="1" applyProtection="1">
      <alignment horizontal="center" vertical="center" wrapText="1"/>
      <protection locked="0"/>
    </xf>
    <xf numFmtId="0" fontId="5" fillId="5" borderId="8" xfId="0" applyFont="1" applyFill="1" applyBorder="1" applyAlignment="1" applyProtection="1">
      <alignment horizontal="center" vertical="center"/>
      <protection locked="0"/>
    </xf>
    <xf numFmtId="49" fontId="4" fillId="6" borderId="32" xfId="0" applyNumberFormat="1" applyFont="1" applyFill="1" applyBorder="1" applyAlignment="1" applyProtection="1">
      <alignment horizontal="center" vertical="center"/>
    </xf>
    <xf numFmtId="49" fontId="4" fillId="6" borderId="36" xfId="0" applyNumberFormat="1"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4" fillId="4" borderId="11" xfId="0" applyFont="1" applyFill="1" applyBorder="1" applyAlignment="1">
      <alignment horizontal="center" vertical="center" wrapText="1"/>
    </xf>
    <xf numFmtId="0" fontId="5" fillId="0" borderId="31" xfId="0" applyFont="1" applyBorder="1" applyAlignment="1" applyProtection="1">
      <alignment horizontal="center" vertical="center"/>
      <protection locked="0"/>
    </xf>
    <xf numFmtId="0" fontId="5" fillId="0" borderId="8" xfId="0" applyFont="1" applyBorder="1" applyAlignment="1" applyProtection="1">
      <alignment horizontal="center" vertical="center"/>
      <protection locked="0"/>
    </xf>
    <xf numFmtId="0" fontId="13" fillId="6" borderId="32" xfId="2" applyFont="1" applyFill="1" applyBorder="1" applyAlignment="1" applyProtection="1">
      <alignment horizontal="center" vertical="center"/>
    </xf>
    <xf numFmtId="0" fontId="5" fillId="0" borderId="40" xfId="0" applyFont="1" applyBorder="1" applyAlignment="1" applyProtection="1">
      <alignment horizontal="center" vertical="center"/>
      <protection locked="0"/>
    </xf>
    <xf numFmtId="0" fontId="5" fillId="6" borderId="32" xfId="0" applyFont="1" applyFill="1" applyBorder="1" applyAlignment="1" applyProtection="1">
      <alignment horizontal="center" vertical="center"/>
    </xf>
    <xf numFmtId="0" fontId="13" fillId="6" borderId="31" xfId="2" applyFont="1" applyFill="1" applyBorder="1" applyAlignment="1" applyProtection="1">
      <alignment horizontal="center" vertical="center"/>
    </xf>
    <xf numFmtId="0" fontId="5" fillId="0" borderId="36" xfId="0" applyFont="1" applyBorder="1" applyAlignment="1" applyProtection="1">
      <alignment horizontal="center" vertical="center"/>
      <protection locked="0"/>
    </xf>
    <xf numFmtId="1" fontId="7" fillId="5" borderId="31" xfId="1" applyNumberFormat="1" applyFont="1" applyFill="1" applyBorder="1" applyAlignment="1" applyProtection="1">
      <alignment horizontal="center" vertical="center"/>
      <protection locked="0"/>
    </xf>
    <xf numFmtId="1" fontId="7" fillId="5" borderId="8" xfId="1" applyNumberFormat="1" applyFont="1" applyFill="1" applyBorder="1" applyAlignment="1" applyProtection="1">
      <alignment horizontal="center" vertical="center"/>
      <protection locked="0"/>
    </xf>
    <xf numFmtId="1" fontId="7" fillId="5" borderId="32" xfId="1" applyNumberFormat="1" applyFont="1" applyFill="1" applyBorder="1" applyAlignment="1" applyProtection="1">
      <alignment horizontal="center" vertical="center"/>
      <protection locked="0"/>
    </xf>
    <xf numFmtId="0" fontId="5" fillId="3" borderId="32" xfId="0" applyFont="1" applyFill="1" applyBorder="1" applyAlignment="1" applyProtection="1">
      <alignment horizontal="center" vertical="center"/>
    </xf>
    <xf numFmtId="0" fontId="14" fillId="3" borderId="26" xfId="0" applyFont="1" applyFill="1" applyBorder="1" applyAlignment="1">
      <alignment horizontal="center" vertical="center" wrapText="1"/>
    </xf>
    <xf numFmtId="49" fontId="7" fillId="4" borderId="31" xfId="1" applyNumberFormat="1" applyFont="1" applyFill="1" applyBorder="1" applyAlignment="1">
      <alignment horizontal="center" vertical="center"/>
    </xf>
    <xf numFmtId="49" fontId="7" fillId="4" borderId="8" xfId="1" applyNumberFormat="1" applyFont="1" applyFill="1" applyBorder="1" applyAlignment="1">
      <alignment horizontal="center" vertical="center"/>
    </xf>
    <xf numFmtId="49" fontId="7" fillId="4" borderId="36" xfId="1" applyNumberFormat="1" applyFont="1" applyFill="1" applyBorder="1" applyAlignment="1">
      <alignment horizontal="center" vertical="center"/>
    </xf>
    <xf numFmtId="0" fontId="5" fillId="2" borderId="43" xfId="0" applyFont="1" applyFill="1" applyBorder="1" applyAlignment="1">
      <alignment horizontal="left" vertical="top"/>
    </xf>
    <xf numFmtId="0" fontId="5" fillId="2" borderId="22" xfId="0" applyFont="1" applyFill="1" applyBorder="1" applyAlignment="1">
      <alignment horizontal="left" vertical="top"/>
    </xf>
    <xf numFmtId="0" fontId="4" fillId="7" borderId="23" xfId="0" applyFont="1" applyFill="1" applyBorder="1" applyAlignment="1">
      <alignment horizontal="center" vertical="center"/>
    </xf>
    <xf numFmtId="0" fontId="23" fillId="0" borderId="0" xfId="0" applyFont="1" applyAlignment="1">
      <alignment horizontal="center" wrapText="1"/>
    </xf>
    <xf numFmtId="0" fontId="23" fillId="0" borderId="0" xfId="0" applyFont="1" applyAlignment="1">
      <alignment wrapText="1"/>
    </xf>
    <xf numFmtId="0" fontId="24" fillId="0" borderId="0" xfId="0" applyFont="1" applyAlignment="1">
      <alignment wrapText="1"/>
    </xf>
    <xf numFmtId="0" fontId="45" fillId="0" borderId="7" xfId="0" applyFont="1" applyBorder="1" applyAlignment="1" applyProtection="1">
      <alignment horizontal="center" vertical="center"/>
      <protection locked="0"/>
    </xf>
    <xf numFmtId="0" fontId="46" fillId="0" borderId="7" xfId="0" applyFont="1" applyBorder="1" applyAlignment="1" applyProtection="1">
      <alignment horizontal="center" vertical="center"/>
      <protection locked="0"/>
    </xf>
    <xf numFmtId="0" fontId="45" fillId="4" borderId="7" xfId="0" applyFont="1" applyFill="1" applyBorder="1" applyAlignment="1" applyProtection="1">
      <alignment horizontal="center" vertical="center"/>
    </xf>
    <xf numFmtId="0" fontId="46" fillId="4" borderId="7" xfId="0" applyFont="1" applyFill="1" applyBorder="1" applyAlignment="1" applyProtection="1">
      <alignment horizontal="center" vertical="center"/>
    </xf>
    <xf numFmtId="0" fontId="45" fillId="4" borderId="15" xfId="0" applyFont="1" applyFill="1" applyBorder="1" applyAlignment="1" applyProtection="1">
      <alignment horizontal="center" vertical="center"/>
    </xf>
    <xf numFmtId="0" fontId="45" fillId="0" borderId="15" xfId="0" applyFont="1" applyBorder="1" applyAlignment="1" applyProtection="1">
      <alignment horizontal="center" vertical="center"/>
      <protection locked="0"/>
    </xf>
    <xf numFmtId="0" fontId="46" fillId="4" borderId="15" xfId="0" applyFont="1" applyFill="1" applyBorder="1" applyAlignment="1" applyProtection="1">
      <alignment horizontal="center" vertical="center"/>
    </xf>
    <xf numFmtId="0" fontId="46" fillId="0" borderId="15" xfId="0" applyFont="1" applyBorder="1" applyAlignment="1" applyProtection="1">
      <alignment horizontal="center" vertical="center"/>
      <protection locked="0"/>
    </xf>
    <xf numFmtId="0" fontId="26" fillId="4" borderId="8" xfId="0" applyFont="1" applyFill="1" applyBorder="1" applyAlignment="1" applyProtection="1">
      <alignment horizontal="center" vertical="center"/>
    </xf>
    <xf numFmtId="0" fontId="26" fillId="4" borderId="7" xfId="0" applyFont="1" applyFill="1" applyBorder="1" applyAlignment="1" applyProtection="1">
      <alignment horizontal="center" vertical="center"/>
    </xf>
    <xf numFmtId="0" fontId="45" fillId="5" borderId="31" xfId="0" applyFont="1" applyFill="1" applyBorder="1" applyAlignment="1" applyProtection="1">
      <alignment horizontal="center" vertical="center"/>
      <protection locked="0"/>
    </xf>
    <xf numFmtId="0" fontId="45" fillId="5" borderId="12" xfId="0" applyFont="1" applyFill="1" applyBorder="1" applyAlignment="1" applyProtection="1">
      <alignment horizontal="center" vertical="center"/>
      <protection locked="0"/>
    </xf>
    <xf numFmtId="0" fontId="45" fillId="5" borderId="8" xfId="0" applyFont="1" applyFill="1" applyBorder="1" applyAlignment="1" applyProtection="1">
      <alignment horizontal="center" vertical="center"/>
      <protection locked="0"/>
    </xf>
    <xf numFmtId="0" fontId="45" fillId="5" borderId="7" xfId="0" applyFont="1" applyFill="1" applyBorder="1" applyAlignment="1" applyProtection="1">
      <alignment horizontal="center" vertical="center"/>
      <protection locked="0"/>
    </xf>
    <xf numFmtId="0" fontId="4" fillId="2" borderId="23" xfId="0" applyFont="1" applyFill="1" applyBorder="1" applyAlignment="1">
      <alignment horizontal="left" vertical="top"/>
    </xf>
    <xf numFmtId="0" fontId="5" fillId="2" borderId="23" xfId="0" applyFont="1" applyFill="1" applyBorder="1" applyAlignment="1">
      <alignment horizontal="left" vertical="top"/>
    </xf>
    <xf numFmtId="0" fontId="6" fillId="4" borderId="52" xfId="0" applyFont="1" applyFill="1" applyBorder="1" applyAlignment="1">
      <alignment horizontal="center" vertical="center"/>
    </xf>
    <xf numFmtId="0" fontId="6" fillId="4" borderId="65" xfId="0" applyFont="1" applyFill="1" applyBorder="1" applyAlignment="1">
      <alignment horizontal="center" vertical="center"/>
    </xf>
    <xf numFmtId="0" fontId="6" fillId="4" borderId="64" xfId="0" applyFont="1" applyFill="1" applyBorder="1" applyAlignment="1">
      <alignment horizontal="center" vertical="center"/>
    </xf>
    <xf numFmtId="0" fontId="4" fillId="6" borderId="72" xfId="0" applyFont="1" applyFill="1" applyBorder="1" applyAlignment="1">
      <alignment horizontal="center" vertical="center"/>
    </xf>
    <xf numFmtId="0" fontId="4" fillId="6" borderId="66" xfId="0" applyFont="1" applyFill="1" applyBorder="1" applyAlignment="1">
      <alignment horizontal="center" vertical="center"/>
    </xf>
    <xf numFmtId="0" fontId="4" fillId="2" borderId="43" xfId="0" applyFont="1" applyFill="1" applyBorder="1" applyAlignment="1">
      <alignment vertical="top"/>
    </xf>
    <xf numFmtId="0" fontId="5" fillId="4" borderId="7" xfId="0" applyFont="1" applyFill="1" applyBorder="1" applyAlignment="1" applyProtection="1">
      <alignment horizontal="center" vertical="center"/>
      <protection locked="0"/>
    </xf>
    <xf numFmtId="0" fontId="5" fillId="0" borderId="0" xfId="0" applyFont="1"/>
    <xf numFmtId="0" fontId="4" fillId="0" borderId="0" xfId="0" applyFont="1" applyAlignment="1">
      <alignment wrapText="1"/>
    </xf>
    <xf numFmtId="0" fontId="17" fillId="0" borderId="0" xfId="0" applyFont="1" applyAlignment="1">
      <alignment horizontal="left" vertical="center" wrapText="1"/>
    </xf>
    <xf numFmtId="0" fontId="18" fillId="0" borderId="0" xfId="0" applyFont="1" applyAlignment="1">
      <alignment horizontal="left" vertical="center" wrapText="1"/>
    </xf>
    <xf numFmtId="0" fontId="5" fillId="0" borderId="0" xfId="0" applyFont="1" applyAlignment="1"/>
    <xf numFmtId="0" fontId="5" fillId="4" borderId="7" xfId="0" applyFont="1" applyFill="1" applyBorder="1" applyAlignment="1" applyProtection="1">
      <alignment horizontal="center" vertical="center"/>
    </xf>
    <xf numFmtId="0" fontId="5" fillId="0" borderId="7" xfId="0" applyFont="1" applyBorder="1" applyAlignment="1" applyProtection="1">
      <alignment horizontal="center" vertical="center"/>
      <protection locked="0"/>
    </xf>
    <xf numFmtId="0" fontId="5" fillId="5" borderId="7" xfId="0" applyFont="1" applyFill="1" applyBorder="1" applyAlignment="1" applyProtection="1">
      <alignment horizontal="center" vertical="center"/>
      <protection locked="0"/>
    </xf>
    <xf numFmtId="0" fontId="5" fillId="0" borderId="7" xfId="0" applyFont="1" applyBorder="1" applyAlignment="1" applyProtection="1">
      <alignment horizontal="center" vertical="center" wrapText="1"/>
      <protection locked="0"/>
    </xf>
    <xf numFmtId="0" fontId="5" fillId="2" borderId="7" xfId="0" applyFont="1" applyFill="1" applyBorder="1" applyAlignment="1" applyProtection="1">
      <alignment horizontal="center" vertical="center"/>
    </xf>
    <xf numFmtId="0" fontId="5" fillId="3" borderId="7" xfId="0" applyFont="1" applyFill="1" applyBorder="1" applyAlignment="1" applyProtection="1">
      <alignment horizontal="center" vertical="center"/>
    </xf>
    <xf numFmtId="49" fontId="7" fillId="4" borderId="9" xfId="1" applyNumberFormat="1" applyFont="1" applyFill="1" applyBorder="1" applyAlignment="1">
      <alignment horizontal="center" vertical="center"/>
    </xf>
    <xf numFmtId="0" fontId="5" fillId="0" borderId="10" xfId="0" applyFont="1" applyBorder="1" applyAlignment="1" applyProtection="1">
      <alignment horizontal="center" vertical="center"/>
      <protection locked="0"/>
    </xf>
    <xf numFmtId="0" fontId="5" fillId="4" borderId="10"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5" fillId="4" borderId="15" xfId="0" applyFont="1" applyFill="1" applyBorder="1" applyAlignment="1" applyProtection="1">
      <alignment horizontal="center" vertical="center"/>
    </xf>
    <xf numFmtId="0" fontId="5" fillId="0" borderId="15" xfId="0" applyFont="1" applyBorder="1" applyAlignment="1" applyProtection="1">
      <alignment horizontal="center" vertical="center"/>
      <protection locked="0"/>
    </xf>
    <xf numFmtId="0" fontId="4" fillId="6" borderId="16"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0" borderId="9" xfId="0" applyFont="1" applyBorder="1" applyAlignment="1" applyProtection="1">
      <alignment horizontal="center" vertical="center"/>
      <protection locked="0"/>
    </xf>
    <xf numFmtId="0" fontId="5" fillId="2" borderId="15" xfId="0" applyFont="1" applyFill="1" applyBorder="1" applyAlignment="1" applyProtection="1">
      <alignment horizontal="center" vertical="center"/>
    </xf>
    <xf numFmtId="49" fontId="4" fillId="6" borderId="14" xfId="0" applyNumberFormat="1" applyFont="1" applyFill="1" applyBorder="1" applyAlignment="1">
      <alignment horizontal="center" vertical="center"/>
    </xf>
    <xf numFmtId="0" fontId="5" fillId="6" borderId="15" xfId="0" applyFont="1" applyFill="1" applyBorder="1" applyAlignment="1" applyProtection="1">
      <alignment horizontal="center" vertical="center"/>
    </xf>
    <xf numFmtId="0" fontId="4" fillId="2" borderId="23" xfId="0" applyFont="1" applyFill="1" applyBorder="1" applyAlignment="1">
      <alignment vertical="top"/>
    </xf>
    <xf numFmtId="0" fontId="5" fillId="10" borderId="23" xfId="0" applyFont="1" applyFill="1" applyBorder="1" applyAlignment="1">
      <alignment horizontal="left" vertical="top" wrapText="1"/>
    </xf>
    <xf numFmtId="0" fontId="5" fillId="10" borderId="23" xfId="0" applyFont="1" applyFill="1" applyBorder="1" applyAlignment="1">
      <alignment horizontal="left" vertical="top"/>
    </xf>
    <xf numFmtId="0" fontId="5" fillId="2" borderId="23" xfId="0" applyFont="1" applyFill="1" applyBorder="1" applyAlignment="1">
      <alignment horizontal="left" vertical="top"/>
    </xf>
    <xf numFmtId="0" fontId="13" fillId="6" borderId="19" xfId="2" applyFont="1" applyFill="1" applyBorder="1" applyAlignment="1" applyProtection="1">
      <alignment horizontal="center" vertical="center" wrapText="1"/>
    </xf>
    <xf numFmtId="0" fontId="4" fillId="6" borderId="35" xfId="0" applyFont="1" applyFill="1" applyBorder="1" applyAlignment="1">
      <alignment horizontal="center" vertical="center"/>
    </xf>
    <xf numFmtId="0" fontId="5" fillId="3" borderId="9" xfId="0" applyFont="1" applyFill="1" applyBorder="1" applyAlignment="1" applyProtection="1">
      <alignment horizontal="center" vertical="center"/>
    </xf>
    <xf numFmtId="0" fontId="4" fillId="6" borderId="37" xfId="0" applyFont="1" applyFill="1" applyBorder="1" applyAlignment="1">
      <alignment horizontal="center" vertical="center"/>
    </xf>
    <xf numFmtId="0" fontId="5" fillId="2" borderId="23" xfId="0" applyFont="1" applyFill="1" applyBorder="1" applyAlignment="1">
      <alignment vertical="top"/>
    </xf>
    <xf numFmtId="0" fontId="5" fillId="10" borderId="44" xfId="0" applyFont="1" applyFill="1" applyBorder="1" applyAlignment="1">
      <alignment horizontal="left" vertical="top" wrapText="1"/>
    </xf>
    <xf numFmtId="49" fontId="4" fillId="6" borderId="9" xfId="0" applyNumberFormat="1" applyFont="1" applyFill="1" applyBorder="1" applyAlignment="1" applyProtection="1">
      <alignment horizontal="center" vertical="center"/>
    </xf>
    <xf numFmtId="0" fontId="31" fillId="6" borderId="12" xfId="0" applyFont="1" applyFill="1" applyBorder="1" applyAlignment="1">
      <alignment horizontal="center" vertical="center"/>
    </xf>
    <xf numFmtId="0" fontId="30" fillId="6" borderId="18" xfId="0" applyFont="1" applyFill="1" applyBorder="1" applyAlignment="1">
      <alignment horizontal="left" vertical="center" wrapText="1"/>
    </xf>
    <xf numFmtId="0" fontId="35" fillId="5" borderId="0" xfId="0" applyFont="1" applyFill="1" applyAlignment="1"/>
    <xf numFmtId="0" fontId="34" fillId="5" borderId="1" xfId="0" applyFont="1" applyFill="1" applyBorder="1" applyAlignment="1">
      <alignment horizontal="center" vertical="top"/>
    </xf>
    <xf numFmtId="0" fontId="35" fillId="5" borderId="0" xfId="0" applyFont="1" applyFill="1" applyAlignment="1">
      <alignment horizontal="left"/>
    </xf>
    <xf numFmtId="0" fontId="36" fillId="5" borderId="0" xfId="0" applyFont="1" applyFill="1" applyAlignment="1">
      <alignment horizontal="left"/>
    </xf>
    <xf numFmtId="0" fontId="36" fillId="5" borderId="0" xfId="0" applyFont="1" applyFill="1" applyAlignment="1"/>
    <xf numFmtId="0" fontId="36" fillId="5" borderId="0" xfId="0" applyFont="1" applyFill="1" applyAlignment="1">
      <alignment vertical="center"/>
    </xf>
    <xf numFmtId="0" fontId="38" fillId="5" borderId="0" xfId="0" applyFont="1" applyFill="1" applyAlignment="1"/>
    <xf numFmtId="0" fontId="37" fillId="0" borderId="0" xfId="0" applyFont="1" applyAlignment="1"/>
    <xf numFmtId="0" fontId="36" fillId="5" borderId="0" xfId="0" applyFont="1" applyFill="1" applyAlignment="1">
      <alignment horizontal="center" vertical="top"/>
    </xf>
    <xf numFmtId="0" fontId="18" fillId="0" borderId="44" xfId="0" applyFont="1" applyBorder="1" applyAlignment="1">
      <alignment horizontal="left" vertical="center" wrapText="1"/>
    </xf>
    <xf numFmtId="0" fontId="18" fillId="0" borderId="23" xfId="0" applyFont="1" applyBorder="1" applyAlignment="1">
      <alignment horizontal="left" vertical="center" wrapText="1"/>
    </xf>
    <xf numFmtId="0" fontId="18" fillId="0" borderId="43" xfId="0" applyFont="1" applyBorder="1" applyAlignment="1">
      <alignment horizontal="left" vertical="center" wrapText="1"/>
    </xf>
    <xf numFmtId="0" fontId="5" fillId="4" borderId="38"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6" fillId="4" borderId="24" xfId="0" applyFont="1" applyFill="1" applyBorder="1" applyAlignment="1">
      <alignment horizontal="center" vertical="center" wrapText="1"/>
    </xf>
    <xf numFmtId="0" fontId="17" fillId="0" borderId="23" xfId="0" applyFont="1" applyFill="1" applyBorder="1" applyAlignment="1">
      <alignment horizontal="left" vertical="center" wrapText="1"/>
    </xf>
    <xf numFmtId="0" fontId="18" fillId="0" borderId="57" xfId="0" applyFont="1" applyBorder="1" applyAlignment="1">
      <alignment horizontal="left" vertical="center" wrapText="1"/>
    </xf>
    <xf numFmtId="0" fontId="4" fillId="4" borderId="24" xfId="0" applyFont="1" applyFill="1" applyBorder="1" applyAlignment="1">
      <alignment horizontal="center" vertical="center" wrapText="1"/>
    </xf>
    <xf numFmtId="0" fontId="18" fillId="0" borderId="58" xfId="0" applyFont="1" applyBorder="1" applyAlignment="1">
      <alignment horizontal="left" vertical="center" wrapText="1"/>
    </xf>
    <xf numFmtId="0" fontId="17" fillId="0" borderId="57" xfId="0" applyFont="1" applyBorder="1" applyAlignment="1">
      <alignment horizontal="left" vertical="center" wrapText="1"/>
    </xf>
    <xf numFmtId="0" fontId="5" fillId="4" borderId="31"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17" fillId="6" borderId="58" xfId="0" applyFont="1" applyFill="1" applyBorder="1" applyAlignment="1">
      <alignment horizontal="left" vertical="center" wrapText="1"/>
    </xf>
    <xf numFmtId="0" fontId="18" fillId="5" borderId="58" xfId="0" applyFont="1" applyFill="1" applyBorder="1" applyAlignment="1">
      <alignment horizontal="left" vertical="center" wrapText="1"/>
    </xf>
    <xf numFmtId="0" fontId="18" fillId="5" borderId="43" xfId="0" applyFont="1" applyFill="1" applyBorder="1" applyAlignment="1">
      <alignment horizontal="left" vertical="center" wrapText="1"/>
    </xf>
    <xf numFmtId="0" fontId="4" fillId="4" borderId="41" xfId="0" applyFont="1" applyFill="1" applyBorder="1" applyAlignment="1">
      <alignment horizontal="center" vertical="center" wrapText="1"/>
    </xf>
    <xf numFmtId="0" fontId="19" fillId="5" borderId="58" xfId="0" applyFont="1" applyFill="1" applyBorder="1" applyAlignment="1">
      <alignment horizontal="left" vertical="center" wrapText="1"/>
    </xf>
    <xf numFmtId="0" fontId="19" fillId="5" borderId="57" xfId="0" applyFont="1" applyFill="1" applyBorder="1" applyAlignment="1">
      <alignment horizontal="left" vertical="center" wrapText="1"/>
    </xf>
    <xf numFmtId="0" fontId="19" fillId="5" borderId="44" xfId="0" applyFont="1" applyFill="1" applyBorder="1" applyAlignment="1">
      <alignment horizontal="left" vertical="center" wrapText="1"/>
    </xf>
    <xf numFmtId="0" fontId="19" fillId="5" borderId="43" xfId="0" applyFont="1" applyFill="1" applyBorder="1" applyAlignment="1">
      <alignment horizontal="left" vertical="center" wrapText="1"/>
    </xf>
    <xf numFmtId="0" fontId="5" fillId="5" borderId="32" xfId="0" applyFont="1" applyFill="1" applyBorder="1" applyAlignment="1" applyProtection="1">
      <alignment horizontal="center" vertical="center"/>
      <protection locked="0"/>
    </xf>
    <xf numFmtId="0" fontId="18" fillId="5" borderId="23" xfId="0" applyFont="1" applyFill="1" applyBorder="1" applyAlignment="1">
      <alignment horizontal="left" vertical="center" wrapText="1"/>
    </xf>
    <xf numFmtId="0" fontId="18" fillId="5" borderId="57" xfId="0" applyFont="1" applyFill="1" applyBorder="1" applyAlignment="1">
      <alignment horizontal="left" vertical="center" wrapText="1"/>
    </xf>
    <xf numFmtId="0" fontId="5" fillId="5" borderId="8" xfId="0" applyFont="1" applyFill="1" applyBorder="1" applyAlignment="1" applyProtection="1">
      <alignment horizontal="center" vertical="center"/>
      <protection locked="0"/>
    </xf>
    <xf numFmtId="0" fontId="25" fillId="12" borderId="44" xfId="0" applyFont="1" applyFill="1" applyBorder="1" applyAlignment="1">
      <alignment horizontal="left" vertical="center" wrapText="1"/>
    </xf>
    <xf numFmtId="0" fontId="25" fillId="12" borderId="23" xfId="0" applyFont="1" applyFill="1" applyBorder="1" applyAlignment="1">
      <alignment horizontal="left" vertical="center" wrapText="1"/>
    </xf>
    <xf numFmtId="0" fontId="25" fillId="0" borderId="23" xfId="0" applyFont="1" applyBorder="1" applyAlignment="1">
      <alignment horizontal="left" vertical="center" wrapText="1"/>
    </xf>
    <xf numFmtId="0" fontId="25" fillId="12" borderId="58" xfId="0" applyFont="1" applyFill="1" applyBorder="1" applyAlignment="1">
      <alignment horizontal="left" wrapText="1"/>
    </xf>
    <xf numFmtId="0" fontId="25" fillId="0" borderId="57" xfId="0" applyFont="1" applyBorder="1" applyAlignment="1">
      <alignment horizontal="left" vertical="center" wrapText="1"/>
    </xf>
    <xf numFmtId="0" fontId="25" fillId="0" borderId="58" xfId="0" applyFont="1" applyBorder="1" applyAlignment="1">
      <alignment horizontal="left" vertical="center" wrapText="1"/>
    </xf>
    <xf numFmtId="49" fontId="4" fillId="6" borderId="36" xfId="0" applyNumberFormat="1" applyFont="1" applyFill="1" applyBorder="1" applyAlignment="1" applyProtection="1">
      <alignment horizontal="center" vertical="center"/>
    </xf>
    <xf numFmtId="0" fontId="25" fillId="0" borderId="44" xfId="0" applyFont="1" applyBorder="1" applyAlignment="1">
      <alignment horizontal="left" vertical="center" wrapText="1"/>
    </xf>
    <xf numFmtId="0" fontId="25" fillId="0" borderId="39" xfId="0" applyFont="1" applyBorder="1" applyAlignment="1">
      <alignment horizontal="left" vertical="center" wrapText="1"/>
    </xf>
    <xf numFmtId="0" fontId="25" fillId="0" borderId="43" xfId="0" applyFont="1" applyBorder="1" applyAlignment="1">
      <alignment horizontal="left" vertical="center" wrapText="1"/>
    </xf>
    <xf numFmtId="0" fontId="18" fillId="0" borderId="28" xfId="0" applyFont="1" applyBorder="1" applyAlignment="1">
      <alignment horizontal="left" vertical="center" wrapText="1"/>
    </xf>
    <xf numFmtId="0" fontId="18" fillId="0" borderId="29" xfId="0" applyFont="1" applyBorder="1" applyAlignment="1">
      <alignment horizontal="left" vertical="center" wrapText="1"/>
    </xf>
    <xf numFmtId="0" fontId="18" fillId="0" borderId="30" xfId="0" applyFont="1" applyBorder="1" applyAlignment="1">
      <alignment horizontal="left" vertical="center" wrapText="1"/>
    </xf>
    <xf numFmtId="0" fontId="30" fillId="6" borderId="57" xfId="0" applyFont="1" applyFill="1" applyBorder="1" applyAlignment="1">
      <alignment horizontal="left" vertical="center" wrapText="1"/>
    </xf>
    <xf numFmtId="0" fontId="13" fillId="6" borderId="32" xfId="2" applyFont="1" applyFill="1" applyBorder="1" applyAlignment="1" applyProtection="1">
      <alignment horizontal="center" vertical="center"/>
    </xf>
    <xf numFmtId="0" fontId="25" fillId="0" borderId="29" xfId="0" applyFont="1" applyBorder="1" applyAlignment="1">
      <alignment horizontal="left" vertical="center" wrapText="1"/>
    </xf>
    <xf numFmtId="0" fontId="30" fillId="6" borderId="30" xfId="0" applyFont="1" applyFill="1" applyBorder="1" applyAlignment="1">
      <alignment horizontal="left" vertical="center" wrapText="1"/>
    </xf>
    <xf numFmtId="0" fontId="25" fillId="0" borderId="28" xfId="0" applyFont="1" applyBorder="1" applyAlignment="1">
      <alignment horizontal="left" vertical="center" wrapText="1"/>
    </xf>
    <xf numFmtId="0" fontId="25" fillId="0" borderId="45" xfId="0" applyFont="1" applyBorder="1" applyAlignment="1">
      <alignment horizontal="left" vertical="center" wrapText="1"/>
    </xf>
    <xf numFmtId="0" fontId="30" fillId="6" borderId="58" xfId="0" applyFont="1" applyFill="1" applyBorder="1" applyAlignment="1">
      <alignment horizontal="left" vertical="center" wrapText="1"/>
    </xf>
    <xf numFmtId="0" fontId="5" fillId="0" borderId="40" xfId="0" applyFont="1" applyBorder="1" applyAlignment="1" applyProtection="1">
      <alignment horizontal="center" vertical="center"/>
      <protection locked="0"/>
    </xf>
    <xf numFmtId="0" fontId="13" fillId="6" borderId="31" xfId="2" applyFont="1" applyFill="1" applyBorder="1" applyAlignment="1" applyProtection="1">
      <alignment horizontal="center" vertical="center"/>
    </xf>
    <xf numFmtId="0" fontId="17" fillId="3" borderId="57" xfId="0" applyFont="1" applyFill="1" applyBorder="1" applyAlignment="1">
      <alignment horizontal="left" vertical="center" wrapText="1"/>
    </xf>
    <xf numFmtId="0" fontId="18" fillId="5" borderId="28" xfId="0" applyFont="1" applyFill="1" applyBorder="1" applyAlignment="1">
      <alignment horizontal="left" vertical="center" wrapText="1"/>
    </xf>
    <xf numFmtId="0" fontId="30" fillId="12" borderId="23" xfId="0" applyFont="1" applyFill="1" applyBorder="1" applyAlignment="1">
      <alignment horizontal="left" vertical="center" wrapText="1"/>
    </xf>
    <xf numFmtId="0" fontId="30" fillId="0" borderId="23" xfId="0" applyFont="1" applyBorder="1" applyAlignment="1">
      <alignment horizontal="left" vertical="center" wrapText="1"/>
    </xf>
    <xf numFmtId="0" fontId="30" fillId="0" borderId="57" xfId="0" applyFont="1" applyBorder="1" applyAlignment="1">
      <alignment horizontal="left" vertical="center" wrapText="1"/>
    </xf>
    <xf numFmtId="0" fontId="11" fillId="5" borderId="0" xfId="0" applyFont="1" applyFill="1" applyBorder="1" applyAlignment="1">
      <alignment horizontal="left"/>
    </xf>
    <xf numFmtId="0" fontId="11" fillId="5" borderId="0" xfId="0" applyFont="1" applyFill="1" applyBorder="1"/>
    <xf numFmtId="0" fontId="11" fillId="5" borderId="0" xfId="0" applyFont="1" applyFill="1" applyBorder="1" applyAlignment="1">
      <alignment vertical="center"/>
    </xf>
    <xf numFmtId="0" fontId="10" fillId="5" borderId="0" xfId="0" applyFont="1" applyFill="1" applyBorder="1"/>
    <xf numFmtId="0" fontId="10" fillId="5" borderId="0" xfId="0" applyFont="1" applyFill="1" applyBorder="1" applyAlignment="1"/>
    <xf numFmtId="0" fontId="10" fillId="5" borderId="0" xfId="0" applyFont="1" applyFill="1" applyBorder="1" applyAlignment="1">
      <alignment vertical="center"/>
    </xf>
    <xf numFmtId="0" fontId="11" fillId="5" borderId="0" xfId="0" applyFont="1" applyFill="1" applyBorder="1" applyAlignment="1"/>
    <xf numFmtId="0" fontId="10" fillId="5" borderId="0" xfId="0" applyFont="1" applyFill="1" applyBorder="1" applyAlignment="1">
      <alignment wrapText="1"/>
    </xf>
    <xf numFmtId="0" fontId="18" fillId="0" borderId="55" xfId="0" applyFont="1" applyBorder="1" applyAlignment="1">
      <alignment horizontal="left" vertical="center" wrapText="1"/>
    </xf>
    <xf numFmtId="0" fontId="6" fillId="4" borderId="64" xfId="0" applyFont="1" applyFill="1" applyBorder="1" applyAlignment="1">
      <alignment horizontal="center" vertical="center" wrapText="1"/>
    </xf>
    <xf numFmtId="0" fontId="6" fillId="4" borderId="64" xfId="0" applyFont="1" applyFill="1" applyBorder="1" applyAlignment="1">
      <alignment horizontal="center" vertical="center"/>
    </xf>
    <xf numFmtId="0" fontId="4" fillId="6" borderId="70" xfId="0" applyFont="1" applyFill="1" applyBorder="1" applyAlignment="1">
      <alignment horizontal="center" vertical="center"/>
    </xf>
    <xf numFmtId="0" fontId="30" fillId="6" borderId="56" xfId="0" applyFont="1" applyFill="1" applyBorder="1" applyAlignment="1">
      <alignment horizontal="left" vertical="center" wrapText="1"/>
    </xf>
    <xf numFmtId="0" fontId="5" fillId="4" borderId="7" xfId="0" applyFont="1" applyFill="1" applyBorder="1" applyAlignment="1" applyProtection="1">
      <alignment horizontal="center" vertical="center"/>
      <protection locked="0"/>
    </xf>
    <xf numFmtId="0" fontId="5" fillId="4" borderId="78" xfId="0" applyFont="1" applyFill="1" applyBorder="1" applyAlignment="1" applyProtection="1">
      <alignment horizontal="center" vertical="center"/>
    </xf>
    <xf numFmtId="0" fontId="5" fillId="4" borderId="79" xfId="0" applyFont="1" applyFill="1" applyBorder="1" applyAlignment="1" applyProtection="1">
      <alignment horizontal="center" vertical="center"/>
    </xf>
    <xf numFmtId="0" fontId="5" fillId="4" borderId="80" xfId="0" applyFont="1" applyFill="1" applyBorder="1" applyAlignment="1" applyProtection="1">
      <alignment horizontal="center" vertical="center"/>
    </xf>
    <xf numFmtId="49" fontId="4" fillId="6" borderId="81" xfId="0" applyNumberFormat="1" applyFont="1" applyFill="1" applyBorder="1" applyAlignment="1" applyProtection="1">
      <alignment horizontal="center" vertical="center"/>
    </xf>
    <xf numFmtId="0" fontId="6" fillId="4" borderId="52" xfId="0" applyFont="1" applyFill="1" applyBorder="1" applyAlignment="1">
      <alignment horizontal="center" vertical="center" wrapText="1"/>
    </xf>
    <xf numFmtId="0" fontId="4" fillId="6" borderId="82" xfId="0" applyFont="1" applyFill="1" applyBorder="1" applyAlignment="1">
      <alignment horizontal="center" vertical="center"/>
    </xf>
    <xf numFmtId="0" fontId="5" fillId="0" borderId="36"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4"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86" xfId="0" applyFont="1" applyBorder="1" applyAlignment="1" applyProtection="1">
      <alignment horizontal="center" vertical="center" wrapText="1"/>
      <protection locked="0"/>
    </xf>
    <xf numFmtId="0" fontId="6" fillId="4" borderId="65" xfId="0" applyFont="1" applyFill="1" applyBorder="1" applyAlignment="1">
      <alignment horizontal="center" vertical="center" wrapText="1"/>
    </xf>
    <xf numFmtId="0" fontId="4" fillId="4" borderId="65" xfId="0" applyFont="1" applyFill="1" applyBorder="1" applyAlignment="1">
      <alignment horizontal="center" vertical="center" wrapText="1"/>
    </xf>
    <xf numFmtId="0" fontId="18" fillId="0" borderId="90" xfId="0" applyFont="1" applyBorder="1" applyAlignment="1">
      <alignment horizontal="left" vertical="center" wrapText="1"/>
    </xf>
    <xf numFmtId="0" fontId="18" fillId="0" borderId="91" xfId="0" applyFont="1" applyBorder="1" applyAlignment="1">
      <alignment horizontal="left" vertical="center" wrapText="1"/>
    </xf>
    <xf numFmtId="0" fontId="18" fillId="0" borderId="92" xfId="0" applyFont="1" applyBorder="1" applyAlignment="1">
      <alignment horizontal="left" vertical="center" wrapText="1"/>
    </xf>
    <xf numFmtId="0" fontId="5" fillId="0" borderId="84" xfId="0" applyFont="1" applyBorder="1" applyAlignment="1" applyProtection="1">
      <alignment horizontal="center" vertical="center" wrapText="1"/>
      <protection locked="0"/>
    </xf>
    <xf numFmtId="0" fontId="5" fillId="0" borderId="93" xfId="0" applyFont="1" applyBorder="1" applyAlignment="1" applyProtection="1">
      <alignment horizontal="center" vertical="center" wrapText="1"/>
      <protection locked="0"/>
    </xf>
    <xf numFmtId="0" fontId="4" fillId="6" borderId="85" xfId="0" applyFont="1" applyFill="1" applyBorder="1" applyAlignment="1">
      <alignment horizontal="center" vertical="center"/>
    </xf>
    <xf numFmtId="0" fontId="30" fillId="6" borderId="91" xfId="0" applyFont="1" applyFill="1" applyBorder="1" applyAlignment="1">
      <alignment horizontal="left" vertical="center" wrapText="1"/>
    </xf>
    <xf numFmtId="0" fontId="30" fillId="3" borderId="23" xfId="0" applyFont="1" applyFill="1" applyBorder="1" applyAlignment="1">
      <alignment horizontal="left" vertical="center" wrapText="1"/>
    </xf>
    <xf numFmtId="49" fontId="30" fillId="6" borderId="58" xfId="0" applyNumberFormat="1" applyFont="1" applyFill="1" applyBorder="1" applyAlignment="1">
      <alignment horizontal="left" vertical="center" wrapText="1"/>
    </xf>
    <xf numFmtId="0" fontId="18" fillId="0" borderId="94" xfId="0" applyFont="1" applyBorder="1" applyAlignment="1">
      <alignment horizontal="left" vertical="center" wrapText="1"/>
    </xf>
    <xf numFmtId="0" fontId="26" fillId="6" borderId="7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26" fillId="6" borderId="95" xfId="0" applyFont="1" applyFill="1" applyBorder="1" applyAlignment="1" applyProtection="1">
      <alignment horizontal="center" vertical="center" wrapText="1"/>
    </xf>
    <xf numFmtId="1" fontId="4" fillId="6" borderId="31" xfId="0" applyNumberFormat="1" applyFont="1" applyFill="1" applyBorder="1" applyAlignment="1" applyProtection="1">
      <alignment horizontal="center" vertical="center"/>
    </xf>
    <xf numFmtId="0" fontId="4" fillId="6" borderId="96" xfId="0" applyFont="1" applyFill="1" applyBorder="1" applyAlignment="1">
      <alignment horizontal="center" vertical="center"/>
    </xf>
    <xf numFmtId="49" fontId="4" fillId="6" borderId="34" xfId="0" applyNumberFormat="1" applyFont="1" applyFill="1" applyBorder="1" applyAlignment="1" applyProtection="1">
      <alignment horizontal="center" vertical="center"/>
    </xf>
    <xf numFmtId="1" fontId="4" fillId="0" borderId="31" xfId="0" applyNumberFormat="1" applyFont="1" applyFill="1" applyBorder="1" applyAlignment="1" applyProtection="1">
      <alignment horizontal="center" vertical="center"/>
      <protection locked="0"/>
    </xf>
    <xf numFmtId="0" fontId="34" fillId="5" borderId="5" xfId="0" applyFont="1" applyFill="1" applyBorder="1" applyAlignment="1">
      <alignment horizontal="left" wrapText="1"/>
    </xf>
    <xf numFmtId="0" fontId="34" fillId="5" borderId="6" xfId="0" applyFont="1" applyFill="1" applyBorder="1" applyAlignment="1">
      <alignment horizontal="center" vertical="top"/>
    </xf>
    <xf numFmtId="0" fontId="34" fillId="5" borderId="98" xfId="0" applyFont="1" applyFill="1" applyBorder="1" applyAlignment="1">
      <alignment horizontal="left" vertical="center"/>
    </xf>
    <xf numFmtId="0" fontId="35" fillId="5" borderId="83" xfId="0" applyFont="1" applyFill="1" applyBorder="1" applyAlignment="1"/>
    <xf numFmtId="0" fontId="35" fillId="0" borderId="83" xfId="0" applyFont="1" applyBorder="1" applyAlignment="1">
      <alignment horizontal="left" vertical="center" wrapText="1"/>
    </xf>
    <xf numFmtId="0" fontId="34" fillId="4" borderId="83" xfId="0" applyFont="1" applyFill="1" applyBorder="1" applyAlignment="1">
      <alignment horizontal="center" vertical="center"/>
    </xf>
    <xf numFmtId="0" fontId="35" fillId="12" borderId="83" xfId="0" applyFont="1" applyFill="1" applyBorder="1" applyAlignment="1"/>
    <xf numFmtId="0" fontId="35" fillId="4" borderId="83" xfId="0" applyFont="1" applyFill="1" applyBorder="1" applyAlignment="1">
      <alignment horizontal="center" vertical="center"/>
    </xf>
    <xf numFmtId="0" fontId="34" fillId="6" borderId="83" xfId="0" applyFont="1" applyFill="1" applyBorder="1" applyAlignment="1">
      <alignment horizontal="left" vertical="center" wrapText="1"/>
    </xf>
    <xf numFmtId="0" fontId="35" fillId="5" borderId="83" xfId="0" applyFont="1" applyFill="1" applyBorder="1" applyAlignment="1">
      <alignment horizontal="left" vertical="center" wrapText="1"/>
    </xf>
    <xf numFmtId="49" fontId="35" fillId="6" borderId="83" xfId="0" applyNumberFormat="1" applyFont="1" applyFill="1" applyBorder="1" applyAlignment="1">
      <alignment horizontal="left" vertical="center" wrapText="1"/>
    </xf>
    <xf numFmtId="0" fontId="35" fillId="12" borderId="83" xfId="0" applyFont="1" applyFill="1" applyBorder="1"/>
    <xf numFmtId="49" fontId="34" fillId="6" borderId="83" xfId="0" applyNumberFormat="1" applyFont="1" applyFill="1" applyBorder="1" applyAlignment="1">
      <alignment horizontal="center" vertical="center"/>
    </xf>
    <xf numFmtId="0" fontId="34" fillId="12" borderId="83" xfId="0" applyFont="1" applyFill="1" applyBorder="1" applyAlignment="1"/>
    <xf numFmtId="0" fontId="35" fillId="13" borderId="83" xfId="0" applyFont="1" applyFill="1" applyBorder="1" applyAlignment="1"/>
    <xf numFmtId="0" fontId="35" fillId="0" borderId="83" xfId="0" applyFont="1" applyBorder="1" applyAlignment="1" applyProtection="1">
      <alignment horizontal="center" vertical="center"/>
    </xf>
    <xf numFmtId="0" fontId="35" fillId="5" borderId="83" xfId="0" applyFont="1" applyFill="1" applyBorder="1" applyAlignment="1">
      <alignment horizontal="left" vertical="center"/>
    </xf>
    <xf numFmtId="0" fontId="34" fillId="5" borderId="2" xfId="0" applyFont="1" applyFill="1" applyBorder="1" applyAlignment="1"/>
    <xf numFmtId="0" fontId="34" fillId="5" borderId="1" xfId="0" applyFont="1" applyFill="1" applyBorder="1" applyAlignment="1">
      <alignment horizontal="left" vertical="top" wrapText="1"/>
    </xf>
    <xf numFmtId="0" fontId="34" fillId="5" borderId="6" xfId="0" applyFont="1" applyFill="1" applyBorder="1" applyAlignment="1">
      <alignment horizontal="left" vertical="top" wrapText="1"/>
    </xf>
    <xf numFmtId="0" fontId="35" fillId="5" borderId="83" xfId="0" applyFont="1" applyFill="1" applyBorder="1" applyAlignment="1">
      <alignment wrapText="1"/>
    </xf>
    <xf numFmtId="0" fontId="35" fillId="0" borderId="83" xfId="0" applyFont="1" applyBorder="1" applyAlignment="1" applyProtection="1">
      <alignment horizontal="left" vertical="center" wrapText="1"/>
      <protection locked="0"/>
    </xf>
    <xf numFmtId="0" fontId="35" fillId="12" borderId="83" xfId="0" applyFont="1" applyFill="1" applyBorder="1" applyAlignment="1">
      <alignment wrapText="1"/>
    </xf>
    <xf numFmtId="0" fontId="34" fillId="12" borderId="83" xfId="0" applyFont="1" applyFill="1" applyBorder="1" applyAlignment="1">
      <alignment wrapText="1"/>
    </xf>
    <xf numFmtId="0" fontId="35" fillId="0" borderId="83" xfId="0" applyFont="1" applyFill="1" applyBorder="1" applyAlignment="1">
      <alignment wrapText="1"/>
    </xf>
    <xf numFmtId="0" fontId="35" fillId="0" borderId="83" xfId="0" applyFont="1" applyBorder="1" applyAlignment="1" applyProtection="1">
      <alignment horizontal="left" vertical="center" wrapText="1"/>
    </xf>
    <xf numFmtId="0" fontId="35" fillId="5" borderId="0" xfId="0" applyFont="1" applyFill="1" applyAlignment="1">
      <alignment vertical="top" wrapText="1"/>
    </xf>
    <xf numFmtId="0" fontId="35" fillId="5" borderId="104" xfId="0" applyFont="1" applyFill="1" applyBorder="1" applyAlignment="1"/>
    <xf numFmtId="0" fontId="35" fillId="5" borderId="106" xfId="0" applyFont="1" applyFill="1" applyBorder="1" applyAlignment="1">
      <alignment wrapText="1"/>
    </xf>
    <xf numFmtId="0" fontId="35" fillId="5" borderId="107" xfId="0" applyFont="1" applyFill="1" applyBorder="1" applyAlignment="1"/>
    <xf numFmtId="0" fontId="35" fillId="5" borderId="99" xfId="0" applyFont="1" applyFill="1" applyBorder="1" applyAlignment="1">
      <alignment wrapText="1"/>
    </xf>
    <xf numFmtId="0" fontId="35" fillId="5" borderId="108" xfId="0" applyFont="1" applyFill="1" applyBorder="1" applyAlignment="1"/>
    <xf numFmtId="0" fontId="35" fillId="0" borderId="101" xfId="0" applyFont="1" applyBorder="1" applyAlignment="1" applyProtection="1">
      <alignment horizontal="left" vertical="center" wrapText="1"/>
      <protection locked="0"/>
    </xf>
    <xf numFmtId="0" fontId="35" fillId="0" borderId="102" xfId="0" applyFont="1" applyBorder="1" applyAlignment="1" applyProtection="1">
      <alignment horizontal="left" vertical="center"/>
      <protection locked="0"/>
    </xf>
    <xf numFmtId="0" fontId="35" fillId="0" borderId="104" xfId="0" applyFont="1" applyBorder="1" applyAlignment="1" applyProtection="1">
      <alignment horizontal="left" vertical="center"/>
      <protection locked="0"/>
    </xf>
    <xf numFmtId="0" fontId="35" fillId="0" borderId="106" xfId="0" applyFont="1" applyBorder="1" applyAlignment="1" applyProtection="1">
      <alignment horizontal="left" vertical="center" wrapText="1"/>
      <protection locked="0"/>
    </xf>
    <xf numFmtId="0" fontId="35" fillId="0" borderId="107" xfId="0" applyFont="1" applyBorder="1" applyAlignment="1" applyProtection="1">
      <alignment horizontal="left" vertical="center"/>
      <protection locked="0"/>
    </xf>
    <xf numFmtId="0" fontId="34" fillId="4" borderId="99" xfId="0" applyFont="1" applyFill="1" applyBorder="1" applyAlignment="1">
      <alignment horizontal="center" vertical="center"/>
    </xf>
    <xf numFmtId="0" fontId="34" fillId="4" borderId="101" xfId="0" applyFont="1" applyFill="1" applyBorder="1" applyAlignment="1">
      <alignment horizontal="center" vertical="center"/>
    </xf>
    <xf numFmtId="0" fontId="35" fillId="12" borderId="101" xfId="0" applyFont="1" applyFill="1" applyBorder="1" applyAlignment="1">
      <alignment wrapText="1"/>
    </xf>
    <xf numFmtId="0" fontId="35" fillId="12" borderId="102" xfId="0" applyFont="1" applyFill="1" applyBorder="1" applyAlignment="1"/>
    <xf numFmtId="0" fontId="35" fillId="12" borderId="104" xfId="0" applyFont="1" applyFill="1" applyBorder="1" applyAlignment="1"/>
    <xf numFmtId="0" fontId="34" fillId="4" borderId="106" xfId="0" applyFont="1" applyFill="1" applyBorder="1" applyAlignment="1">
      <alignment horizontal="center" vertical="center"/>
    </xf>
    <xf numFmtId="0" fontId="35" fillId="12" borderId="106" xfId="0" applyFont="1" applyFill="1" applyBorder="1" applyAlignment="1">
      <alignment wrapText="1"/>
    </xf>
    <xf numFmtId="0" fontId="35" fillId="12" borderId="107" xfId="0" applyFont="1" applyFill="1" applyBorder="1" applyAlignment="1"/>
    <xf numFmtId="0" fontId="35" fillId="12" borderId="106" xfId="0" applyFont="1" applyFill="1" applyBorder="1" applyAlignment="1">
      <alignment vertical="center" wrapText="1"/>
    </xf>
    <xf numFmtId="0" fontId="35" fillId="12" borderId="107" xfId="0" applyFont="1" applyFill="1" applyBorder="1" applyAlignment="1">
      <alignment vertical="center"/>
    </xf>
    <xf numFmtId="0" fontId="34" fillId="6" borderId="99" xfId="0" applyFont="1" applyFill="1" applyBorder="1" applyAlignment="1">
      <alignment horizontal="left" vertical="center" wrapText="1"/>
    </xf>
    <xf numFmtId="0" fontId="35" fillId="5" borderId="99" xfId="0" applyFont="1" applyFill="1" applyBorder="1" applyAlignment="1"/>
    <xf numFmtId="1" fontId="4" fillId="6" borderId="13" xfId="0" applyNumberFormat="1" applyFont="1" applyFill="1" applyBorder="1" applyAlignment="1">
      <alignment horizontal="center" vertical="center"/>
    </xf>
    <xf numFmtId="0" fontId="25" fillId="0" borderId="30" xfId="0" applyFont="1" applyBorder="1" applyAlignment="1">
      <alignment horizontal="left" vertical="center" wrapText="1"/>
    </xf>
    <xf numFmtId="0" fontId="10" fillId="5" borderId="0" xfId="0" applyFont="1" applyFill="1" applyBorder="1" applyAlignment="1">
      <alignment horizontal="center"/>
    </xf>
    <xf numFmtId="0" fontId="10" fillId="5" borderId="51" xfId="0" applyFont="1" applyFill="1" applyBorder="1" applyAlignment="1">
      <alignment horizontal="center"/>
    </xf>
    <xf numFmtId="0" fontId="17" fillId="6" borderId="43" xfId="0" applyFont="1" applyFill="1" applyBorder="1" applyAlignment="1">
      <alignment horizontal="left" vertical="center" wrapText="1"/>
    </xf>
    <xf numFmtId="49" fontId="24" fillId="6" borderId="23" xfId="0" applyNumberFormat="1" applyFont="1" applyFill="1" applyBorder="1" applyAlignment="1">
      <alignment horizontal="left" vertical="center" wrapText="1"/>
    </xf>
    <xf numFmtId="49" fontId="24" fillId="6" borderId="57" xfId="0" applyNumberFormat="1" applyFont="1" applyFill="1" applyBorder="1" applyAlignment="1">
      <alignment horizontal="left" vertical="center" wrapText="1"/>
    </xf>
    <xf numFmtId="49" fontId="30" fillId="6" borderId="57" xfId="0" applyNumberFormat="1" applyFont="1" applyFill="1" applyBorder="1" applyAlignment="1">
      <alignment horizontal="left" vertical="center" wrapText="1"/>
    </xf>
    <xf numFmtId="49" fontId="30" fillId="6" borderId="43" xfId="0" applyNumberFormat="1" applyFont="1" applyFill="1" applyBorder="1" applyAlignment="1">
      <alignment horizontal="left" vertical="center" wrapText="1"/>
    </xf>
    <xf numFmtId="49" fontId="17" fillId="6" borderId="23" xfId="0" applyNumberFormat="1" applyFont="1" applyFill="1" applyBorder="1" applyAlignment="1">
      <alignment horizontal="left" vertical="center" wrapText="1"/>
    </xf>
    <xf numFmtId="49" fontId="17" fillId="6" borderId="43" xfId="0" applyNumberFormat="1" applyFont="1" applyFill="1" applyBorder="1" applyAlignment="1">
      <alignment horizontal="left" vertical="center" wrapText="1"/>
    </xf>
    <xf numFmtId="0" fontId="18" fillId="5" borderId="29" xfId="0" applyFont="1" applyFill="1" applyBorder="1" applyAlignment="1">
      <alignment horizontal="left" vertical="center" wrapText="1"/>
    </xf>
    <xf numFmtId="49" fontId="17" fillId="6" borderId="30" xfId="0" applyNumberFormat="1" applyFont="1" applyFill="1" applyBorder="1" applyAlignment="1">
      <alignment horizontal="left" vertical="center" wrapText="1"/>
    </xf>
    <xf numFmtId="0" fontId="30" fillId="6" borderId="47" xfId="0" applyFont="1" applyFill="1" applyBorder="1" applyAlignment="1">
      <alignment vertical="top" wrapText="1"/>
    </xf>
    <xf numFmtId="0" fontId="30" fillId="0" borderId="0" xfId="0" applyFont="1" applyAlignment="1">
      <alignment vertical="top" wrapText="1"/>
    </xf>
    <xf numFmtId="0" fontId="25" fillId="12" borderId="52" xfId="0" applyFont="1" applyFill="1" applyBorder="1" applyAlignment="1">
      <alignment vertical="top" wrapText="1"/>
    </xf>
    <xf numFmtId="0" fontId="25" fillId="6" borderId="39" xfId="0" applyFont="1" applyFill="1" applyBorder="1" applyAlignment="1">
      <alignment vertical="top" wrapText="1"/>
    </xf>
    <xf numFmtId="0" fontId="25" fillId="5" borderId="11" xfId="0" applyFont="1" applyFill="1" applyBorder="1" applyAlignment="1">
      <alignment vertical="top" wrapText="1"/>
    </xf>
    <xf numFmtId="0" fontId="30" fillId="0" borderId="39" xfId="0" applyFont="1" applyBorder="1" applyAlignment="1">
      <alignment vertical="top" wrapText="1"/>
    </xf>
    <xf numFmtId="0" fontId="25" fillId="0" borderId="11" xfId="0" applyFont="1" applyBorder="1" applyAlignment="1">
      <alignment vertical="top" wrapText="1"/>
    </xf>
    <xf numFmtId="0" fontId="54" fillId="0" borderId="0" xfId="0" applyFont="1" applyAlignment="1">
      <alignment vertical="top" wrapText="1"/>
    </xf>
    <xf numFmtId="0" fontId="25" fillId="0" borderId="0" xfId="0" applyFont="1" applyAlignment="1">
      <alignment vertical="top" wrapText="1"/>
    </xf>
    <xf numFmtId="0" fontId="57" fillId="5" borderId="0" xfId="0" applyFont="1" applyFill="1" applyBorder="1"/>
    <xf numFmtId="0" fontId="51" fillId="0" borderId="0" xfId="0" applyFont="1"/>
    <xf numFmtId="0" fontId="55" fillId="5" borderId="0" xfId="0" applyFont="1" applyFill="1" applyBorder="1" applyAlignment="1">
      <alignment vertical="center"/>
    </xf>
    <xf numFmtId="0" fontId="56" fillId="0" borderId="0" xfId="0" applyFont="1" applyAlignment="1">
      <alignment vertical="center"/>
    </xf>
    <xf numFmtId="0" fontId="30" fillId="7" borderId="41" xfId="0" applyFont="1" applyFill="1" applyBorder="1" applyAlignment="1">
      <alignment horizontal="center" vertical="center" wrapText="1"/>
    </xf>
    <xf numFmtId="0" fontId="4" fillId="8" borderId="21" xfId="0" applyFont="1" applyFill="1" applyBorder="1" applyAlignment="1">
      <alignment vertical="center"/>
    </xf>
    <xf numFmtId="0" fontId="30" fillId="0" borderId="26" xfId="0" applyFont="1" applyFill="1" applyBorder="1" applyAlignment="1">
      <alignment horizontal="center" vertical="center" wrapText="1"/>
    </xf>
    <xf numFmtId="0" fontId="17" fillId="0" borderId="46" xfId="0" applyFont="1" applyFill="1" applyBorder="1" applyAlignment="1">
      <alignment vertical="center"/>
    </xf>
    <xf numFmtId="0" fontId="35"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6" fillId="4" borderId="51" xfId="0" applyFont="1" applyFill="1" applyBorder="1" applyAlignment="1">
      <alignment horizontal="center" vertical="center"/>
    </xf>
    <xf numFmtId="0" fontId="6" fillId="4" borderId="87" xfId="0" applyFont="1" applyFill="1" applyBorder="1" applyAlignment="1">
      <alignment horizontal="center" vertical="center"/>
    </xf>
    <xf numFmtId="0" fontId="5" fillId="4" borderId="140" xfId="0" applyFont="1" applyFill="1" applyBorder="1" applyAlignment="1" applyProtection="1">
      <alignment horizontal="center" vertical="center"/>
    </xf>
    <xf numFmtId="0" fontId="23" fillId="0" borderId="24" xfId="0" applyFont="1" applyBorder="1" applyAlignment="1" applyProtection="1">
      <alignment horizontal="center" vertical="center"/>
      <protection locked="0"/>
    </xf>
    <xf numFmtId="0" fontId="4" fillId="6" borderId="141" xfId="0" applyFont="1" applyFill="1" applyBorder="1" applyAlignment="1">
      <alignment horizontal="center" vertical="center"/>
    </xf>
    <xf numFmtId="0" fontId="5" fillId="4" borderId="142" xfId="0" applyFont="1" applyFill="1" applyBorder="1" applyAlignment="1" applyProtection="1">
      <alignment horizontal="center" vertical="center"/>
    </xf>
    <xf numFmtId="0" fontId="5" fillId="4" borderId="143" xfId="0" applyFont="1" applyFill="1" applyBorder="1" applyAlignment="1" applyProtection="1">
      <alignment horizontal="center" vertical="center"/>
    </xf>
    <xf numFmtId="0" fontId="5" fillId="4" borderId="144" xfId="0" applyFont="1" applyFill="1" applyBorder="1" applyAlignment="1" applyProtection="1">
      <alignment horizontal="center" vertical="center"/>
    </xf>
    <xf numFmtId="0" fontId="5" fillId="4" borderId="145" xfId="0" applyFont="1" applyFill="1" applyBorder="1" applyAlignment="1" applyProtection="1">
      <alignment horizontal="center" vertical="center"/>
    </xf>
    <xf numFmtId="0" fontId="5" fillId="4" borderId="146" xfId="0" applyFont="1" applyFill="1" applyBorder="1" applyAlignment="1" applyProtection="1">
      <alignment horizontal="center" vertical="center"/>
    </xf>
    <xf numFmtId="0" fontId="5" fillId="4" borderId="147" xfId="0" applyFont="1" applyFill="1" applyBorder="1" applyAlignment="1" applyProtection="1">
      <alignment horizontal="center" vertical="center"/>
    </xf>
    <xf numFmtId="0" fontId="5" fillId="4" borderId="148" xfId="0" applyFont="1" applyFill="1" applyBorder="1" applyAlignment="1" applyProtection="1">
      <alignment horizontal="center" vertical="center"/>
    </xf>
    <xf numFmtId="0" fontId="5" fillId="4" borderId="149" xfId="0" applyFont="1" applyFill="1" applyBorder="1" applyAlignment="1" applyProtection="1">
      <alignment horizontal="center" vertical="center"/>
    </xf>
    <xf numFmtId="0" fontId="5" fillId="4" borderId="150" xfId="0" applyFont="1" applyFill="1" applyBorder="1" applyAlignment="1" applyProtection="1">
      <alignment horizontal="center" vertical="center"/>
    </xf>
    <xf numFmtId="0" fontId="5" fillId="4" borderId="151" xfId="0" applyFont="1" applyFill="1" applyBorder="1" applyAlignment="1" applyProtection="1">
      <alignment horizontal="center" vertical="center"/>
    </xf>
    <xf numFmtId="0" fontId="5" fillId="4" borderId="152" xfId="0" applyFont="1" applyFill="1" applyBorder="1" applyAlignment="1" applyProtection="1">
      <alignment horizontal="center" vertical="center"/>
    </xf>
    <xf numFmtId="0" fontId="23" fillId="0" borderId="141" xfId="0" applyFont="1" applyBorder="1" applyAlignment="1" applyProtection="1">
      <alignment horizontal="center" vertical="center"/>
      <protection locked="0"/>
    </xf>
    <xf numFmtId="0" fontId="5" fillId="4" borderId="153" xfId="0" applyFont="1" applyFill="1" applyBorder="1" applyAlignment="1" applyProtection="1">
      <alignment horizontal="center" vertical="center"/>
    </xf>
    <xf numFmtId="0" fontId="26" fillId="5" borderId="97" xfId="0" applyFont="1" applyFill="1" applyBorder="1" applyAlignment="1" applyProtection="1">
      <alignment horizontal="center" vertical="center" wrapText="1"/>
      <protection locked="0"/>
    </xf>
    <xf numFmtId="0" fontId="26" fillId="5" borderId="154" xfId="0" applyFont="1" applyFill="1" applyBorder="1" applyAlignment="1" applyProtection="1">
      <alignment horizontal="center" vertical="center" wrapText="1"/>
      <protection locked="0"/>
    </xf>
    <xf numFmtId="0" fontId="26" fillId="5" borderId="155" xfId="0" applyFont="1" applyFill="1" applyBorder="1" applyAlignment="1" applyProtection="1">
      <alignment horizontal="center" vertical="center" wrapText="1"/>
      <protection locked="0"/>
    </xf>
    <xf numFmtId="0" fontId="26" fillId="5" borderId="156" xfId="0" applyFont="1" applyFill="1" applyBorder="1" applyAlignment="1" applyProtection="1">
      <alignment horizontal="center" vertical="center" wrapText="1"/>
      <protection locked="0"/>
    </xf>
    <xf numFmtId="0" fontId="34" fillId="5" borderId="1" xfId="0" applyFont="1" applyFill="1" applyBorder="1" applyAlignment="1">
      <alignment vertical="center" wrapText="1"/>
    </xf>
    <xf numFmtId="0" fontId="34" fillId="5" borderId="6" xfId="0" applyFont="1" applyFill="1" applyBorder="1" applyAlignment="1">
      <alignment vertical="center" wrapText="1"/>
    </xf>
    <xf numFmtId="0" fontId="35" fillId="0" borderId="111" xfId="0" applyFont="1" applyBorder="1" applyAlignment="1">
      <alignment horizontal="left" vertical="center" wrapText="1"/>
    </xf>
    <xf numFmtId="0" fontId="35" fillId="0" borderId="112" xfId="0" applyFont="1" applyBorder="1" applyAlignment="1">
      <alignment horizontal="left" vertical="center" wrapText="1"/>
    </xf>
    <xf numFmtId="0" fontId="35" fillId="0" borderId="113" xfId="0" applyFont="1" applyBorder="1" applyAlignment="1">
      <alignment horizontal="left" vertical="center" wrapText="1"/>
    </xf>
    <xf numFmtId="0" fontId="35" fillId="0" borderId="114" xfId="0" applyFont="1" applyBorder="1" applyAlignment="1">
      <alignment horizontal="left" vertical="center" wrapText="1"/>
    </xf>
    <xf numFmtId="0" fontId="35" fillId="0" borderId="101" xfId="0" applyFont="1" applyBorder="1" applyAlignment="1">
      <alignment horizontal="left" vertical="center" wrapText="1"/>
    </xf>
    <xf numFmtId="0" fontId="35" fillId="0" borderId="106" xfId="0" applyFont="1" applyBorder="1" applyAlignment="1">
      <alignment horizontal="left" vertical="center" wrapText="1"/>
    </xf>
    <xf numFmtId="0" fontId="35" fillId="0" borderId="112" xfId="0" applyFont="1" applyBorder="1" applyAlignment="1">
      <alignment vertical="center" wrapText="1"/>
    </xf>
    <xf numFmtId="0" fontId="34" fillId="0" borderId="112" xfId="0" applyFont="1" applyBorder="1" applyAlignment="1">
      <alignment horizontal="left" vertical="center" wrapText="1"/>
    </xf>
    <xf numFmtId="0" fontId="34" fillId="0" borderId="106" xfId="0" applyFont="1" applyBorder="1" applyAlignment="1">
      <alignment horizontal="left" vertical="center" wrapText="1"/>
    </xf>
    <xf numFmtId="0" fontId="35" fillId="0" borderId="83" xfId="0" applyFont="1" applyBorder="1" applyAlignment="1">
      <alignment vertical="center" wrapText="1"/>
    </xf>
    <xf numFmtId="0" fontId="35" fillId="5" borderId="83" xfId="0" applyFont="1" applyFill="1" applyBorder="1" applyAlignment="1">
      <alignment vertical="center" wrapText="1"/>
    </xf>
    <xf numFmtId="0" fontId="35" fillId="12" borderId="83" xfId="0" applyFont="1" applyFill="1" applyBorder="1" applyAlignment="1">
      <alignment horizontal="left" vertical="center" wrapText="1"/>
    </xf>
    <xf numFmtId="0" fontId="35" fillId="12" borderId="83" xfId="0" applyFont="1" applyFill="1" applyBorder="1" applyAlignment="1">
      <alignment horizontal="left" wrapText="1"/>
    </xf>
    <xf numFmtId="49" fontId="34" fillId="6" borderId="83" xfId="0" applyNumberFormat="1" applyFont="1" applyFill="1" applyBorder="1" applyAlignment="1">
      <alignment horizontal="left" vertical="center" wrapText="1"/>
    </xf>
    <xf numFmtId="0" fontId="35" fillId="0" borderId="83" xfId="0" applyFont="1" applyFill="1" applyBorder="1" applyAlignment="1">
      <alignment horizontal="left" vertical="center" wrapText="1"/>
    </xf>
    <xf numFmtId="0" fontId="35" fillId="6" borderId="83" xfId="0" applyFont="1" applyFill="1" applyBorder="1" applyAlignment="1">
      <alignment horizontal="left" vertical="center" wrapText="1"/>
    </xf>
    <xf numFmtId="0" fontId="39" fillId="0" borderId="83" xfId="0" applyFont="1" applyBorder="1" applyAlignment="1">
      <alignment horizontal="left" vertical="center" wrapText="1"/>
    </xf>
    <xf numFmtId="0" fontId="35" fillId="13" borderId="83" xfId="0" applyFont="1" applyFill="1" applyBorder="1" applyAlignment="1">
      <alignment horizontal="left" vertical="center" wrapText="1"/>
    </xf>
    <xf numFmtId="0" fontId="34" fillId="3" borderId="83" xfId="0" applyFont="1" applyFill="1" applyBorder="1" applyAlignment="1">
      <alignment horizontal="left" vertical="center" wrapText="1"/>
    </xf>
    <xf numFmtId="0" fontId="36" fillId="5" borderId="0" xfId="0" applyFont="1" applyFill="1" applyAlignment="1">
      <alignment vertical="center" wrapText="1"/>
    </xf>
    <xf numFmtId="0" fontId="30" fillId="5" borderId="24" xfId="0" applyFont="1" applyFill="1" applyBorder="1" applyAlignment="1">
      <alignment horizontal="left" vertical="center" wrapText="1"/>
    </xf>
    <xf numFmtId="0" fontId="30" fillId="5" borderId="65" xfId="0" applyFont="1" applyFill="1" applyBorder="1" applyAlignment="1">
      <alignment horizontal="left" vertical="center" wrapText="1"/>
    </xf>
    <xf numFmtId="0" fontId="25" fillId="0" borderId="28" xfId="0" applyFont="1" applyBorder="1" applyAlignment="1">
      <alignment horizontal="left" vertical="center"/>
    </xf>
    <xf numFmtId="0" fontId="17" fillId="0" borderId="48" xfId="0" applyFont="1" applyBorder="1" applyAlignment="1" applyProtection="1">
      <alignment horizontal="left" vertical="center" wrapText="1"/>
      <protection locked="0"/>
    </xf>
    <xf numFmtId="0" fontId="5" fillId="6" borderId="7" xfId="0" applyFont="1" applyFill="1" applyBorder="1" applyAlignment="1" applyProtection="1">
      <alignment horizontal="center" vertical="center"/>
    </xf>
    <xf numFmtId="49" fontId="7" fillId="4" borderId="12" xfId="1" applyNumberFormat="1" applyFont="1" applyFill="1" applyBorder="1" applyAlignment="1">
      <alignment horizontal="center" vertical="center"/>
    </xf>
    <xf numFmtId="0" fontId="4" fillId="4" borderId="26" xfId="0" applyFont="1" applyFill="1" applyBorder="1" applyAlignment="1">
      <alignment horizontal="center" vertical="center"/>
    </xf>
    <xf numFmtId="0" fontId="5" fillId="2" borderId="23" xfId="0" applyFont="1" applyFill="1" applyBorder="1" applyAlignment="1">
      <alignment horizontal="left" vertical="top"/>
    </xf>
    <xf numFmtId="49" fontId="7" fillId="4" borderId="31" xfId="1" applyNumberFormat="1" applyFont="1" applyFill="1" applyBorder="1" applyAlignment="1">
      <alignment horizontal="center" vertical="center"/>
    </xf>
    <xf numFmtId="0" fontId="35" fillId="5" borderId="83" xfId="0" applyFont="1" applyFill="1" applyBorder="1" applyAlignment="1">
      <alignment horizontal="left" vertical="center" wrapText="1"/>
    </xf>
    <xf numFmtId="0" fontId="4" fillId="4" borderId="24" xfId="0" applyFont="1" applyFill="1" applyBorder="1" applyAlignment="1">
      <alignment horizontal="center" vertical="center"/>
    </xf>
    <xf numFmtId="0" fontId="25" fillId="0" borderId="64" xfId="0" applyFont="1" applyBorder="1" applyAlignment="1">
      <alignment vertical="top" wrapText="1"/>
    </xf>
    <xf numFmtId="0" fontId="5" fillId="10" borderId="0" xfId="0" applyFont="1" applyFill="1" applyBorder="1" applyAlignment="1">
      <alignment horizontal="left" vertical="top" wrapText="1"/>
    </xf>
    <xf numFmtId="0" fontId="4" fillId="5" borderId="48" xfId="0" applyFont="1" applyFill="1" applyBorder="1" applyAlignment="1">
      <alignment vertical="top"/>
    </xf>
    <xf numFmtId="0" fontId="15" fillId="5" borderId="157" xfId="0" applyFont="1" applyFill="1" applyBorder="1" applyAlignment="1">
      <alignment horizontal="left" vertical="center"/>
    </xf>
    <xf numFmtId="0" fontId="15" fillId="5" borderId="11" xfId="0" applyFont="1" applyFill="1" applyBorder="1" applyAlignment="1">
      <alignment horizontal="left" vertical="center"/>
    </xf>
    <xf numFmtId="0" fontId="26" fillId="5" borderId="158" xfId="0" applyFont="1" applyFill="1" applyBorder="1" applyAlignment="1" applyProtection="1">
      <alignment horizontal="center" vertical="center" wrapText="1"/>
      <protection locked="0"/>
    </xf>
    <xf numFmtId="0" fontId="26" fillId="5" borderId="159" xfId="0" applyFont="1" applyFill="1" applyBorder="1" applyAlignment="1" applyProtection="1">
      <alignment horizontal="center" vertical="center" wrapText="1"/>
      <protection locked="0"/>
    </xf>
    <xf numFmtId="0" fontId="26" fillId="5" borderId="160" xfId="0" applyFont="1" applyFill="1" applyBorder="1" applyAlignment="1" applyProtection="1">
      <alignment horizontal="center" vertical="center" wrapText="1"/>
      <protection locked="0"/>
    </xf>
    <xf numFmtId="0" fontId="26" fillId="5" borderId="161" xfId="0" applyFont="1" applyFill="1" applyBorder="1" applyAlignment="1" applyProtection="1">
      <alignment horizontal="center" vertical="center" wrapText="1"/>
      <protection locked="0"/>
    </xf>
    <xf numFmtId="0" fontId="26" fillId="6" borderId="162" xfId="0" applyFont="1" applyFill="1" applyBorder="1" applyAlignment="1" applyProtection="1">
      <alignment horizontal="center" vertical="center" wrapText="1"/>
    </xf>
    <xf numFmtId="0" fontId="21" fillId="0" borderId="11" xfId="0" applyFont="1" applyBorder="1" applyAlignment="1">
      <alignment horizontal="left" vertical="center" wrapText="1"/>
    </xf>
    <xf numFmtId="0" fontId="4" fillId="6" borderId="34" xfId="0" applyFont="1" applyFill="1" applyBorder="1" applyAlignment="1">
      <alignment horizontal="center" vertical="center"/>
    </xf>
    <xf numFmtId="0" fontId="5" fillId="4" borderId="18" xfId="0" applyFont="1" applyFill="1" applyBorder="1" applyAlignment="1" applyProtection="1">
      <alignment horizontal="center" vertical="center"/>
    </xf>
    <xf numFmtId="0" fontId="5" fillId="4" borderId="20" xfId="0" applyFont="1" applyFill="1" applyBorder="1" applyAlignment="1" applyProtection="1">
      <alignment horizontal="center" vertical="center"/>
    </xf>
    <xf numFmtId="0" fontId="66" fillId="0" borderId="0" xfId="0" applyFont="1" applyBorder="1" applyAlignment="1">
      <alignment horizontal="left" vertical="center" wrapText="1"/>
    </xf>
    <xf numFmtId="0" fontId="4" fillId="6" borderId="11" xfId="0" applyFont="1" applyFill="1" applyBorder="1" applyAlignment="1">
      <alignment horizontal="center" vertical="center"/>
    </xf>
    <xf numFmtId="0" fontId="26" fillId="4" borderId="24" xfId="0" applyFont="1" applyFill="1" applyBorder="1" applyAlignment="1">
      <alignment horizontal="center" vertical="center" wrapText="1"/>
    </xf>
    <xf numFmtId="0" fontId="26" fillId="4" borderId="25" xfId="0" applyFont="1" applyFill="1" applyBorder="1" applyAlignment="1">
      <alignment horizontal="center" vertical="center" wrapText="1"/>
    </xf>
    <xf numFmtId="0" fontId="26" fillId="4" borderId="26" xfId="0" applyFont="1" applyFill="1" applyBorder="1" applyAlignment="1">
      <alignment horizontal="center" vertical="center" wrapText="1"/>
    </xf>
    <xf numFmtId="0" fontId="4" fillId="4" borderId="64" xfId="0" applyFont="1" applyFill="1" applyBorder="1" applyAlignment="1">
      <alignment horizontal="center" vertical="center"/>
    </xf>
    <xf numFmtId="0" fontId="4" fillId="4" borderId="59" xfId="0" applyFont="1" applyFill="1" applyBorder="1" applyAlignment="1">
      <alignment horizontal="center" vertical="center" wrapText="1"/>
    </xf>
    <xf numFmtId="0" fontId="4" fillId="4" borderId="11" xfId="0" applyFont="1" applyFill="1" applyBorder="1" applyAlignment="1">
      <alignment horizontal="center" vertical="center"/>
    </xf>
    <xf numFmtId="0" fontId="4" fillId="4" borderId="41" xfId="0" applyFont="1" applyFill="1" applyBorder="1" applyAlignment="1">
      <alignment horizontal="center" vertical="center"/>
    </xf>
    <xf numFmtId="0" fontId="5" fillId="2" borderId="0" xfId="0" applyFont="1" applyFill="1" applyBorder="1" applyAlignment="1">
      <alignment horizontal="left" vertical="top"/>
    </xf>
    <xf numFmtId="0" fontId="23" fillId="10" borderId="0" xfId="0" applyFont="1" applyFill="1" applyBorder="1" applyAlignment="1">
      <alignment horizontal="left" vertical="top" wrapText="1"/>
    </xf>
    <xf numFmtId="0" fontId="25" fillId="0" borderId="65" xfId="0" applyFont="1" applyBorder="1" applyAlignment="1">
      <alignment vertical="top" wrapText="1"/>
    </xf>
    <xf numFmtId="0" fontId="4" fillId="6" borderId="64" xfId="0" applyFont="1" applyFill="1" applyBorder="1" applyAlignment="1">
      <alignment horizontal="center" vertical="center"/>
    </xf>
    <xf numFmtId="0" fontId="4" fillId="6" borderId="65" xfId="0" applyFont="1" applyFill="1" applyBorder="1" applyAlignment="1">
      <alignment horizontal="center" vertical="center"/>
    </xf>
    <xf numFmtId="0" fontId="43" fillId="2" borderId="52" xfId="0" applyFont="1" applyFill="1" applyBorder="1" applyAlignment="1">
      <alignment horizontal="left" vertical="top" wrapText="1"/>
    </xf>
    <xf numFmtId="0" fontId="43" fillId="2" borderId="65" xfId="0" applyFont="1" applyFill="1" applyBorder="1" applyAlignment="1">
      <alignment horizontal="left" vertical="top" wrapText="1"/>
    </xf>
    <xf numFmtId="0" fontId="15" fillId="3" borderId="17" xfId="0" applyFont="1" applyFill="1" applyBorder="1" applyAlignment="1">
      <alignment vertical="center"/>
    </xf>
    <xf numFmtId="0" fontId="15" fillId="3" borderId="33" xfId="0" applyFont="1" applyFill="1" applyBorder="1" applyAlignment="1">
      <alignment vertical="center"/>
    </xf>
    <xf numFmtId="0" fontId="15" fillId="0" borderId="0" xfId="0" applyFont="1" applyFill="1" applyBorder="1" applyAlignment="1">
      <alignment vertical="center"/>
    </xf>
    <xf numFmtId="49" fontId="7"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15" fillId="0" borderId="0" xfId="0" applyFont="1" applyFill="1" applyBorder="1" applyAlignment="1">
      <alignment horizontal="left" vertical="center"/>
    </xf>
    <xf numFmtId="0" fontId="36" fillId="0" borderId="0" xfId="0" applyFont="1" applyFill="1" applyAlignment="1"/>
    <xf numFmtId="0" fontId="41" fillId="5" borderId="28" xfId="0" applyFont="1" applyFill="1" applyBorder="1" applyAlignment="1">
      <alignment horizontal="left" vertical="center" wrapText="1"/>
    </xf>
    <xf numFmtId="0" fontId="34" fillId="4" borderId="83" xfId="0" applyFont="1" applyFill="1" applyBorder="1" applyAlignment="1">
      <alignment horizontal="center" vertical="center" wrapText="1"/>
    </xf>
    <xf numFmtId="0" fontId="34" fillId="0" borderId="83" xfId="0" applyFont="1" applyFill="1" applyBorder="1" applyAlignment="1">
      <alignment horizontal="center" vertical="center"/>
    </xf>
    <xf numFmtId="0" fontId="4" fillId="4" borderId="52" xfId="0" applyFont="1" applyFill="1" applyBorder="1" applyAlignment="1">
      <alignment horizontal="center" vertical="center" wrapText="1"/>
    </xf>
    <xf numFmtId="0" fontId="34" fillId="3" borderId="83" xfId="0" applyFont="1" applyFill="1" applyBorder="1" applyAlignment="1">
      <alignment horizontal="center" vertical="center"/>
    </xf>
    <xf numFmtId="0" fontId="67" fillId="3" borderId="17" xfId="0" applyFont="1" applyFill="1" applyBorder="1" applyAlignment="1">
      <alignment vertical="center"/>
    </xf>
    <xf numFmtId="0" fontId="5" fillId="5" borderId="140" xfId="0" applyFont="1" applyFill="1" applyBorder="1" applyAlignment="1" applyProtection="1">
      <alignment horizontal="center" vertical="center"/>
      <protection locked="0"/>
    </xf>
    <xf numFmtId="0" fontId="5" fillId="5" borderId="148" xfId="0" applyFont="1" applyFill="1" applyBorder="1" applyAlignment="1" applyProtection="1">
      <alignment horizontal="center" vertical="center"/>
      <protection locked="0"/>
    </xf>
    <xf numFmtId="0" fontId="35" fillId="0" borderId="83" xfId="0" applyFont="1" applyBorder="1" applyAlignment="1">
      <alignment horizontal="left" vertical="center" wrapText="1"/>
    </xf>
    <xf numFmtId="0" fontId="34" fillId="5" borderId="3" xfId="0" applyFont="1" applyFill="1" applyBorder="1" applyAlignment="1">
      <alignment horizontal="center"/>
    </xf>
    <xf numFmtId="0" fontId="34" fillId="5" borderId="4" xfId="0" applyFont="1" applyFill="1" applyBorder="1" applyAlignment="1">
      <alignment horizontal="center"/>
    </xf>
    <xf numFmtId="0" fontId="35" fillId="0" borderId="83" xfId="0" applyFont="1" applyBorder="1" applyAlignment="1">
      <alignment horizontal="center" vertical="center" wrapText="1"/>
    </xf>
    <xf numFmtId="0" fontId="41" fillId="3" borderId="83" xfId="0" applyFont="1" applyFill="1" applyBorder="1" applyAlignment="1">
      <alignment horizontal="left" vertical="center"/>
    </xf>
    <xf numFmtId="0" fontId="41" fillId="3" borderId="163" xfId="0" applyFont="1" applyFill="1" applyBorder="1" applyAlignment="1">
      <alignment horizontal="left" vertical="center"/>
    </xf>
    <xf numFmtId="0" fontId="41" fillId="3" borderId="164" xfId="0" applyFont="1" applyFill="1" applyBorder="1" applyAlignment="1">
      <alignment horizontal="left" vertical="center"/>
    </xf>
    <xf numFmtId="0" fontId="41" fillId="3" borderId="112" xfId="0" applyFont="1" applyFill="1" applyBorder="1" applyAlignment="1">
      <alignment horizontal="left" vertical="center"/>
    </xf>
    <xf numFmtId="0" fontId="41" fillId="5" borderId="83" xfId="0" applyFont="1" applyFill="1" applyBorder="1" applyAlignment="1">
      <alignment horizontal="left" vertical="center" wrapText="1"/>
    </xf>
    <xf numFmtId="0" fontId="34" fillId="0" borderId="83" xfId="0" applyFont="1" applyBorder="1" applyAlignment="1">
      <alignment horizontal="center" vertical="center" wrapText="1"/>
    </xf>
    <xf numFmtId="0" fontId="34" fillId="0" borderId="83" xfId="0" applyFont="1" applyBorder="1" applyAlignment="1">
      <alignment horizontal="left" vertical="center" wrapText="1"/>
    </xf>
    <xf numFmtId="0" fontId="35" fillId="5" borderId="83" xfId="0" applyFont="1" applyFill="1" applyBorder="1" applyAlignment="1">
      <alignment horizontal="left" vertical="center" wrapText="1"/>
    </xf>
    <xf numFmtId="0" fontId="34" fillId="5" borderId="83" xfId="0" applyFont="1" applyFill="1" applyBorder="1" applyAlignment="1">
      <alignment horizontal="left" vertical="center" wrapText="1"/>
    </xf>
    <xf numFmtId="0" fontId="34" fillId="0" borderId="83" xfId="0" applyFont="1" applyFill="1" applyBorder="1" applyAlignment="1">
      <alignment horizontal="left" vertical="center" wrapText="1"/>
    </xf>
    <xf numFmtId="0" fontId="35" fillId="0" borderId="100" xfId="0" applyFont="1" applyBorder="1" applyAlignment="1">
      <alignment horizontal="left" vertical="center" wrapText="1"/>
    </xf>
    <xf numFmtId="0" fontId="35" fillId="0" borderId="105" xfId="0" applyFont="1" applyBorder="1" applyAlignment="1">
      <alignment horizontal="left" vertical="center" wrapText="1"/>
    </xf>
    <xf numFmtId="0" fontId="35" fillId="0" borderId="64" xfId="0" applyFont="1" applyBorder="1" applyAlignment="1">
      <alignment horizontal="left" vertical="center" wrapText="1"/>
    </xf>
    <xf numFmtId="0" fontId="35" fillId="0" borderId="65" xfId="0" applyFont="1" applyBorder="1" applyAlignment="1">
      <alignment horizontal="left" vertical="center" wrapText="1"/>
    </xf>
    <xf numFmtId="0" fontId="61" fillId="5" borderId="139" xfId="0" applyFont="1" applyFill="1" applyBorder="1" applyAlignment="1">
      <alignment horizontal="center" wrapText="1"/>
    </xf>
    <xf numFmtId="0" fontId="61" fillId="5" borderId="0" xfId="0" applyFont="1" applyFill="1" applyAlignment="1">
      <alignment horizontal="center" wrapText="1"/>
    </xf>
    <xf numFmtId="0" fontId="41" fillId="3" borderId="47" xfId="0" applyFont="1" applyFill="1" applyBorder="1" applyAlignment="1">
      <alignment horizontal="left" vertical="center"/>
    </xf>
    <xf numFmtId="0" fontId="41" fillId="3" borderId="109" xfId="0" applyFont="1" applyFill="1" applyBorder="1" applyAlignment="1">
      <alignment horizontal="left" vertical="center"/>
    </xf>
    <xf numFmtId="0" fontId="41" fillId="3" borderId="110" xfId="0" applyFont="1" applyFill="1" applyBorder="1" applyAlignment="1">
      <alignment horizontal="left" vertical="center"/>
    </xf>
    <xf numFmtId="0" fontId="35" fillId="12" borderId="61" xfId="0" applyFont="1" applyFill="1" applyBorder="1" applyAlignment="1">
      <alignment vertical="center"/>
    </xf>
    <xf numFmtId="0" fontId="35" fillId="12" borderId="62" xfId="0" applyFont="1" applyFill="1" applyBorder="1" applyAlignment="1">
      <alignment vertical="center"/>
    </xf>
    <xf numFmtId="0" fontId="35" fillId="12" borderId="63" xfId="0" applyFont="1" applyFill="1" applyBorder="1" applyAlignment="1">
      <alignment vertical="center"/>
    </xf>
    <xf numFmtId="0" fontId="41" fillId="3" borderId="115" xfId="0" applyFont="1" applyFill="1" applyBorder="1" applyAlignment="1">
      <alignment horizontal="left" vertical="center"/>
    </xf>
    <xf numFmtId="0" fontId="35" fillId="0" borderId="61" xfId="0" applyFont="1" applyBorder="1" applyAlignment="1">
      <alignment horizontal="left" vertical="center" wrapText="1"/>
    </xf>
    <xf numFmtId="0" fontId="35" fillId="0" borderId="62" xfId="0" applyFont="1" applyBorder="1" applyAlignment="1">
      <alignment horizontal="left" vertical="center" wrapText="1"/>
    </xf>
    <xf numFmtId="0" fontId="35" fillId="0" borderId="63" xfId="0" applyFont="1" applyBorder="1" applyAlignment="1">
      <alignment horizontal="left" vertical="center" wrapText="1"/>
    </xf>
    <xf numFmtId="0" fontId="35" fillId="12" borderId="100" xfId="0" applyFont="1" applyFill="1" applyBorder="1" applyAlignment="1">
      <alignment vertical="center"/>
    </xf>
    <xf numFmtId="0" fontId="35" fillId="12" borderId="103" xfId="0" applyFont="1" applyFill="1" applyBorder="1" applyAlignment="1">
      <alignment vertical="center"/>
    </xf>
    <xf numFmtId="0" fontId="35" fillId="12" borderId="105" xfId="0" applyFont="1" applyFill="1" applyBorder="1" applyAlignment="1">
      <alignment vertical="center"/>
    </xf>
    <xf numFmtId="0" fontId="15" fillId="3" borderId="17" xfId="0" applyFont="1" applyFill="1" applyBorder="1" applyAlignment="1">
      <alignment horizontal="left" vertical="center"/>
    </xf>
    <xf numFmtId="0" fontId="15" fillId="3" borderId="7" xfId="0" applyFont="1" applyFill="1" applyBorder="1" applyAlignment="1">
      <alignment horizontal="left" vertical="center"/>
    </xf>
    <xf numFmtId="0" fontId="15" fillId="3" borderId="9" xfId="0" applyFont="1" applyFill="1" applyBorder="1" applyAlignment="1">
      <alignment horizontal="left" vertical="center"/>
    </xf>
    <xf numFmtId="0" fontId="15" fillId="3" borderId="33" xfId="0" applyFont="1" applyFill="1" applyBorder="1" applyAlignment="1">
      <alignment horizontal="left" vertical="center"/>
    </xf>
    <xf numFmtId="0" fontId="35" fillId="0" borderId="119" xfId="0" applyFont="1" applyBorder="1" applyAlignment="1">
      <alignment horizontal="left" vertical="top" wrapText="1"/>
    </xf>
    <xf numFmtId="0" fontId="35" fillId="0" borderId="120" xfId="0" applyFont="1" applyBorder="1" applyAlignment="1">
      <alignment horizontal="left" vertical="top" wrapText="1"/>
    </xf>
    <xf numFmtId="0" fontId="35" fillId="0" borderId="121" xfId="0" applyFont="1" applyBorder="1" applyAlignment="1">
      <alignment horizontal="left" vertical="top" wrapText="1"/>
    </xf>
    <xf numFmtId="0" fontId="35" fillId="0" borderId="122" xfId="0" applyFont="1" applyBorder="1" applyAlignment="1">
      <alignment horizontal="left" vertical="top" wrapText="1"/>
    </xf>
    <xf numFmtId="0" fontId="35" fillId="0" borderId="0" xfId="0" applyFont="1" applyBorder="1" applyAlignment="1">
      <alignment horizontal="left" vertical="top" wrapText="1"/>
    </xf>
    <xf numFmtId="0" fontId="35" fillId="0" borderId="123" xfId="0" applyFont="1" applyBorder="1" applyAlignment="1">
      <alignment horizontal="left" vertical="top" wrapText="1"/>
    </xf>
    <xf numFmtId="0" fontId="35" fillId="0" borderId="124" xfId="0" applyFont="1" applyBorder="1" applyAlignment="1">
      <alignment horizontal="left" vertical="top" wrapText="1"/>
    </xf>
    <xf numFmtId="0" fontId="35" fillId="0" borderId="125" xfId="0" applyFont="1" applyBorder="1" applyAlignment="1">
      <alignment horizontal="left" vertical="top" wrapText="1"/>
    </xf>
    <xf numFmtId="0" fontId="35" fillId="0" borderId="126" xfId="0" applyFont="1" applyBorder="1" applyAlignment="1">
      <alignment horizontal="left" vertical="top" wrapText="1"/>
    </xf>
    <xf numFmtId="0" fontId="60" fillId="0" borderId="119" xfId="0" applyFont="1" applyBorder="1" applyAlignment="1" applyProtection="1">
      <alignment horizontal="left" vertical="top"/>
      <protection locked="0"/>
    </xf>
    <xf numFmtId="0" fontId="60" fillId="0" borderId="120" xfId="0" applyFont="1" applyBorder="1" applyAlignment="1" applyProtection="1">
      <alignment horizontal="left" vertical="top"/>
      <protection locked="0"/>
    </xf>
    <xf numFmtId="0" fontId="60" fillId="0" borderId="121" xfId="0" applyFont="1" applyBorder="1" applyAlignment="1" applyProtection="1">
      <alignment horizontal="left" vertical="top"/>
      <protection locked="0"/>
    </xf>
    <xf numFmtId="0" fontId="60" fillId="0" borderId="122" xfId="0" applyFont="1" applyBorder="1" applyAlignment="1" applyProtection="1">
      <alignment horizontal="left" vertical="top"/>
      <protection locked="0"/>
    </xf>
    <xf numFmtId="0" fontId="60" fillId="0" borderId="0" xfId="0" applyFont="1" applyBorder="1" applyAlignment="1" applyProtection="1">
      <alignment horizontal="left" vertical="top"/>
      <protection locked="0"/>
    </xf>
    <xf numFmtId="0" fontId="60" fillId="0" borderId="123" xfId="0" applyFont="1" applyBorder="1" applyAlignment="1" applyProtection="1">
      <alignment horizontal="left" vertical="top"/>
      <protection locked="0"/>
    </xf>
    <xf numFmtId="0" fontId="60" fillId="0" borderId="124" xfId="0" applyFont="1" applyBorder="1" applyAlignment="1" applyProtection="1">
      <alignment horizontal="left" vertical="top"/>
      <protection locked="0"/>
    </xf>
    <xf numFmtId="0" fontId="60" fillId="0" borderId="125" xfId="0" applyFont="1" applyBorder="1" applyAlignment="1" applyProtection="1">
      <alignment horizontal="left" vertical="top"/>
      <protection locked="0"/>
    </xf>
    <xf numFmtId="0" fontId="60" fillId="0" borderId="126" xfId="0" applyFont="1" applyBorder="1" applyAlignment="1" applyProtection="1">
      <alignment horizontal="left" vertical="top"/>
      <protection locked="0"/>
    </xf>
    <xf numFmtId="0" fontId="50" fillId="13" borderId="117" xfId="0" applyFont="1" applyFill="1" applyBorder="1" applyAlignment="1">
      <alignment horizontal="center" vertical="top" wrapText="1"/>
    </xf>
    <xf numFmtId="0" fontId="50" fillId="13" borderId="0" xfId="0" applyFont="1" applyFill="1" applyBorder="1" applyAlignment="1">
      <alignment horizontal="center" vertical="top" wrapText="1"/>
    </xf>
    <xf numFmtId="0" fontId="50" fillId="13" borderId="118" xfId="0" applyFont="1" applyFill="1" applyBorder="1" applyAlignment="1">
      <alignment horizontal="center" vertical="top" wrapText="1"/>
    </xf>
    <xf numFmtId="0" fontId="50" fillId="13" borderId="0" xfId="0" applyFont="1" applyFill="1" applyBorder="1" applyAlignment="1">
      <alignment horizontal="left" vertical="top" wrapText="1"/>
    </xf>
    <xf numFmtId="0" fontId="50" fillId="13" borderId="72" xfId="0" applyFont="1" applyFill="1" applyBorder="1" applyAlignment="1">
      <alignment horizontal="left" vertical="top" wrapText="1"/>
    </xf>
    <xf numFmtId="0" fontId="49" fillId="0" borderId="127" xfId="0" applyFont="1" applyBorder="1" applyAlignment="1">
      <alignment horizontal="left" vertical="top" wrapText="1"/>
    </xf>
    <xf numFmtId="0" fontId="49" fillId="0" borderId="128" xfId="0" applyFont="1" applyBorder="1" applyAlignment="1">
      <alignment horizontal="left" vertical="top" wrapText="1"/>
    </xf>
    <xf numFmtId="0" fontId="49" fillId="0" borderId="129" xfId="0" applyFont="1" applyBorder="1" applyAlignment="1">
      <alignment horizontal="left" vertical="top" wrapText="1"/>
    </xf>
    <xf numFmtId="0" fontId="49" fillId="0" borderId="130" xfId="0" applyFont="1" applyBorder="1" applyAlignment="1">
      <alignment horizontal="left" vertical="top" wrapText="1"/>
    </xf>
    <xf numFmtId="0" fontId="49" fillId="0" borderId="0" xfId="0" applyFont="1" applyBorder="1" applyAlignment="1">
      <alignment horizontal="left" vertical="top" wrapText="1"/>
    </xf>
    <xf numFmtId="0" fontId="49" fillId="0" borderId="131" xfId="0" applyFont="1" applyBorder="1" applyAlignment="1">
      <alignment horizontal="left" vertical="top" wrapText="1"/>
    </xf>
    <xf numFmtId="0" fontId="49" fillId="0" borderId="132" xfId="0" applyFont="1" applyBorder="1" applyAlignment="1">
      <alignment horizontal="left" vertical="top" wrapText="1"/>
    </xf>
    <xf numFmtId="0" fontId="49" fillId="0" borderId="133" xfId="0" applyFont="1" applyBorder="1" applyAlignment="1">
      <alignment horizontal="left" vertical="top" wrapText="1"/>
    </xf>
    <xf numFmtId="0" fontId="49" fillId="0" borderId="134" xfId="0" applyFont="1" applyBorder="1" applyAlignment="1">
      <alignment horizontal="left" vertical="top" wrapText="1"/>
    </xf>
    <xf numFmtId="0" fontId="58" fillId="14" borderId="135" xfId="0" applyFont="1" applyFill="1" applyBorder="1" applyAlignment="1">
      <alignment horizontal="center" vertical="center" wrapText="1"/>
    </xf>
    <xf numFmtId="0" fontId="58" fillId="14" borderId="136" xfId="0" applyFont="1" applyFill="1" applyBorder="1" applyAlignment="1">
      <alignment horizontal="center" vertical="center" wrapText="1"/>
    </xf>
    <xf numFmtId="0" fontId="58" fillId="14" borderId="138" xfId="0" applyFont="1" applyFill="1" applyBorder="1" applyAlignment="1">
      <alignment horizontal="center" vertical="center" wrapText="1"/>
    </xf>
    <xf numFmtId="0" fontId="58" fillId="14" borderId="137" xfId="0" applyFont="1" applyFill="1" applyBorder="1" applyAlignment="1">
      <alignment horizontal="center" vertical="center" wrapText="1"/>
    </xf>
    <xf numFmtId="0" fontId="59" fillId="0" borderId="127" xfId="0" applyFont="1" applyBorder="1" applyAlignment="1" applyProtection="1">
      <alignment horizontal="left" vertical="top" wrapText="1"/>
      <protection locked="0"/>
    </xf>
    <xf numFmtId="0" fontId="59" fillId="0" borderId="128" xfId="0" applyFont="1" applyBorder="1" applyAlignment="1" applyProtection="1">
      <alignment horizontal="left" vertical="top" wrapText="1"/>
      <protection locked="0"/>
    </xf>
    <xf numFmtId="0" fontId="59" fillId="0" borderId="129" xfId="0" applyFont="1" applyBorder="1" applyAlignment="1" applyProtection="1">
      <alignment horizontal="left" vertical="top" wrapText="1"/>
      <protection locked="0"/>
    </xf>
    <xf numFmtId="0" fontId="59" fillId="0" borderId="130" xfId="0" applyFont="1" applyBorder="1" applyAlignment="1" applyProtection="1">
      <alignment horizontal="left" vertical="top" wrapText="1"/>
      <protection locked="0"/>
    </xf>
    <xf numFmtId="0" fontId="59" fillId="0" borderId="0" xfId="0" applyFont="1" applyBorder="1" applyAlignment="1" applyProtection="1">
      <alignment horizontal="left" vertical="top" wrapText="1"/>
      <protection locked="0"/>
    </xf>
    <xf numFmtId="0" fontId="59" fillId="0" borderId="131" xfId="0" applyFont="1" applyBorder="1" applyAlignment="1" applyProtection="1">
      <alignment horizontal="left" vertical="top" wrapText="1"/>
      <protection locked="0"/>
    </xf>
    <xf numFmtId="0" fontId="59" fillId="0" borderId="132" xfId="0" applyFont="1" applyBorder="1" applyAlignment="1" applyProtection="1">
      <alignment horizontal="left" vertical="top" wrapText="1"/>
      <protection locked="0"/>
    </xf>
    <xf numFmtId="0" fontId="59" fillId="0" borderId="133" xfId="0" applyFont="1" applyBorder="1" applyAlignment="1" applyProtection="1">
      <alignment horizontal="left" vertical="top" wrapText="1"/>
      <protection locked="0"/>
    </xf>
    <xf numFmtId="0" fontId="59" fillId="0" borderId="134" xfId="0" applyFont="1" applyBorder="1" applyAlignment="1" applyProtection="1">
      <alignment horizontal="left" vertical="top" wrapText="1"/>
      <protection locked="0"/>
    </xf>
    <xf numFmtId="0" fontId="48" fillId="2" borderId="64" xfId="0" applyFont="1" applyFill="1" applyBorder="1" applyAlignment="1">
      <alignment horizontal="center" vertical="top" wrapText="1"/>
    </xf>
    <xf numFmtId="0" fontId="48" fillId="2" borderId="52" xfId="0" applyFont="1" applyFill="1" applyBorder="1" applyAlignment="1">
      <alignment horizontal="center" vertical="top" wrapText="1"/>
    </xf>
    <xf numFmtId="0" fontId="48" fillId="2" borderId="41" xfId="0" applyFont="1" applyFill="1" applyBorder="1" applyAlignment="1">
      <alignment horizontal="center" vertical="top" wrapText="1"/>
    </xf>
    <xf numFmtId="0" fontId="62" fillId="2" borderId="42" xfId="0" applyFont="1" applyFill="1" applyBorder="1" applyAlignment="1">
      <alignment horizontal="center" vertical="top" wrapText="1"/>
    </xf>
    <xf numFmtId="0" fontId="62" fillId="2" borderId="52" xfId="0" applyFont="1" applyFill="1" applyBorder="1" applyAlignment="1">
      <alignment horizontal="center" vertical="top" wrapText="1"/>
    </xf>
    <xf numFmtId="0" fontId="62" fillId="2" borderId="65" xfId="0" applyFont="1" applyFill="1" applyBorder="1" applyAlignment="1">
      <alignment horizontal="center" vertical="top" wrapText="1"/>
    </xf>
    <xf numFmtId="0" fontId="27" fillId="2" borderId="64" xfId="0" applyFont="1" applyFill="1" applyBorder="1" applyAlignment="1">
      <alignment horizontal="center" vertical="top" wrapText="1"/>
    </xf>
    <xf numFmtId="0" fontId="27" fillId="2" borderId="52" xfId="0" applyFont="1" applyFill="1" applyBorder="1" applyAlignment="1">
      <alignment horizontal="center" vertical="top" wrapText="1"/>
    </xf>
    <xf numFmtId="0" fontId="27" fillId="2" borderId="41" xfId="0" applyFont="1" applyFill="1" applyBorder="1" applyAlignment="1">
      <alignment horizontal="center" vertical="top" wrapText="1"/>
    </xf>
    <xf numFmtId="0" fontId="27" fillId="2" borderId="42" xfId="0" applyFont="1" applyFill="1" applyBorder="1" applyAlignment="1">
      <alignment horizontal="center" vertical="top" wrapText="1"/>
    </xf>
    <xf numFmtId="0" fontId="5" fillId="10" borderId="59" xfId="0" applyFont="1" applyFill="1" applyBorder="1" applyAlignment="1">
      <alignment horizontal="center" vertical="top" wrapText="1"/>
    </xf>
    <xf numFmtId="0" fontId="5" fillId="10" borderId="51" xfId="0" applyFont="1" applyFill="1" applyBorder="1" applyAlignment="1">
      <alignment horizontal="center" vertical="top" wrapText="1"/>
    </xf>
    <xf numFmtId="0" fontId="5" fillId="10" borderId="45" xfId="0" applyFont="1" applyFill="1" applyBorder="1" applyAlignment="1">
      <alignment horizontal="center" vertical="top" wrapText="1"/>
    </xf>
    <xf numFmtId="0" fontId="18" fillId="10" borderId="55" xfId="0" applyFont="1" applyFill="1" applyBorder="1" applyAlignment="1">
      <alignment horizontal="center" vertical="top" wrapText="1"/>
    </xf>
    <xf numFmtId="0" fontId="18" fillId="10" borderId="51" xfId="0" applyFont="1" applyFill="1" applyBorder="1" applyAlignment="1">
      <alignment horizontal="center" vertical="top" wrapText="1"/>
    </xf>
    <xf numFmtId="0" fontId="18" fillId="10" borderId="45" xfId="0" applyFont="1" applyFill="1" applyBorder="1" applyAlignment="1">
      <alignment horizontal="center" vertical="top" wrapText="1"/>
    </xf>
    <xf numFmtId="0" fontId="44" fillId="2" borderId="64" xfId="0" applyFont="1" applyFill="1" applyBorder="1" applyAlignment="1">
      <alignment horizontal="center" vertical="top" wrapText="1"/>
    </xf>
    <xf numFmtId="0" fontId="44" fillId="2" borderId="52" xfId="0" applyFont="1" applyFill="1" applyBorder="1" applyAlignment="1">
      <alignment horizontal="center" vertical="top" wrapText="1"/>
    </xf>
    <xf numFmtId="0" fontId="44" fillId="2" borderId="41" xfId="0" applyFont="1" applyFill="1" applyBorder="1" applyAlignment="1">
      <alignment horizontal="center" vertical="top" wrapText="1"/>
    </xf>
    <xf numFmtId="0" fontId="44" fillId="2" borderId="42" xfId="0" applyFont="1" applyFill="1" applyBorder="1" applyAlignment="1">
      <alignment horizontal="center" vertical="top" wrapText="1"/>
    </xf>
    <xf numFmtId="0" fontId="44" fillId="2" borderId="65" xfId="0" applyFont="1" applyFill="1" applyBorder="1" applyAlignment="1">
      <alignment horizontal="center" vertical="top" wrapText="1"/>
    </xf>
    <xf numFmtId="0" fontId="5" fillId="10" borderId="55" xfId="0" applyFont="1" applyFill="1" applyBorder="1" applyAlignment="1">
      <alignment horizontal="center" vertical="top" wrapText="1"/>
    </xf>
    <xf numFmtId="0" fontId="5" fillId="10" borderId="87" xfId="0" applyFont="1" applyFill="1" applyBorder="1" applyAlignment="1">
      <alignment horizontal="center" vertical="top" wrapText="1"/>
    </xf>
    <xf numFmtId="0" fontId="25" fillId="5" borderId="24" xfId="0" applyFont="1" applyFill="1" applyBorder="1" applyAlignment="1">
      <alignment vertical="top" wrapText="1"/>
    </xf>
    <xf numFmtId="0" fontId="25" fillId="5" borderId="25" xfId="0" applyFont="1" applyFill="1" applyBorder="1" applyAlignment="1">
      <alignment vertical="top" wrapText="1"/>
    </xf>
    <xf numFmtId="0" fontId="25" fillId="5" borderId="42" xfId="0" applyFont="1" applyFill="1" applyBorder="1" applyAlignment="1">
      <alignment vertical="top" wrapText="1"/>
    </xf>
    <xf numFmtId="0" fontId="4" fillId="7" borderId="12" xfId="0" applyFont="1" applyFill="1" applyBorder="1" applyAlignment="1">
      <alignment horizontal="center" vertical="center"/>
    </xf>
    <xf numFmtId="0" fontId="4" fillId="7" borderId="15" xfId="0" applyFont="1" applyFill="1" applyBorder="1" applyAlignment="1">
      <alignment horizontal="center" vertical="center"/>
    </xf>
    <xf numFmtId="0" fontId="23" fillId="7" borderId="24" xfId="0" applyFont="1" applyFill="1" applyBorder="1" applyAlignment="1">
      <alignment horizontal="center" vertical="center" wrapText="1"/>
    </xf>
    <xf numFmtId="0" fontId="23" fillId="7" borderId="26" xfId="0" applyFont="1" applyFill="1" applyBorder="1" applyAlignment="1">
      <alignment horizontal="center" vertical="center" wrapText="1"/>
    </xf>
    <xf numFmtId="0" fontId="43" fillId="2" borderId="41" xfId="0" applyFont="1" applyFill="1" applyBorder="1" applyAlignment="1">
      <alignment horizontal="left" vertical="top" wrapText="1"/>
    </xf>
    <xf numFmtId="0" fontId="43" fillId="2" borderId="25" xfId="0" applyFont="1" applyFill="1" applyBorder="1" applyAlignment="1">
      <alignment horizontal="left" vertical="top" wrapText="1"/>
    </xf>
    <xf numFmtId="0" fontId="43" fillId="2" borderId="42" xfId="0" applyFont="1" applyFill="1" applyBorder="1" applyAlignment="1">
      <alignment horizontal="left" vertical="top" wrapText="1"/>
    </xf>
    <xf numFmtId="49" fontId="7" fillId="4" borderId="12" xfId="1" applyNumberFormat="1" applyFont="1" applyFill="1" applyBorder="1" applyAlignment="1">
      <alignment horizontal="center" vertical="center"/>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26" xfId="0" applyFont="1" applyBorder="1" applyAlignment="1">
      <alignment horizontal="left" vertical="top" wrapText="1"/>
    </xf>
    <xf numFmtId="0" fontId="30" fillId="0" borderId="21" xfId="0" applyFont="1" applyBorder="1" applyAlignment="1">
      <alignment horizontal="left" vertical="top" wrapText="1"/>
    </xf>
    <xf numFmtId="0" fontId="30" fillId="0" borderId="22" xfId="0" applyFont="1" applyBorder="1" applyAlignment="1">
      <alignment horizontal="left" vertical="top" wrapText="1"/>
    </xf>
    <xf numFmtId="0" fontId="30" fillId="0" borderId="27" xfId="0" applyFont="1" applyBorder="1" applyAlignment="1">
      <alignment horizontal="left" vertical="top" wrapText="1"/>
    </xf>
    <xf numFmtId="49" fontId="7" fillId="4" borderId="31" xfId="1" applyNumberFormat="1" applyFont="1" applyFill="1" applyBorder="1" applyAlignment="1">
      <alignment horizontal="center" vertical="center"/>
    </xf>
    <xf numFmtId="0" fontId="30" fillId="5" borderId="24" xfId="0" applyFont="1" applyFill="1" applyBorder="1" applyAlignment="1">
      <alignment vertical="top" wrapText="1"/>
    </xf>
    <xf numFmtId="0" fontId="30" fillId="5" borderId="26" xfId="0" applyFont="1" applyFill="1" applyBorder="1" applyAlignment="1">
      <alignment vertical="top" wrapText="1"/>
    </xf>
    <xf numFmtId="0" fontId="25" fillId="0" borderId="24" xfId="0" applyFont="1" applyBorder="1" applyAlignment="1">
      <alignment vertical="top" wrapText="1"/>
    </xf>
    <xf numFmtId="0" fontId="25" fillId="0" borderId="26" xfId="0" applyFont="1" applyBorder="1" applyAlignment="1">
      <alignment vertical="top" wrapText="1"/>
    </xf>
    <xf numFmtId="0" fontId="30" fillId="2" borderId="24" xfId="0" applyFont="1" applyFill="1" applyBorder="1" applyAlignment="1">
      <alignment vertical="top" wrapText="1"/>
    </xf>
    <xf numFmtId="0" fontId="30" fillId="2" borderId="26" xfId="0" applyFont="1" applyFill="1" applyBorder="1" applyAlignment="1">
      <alignment vertical="top" wrapText="1"/>
    </xf>
    <xf numFmtId="0" fontId="25" fillId="5" borderId="26" xfId="0" applyFont="1" applyFill="1" applyBorder="1" applyAlignment="1">
      <alignment vertical="top" wrapText="1"/>
    </xf>
    <xf numFmtId="0" fontId="17" fillId="2" borderId="28" xfId="0" applyFont="1" applyFill="1" applyBorder="1" applyAlignment="1">
      <alignment horizontal="left" vertical="center" wrapText="1"/>
    </xf>
    <xf numFmtId="0" fontId="17" fillId="2" borderId="30" xfId="0" applyFont="1" applyFill="1" applyBorder="1" applyAlignment="1">
      <alignment horizontal="left" vertical="center" wrapText="1"/>
    </xf>
    <xf numFmtId="0" fontId="4" fillId="4" borderId="24" xfId="0" applyFont="1" applyFill="1" applyBorder="1" applyAlignment="1">
      <alignment horizontal="center" vertical="center"/>
    </xf>
    <xf numFmtId="0" fontId="4" fillId="4" borderId="26" xfId="0" applyFont="1" applyFill="1" applyBorder="1" applyAlignment="1">
      <alignment horizontal="center" vertical="center"/>
    </xf>
    <xf numFmtId="0" fontId="30" fillId="0" borderId="24" xfId="0" applyFont="1" applyBorder="1" applyAlignment="1">
      <alignment vertical="top" wrapText="1"/>
    </xf>
    <xf numFmtId="0" fontId="30" fillId="0" borderId="25" xfId="0" applyFont="1" applyBorder="1" applyAlignment="1">
      <alignment vertical="top" wrapText="1"/>
    </xf>
    <xf numFmtId="0" fontId="30" fillId="0" borderId="26" xfId="0" applyFont="1" applyBorder="1" applyAlignment="1">
      <alignment vertical="top" wrapText="1"/>
    </xf>
    <xf numFmtId="0" fontId="4" fillId="4" borderId="10"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0" fillId="0" borderId="41" xfId="0" applyFont="1" applyBorder="1" applyAlignment="1">
      <alignment vertical="top" wrapText="1"/>
    </xf>
    <xf numFmtId="0" fontId="43" fillId="2" borderId="64" xfId="0" applyFont="1" applyFill="1" applyBorder="1" applyAlignment="1">
      <alignment horizontal="center" vertical="top" wrapText="1"/>
    </xf>
    <xf numFmtId="0" fontId="43" fillId="2" borderId="52"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4" fillId="2" borderId="24" xfId="0" applyFont="1" applyFill="1" applyBorder="1" applyAlignment="1">
      <alignment horizontal="center" vertical="top" wrapText="1"/>
    </xf>
    <xf numFmtId="0" fontId="44" fillId="2" borderId="25" xfId="0" applyFont="1" applyFill="1" applyBorder="1" applyAlignment="1">
      <alignment horizontal="center" vertical="top" wrapText="1"/>
    </xf>
    <xf numFmtId="0" fontId="44" fillId="2" borderId="26" xfId="0" applyFont="1" applyFill="1" applyBorder="1" applyAlignment="1">
      <alignment horizontal="center" vertical="top" wrapText="1"/>
    </xf>
    <xf numFmtId="0" fontId="5" fillId="10" borderId="24" xfId="0" applyFont="1" applyFill="1" applyBorder="1" applyAlignment="1">
      <alignment horizontal="center" vertical="top" wrapText="1"/>
    </xf>
    <xf numFmtId="0" fontId="5" fillId="10" borderId="25" xfId="0" applyFont="1" applyFill="1" applyBorder="1" applyAlignment="1">
      <alignment horizontal="center" vertical="top" wrapText="1"/>
    </xf>
    <xf numFmtId="0" fontId="5" fillId="10" borderId="26" xfId="0" applyFont="1" applyFill="1" applyBorder="1" applyAlignment="1">
      <alignment horizontal="center" vertical="top" wrapText="1"/>
    </xf>
    <xf numFmtId="0" fontId="5" fillId="10" borderId="28" xfId="0" applyFont="1" applyFill="1" applyBorder="1" applyAlignment="1">
      <alignment horizontal="center" vertical="top" wrapText="1"/>
    </xf>
    <xf numFmtId="0" fontId="5" fillId="10" borderId="29" xfId="0" applyFont="1" applyFill="1" applyBorder="1" applyAlignment="1">
      <alignment horizontal="center" vertical="top" wrapText="1"/>
    </xf>
    <xf numFmtId="0" fontId="5" fillId="10" borderId="30" xfId="0" applyFont="1" applyFill="1" applyBorder="1" applyAlignment="1">
      <alignment horizontal="center" vertical="top" wrapText="1"/>
    </xf>
    <xf numFmtId="0" fontId="25" fillId="0" borderId="25" xfId="0" applyFont="1" applyBorder="1" applyAlignment="1">
      <alignment vertical="top" wrapText="1"/>
    </xf>
    <xf numFmtId="0" fontId="17" fillId="2" borderId="24" xfId="0" applyFont="1" applyFill="1" applyBorder="1" applyAlignment="1">
      <alignment horizontal="left" vertical="center" wrapText="1"/>
    </xf>
    <xf numFmtId="0" fontId="17" fillId="2" borderId="42" xfId="0" applyFont="1" applyFill="1" applyBorder="1" applyAlignment="1">
      <alignment horizontal="left" vertical="center" wrapText="1"/>
    </xf>
    <xf numFmtId="0" fontId="25" fillId="5" borderId="24" xfId="0" applyFont="1" applyFill="1" applyBorder="1" applyAlignment="1">
      <alignment horizontal="center" vertical="top" wrapText="1"/>
    </xf>
    <xf numFmtId="0" fontId="25" fillId="5" borderId="25" xfId="0" applyFont="1" applyFill="1" applyBorder="1" applyAlignment="1">
      <alignment horizontal="center" vertical="top" wrapText="1"/>
    </xf>
    <xf numFmtId="0" fontId="25" fillId="5" borderId="26" xfId="0" applyFont="1" applyFill="1" applyBorder="1" applyAlignment="1">
      <alignment horizontal="center" vertical="top" wrapText="1"/>
    </xf>
    <xf numFmtId="0" fontId="25" fillId="0" borderId="45" xfId="0" applyFont="1" applyBorder="1" applyAlignment="1">
      <alignment horizontal="left" vertical="top" wrapText="1"/>
    </xf>
    <xf numFmtId="0" fontId="25" fillId="0" borderId="30" xfId="0" applyFont="1" applyBorder="1" applyAlignment="1">
      <alignment horizontal="left" vertical="top" wrapText="1"/>
    </xf>
    <xf numFmtId="0" fontId="23" fillId="7" borderId="41" xfId="0" applyFont="1" applyFill="1" applyBorder="1" applyAlignment="1">
      <alignment horizontal="center" vertical="center" wrapText="1"/>
    </xf>
    <xf numFmtId="0" fontId="12" fillId="2" borderId="59" xfId="0" applyFont="1" applyFill="1" applyBorder="1" applyAlignment="1">
      <alignment horizontal="center" vertical="center" wrapText="1"/>
    </xf>
    <xf numFmtId="0" fontId="12" fillId="2" borderId="116" xfId="0" applyFont="1" applyFill="1" applyBorder="1" applyAlignment="1">
      <alignment horizontal="center" vertical="center" wrapText="1"/>
    </xf>
    <xf numFmtId="0" fontId="12" fillId="2" borderId="89"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2" borderId="34" xfId="0" applyFont="1" applyFill="1" applyBorder="1" applyAlignment="1">
      <alignment horizontal="center" vertical="center" wrapText="1"/>
    </xf>
    <xf numFmtId="0" fontId="4" fillId="8" borderId="44" xfId="0" applyFont="1" applyFill="1" applyBorder="1" applyAlignment="1">
      <alignment horizontal="center" vertical="center"/>
    </xf>
    <xf numFmtId="0" fontId="4" fillId="8" borderId="23" xfId="0" applyFont="1" applyFill="1" applyBorder="1" applyAlignment="1">
      <alignment horizontal="center" vertical="center"/>
    </xf>
    <xf numFmtId="49" fontId="7" fillId="4" borderId="10" xfId="1" applyNumberFormat="1" applyFont="1" applyFill="1" applyBorder="1" applyAlignment="1">
      <alignment horizontal="center" vertical="center"/>
    </xf>
    <xf numFmtId="0" fontId="5" fillId="2" borderId="23" xfId="0" applyFont="1" applyFill="1" applyBorder="1" applyAlignment="1">
      <alignment horizontal="left" vertical="top"/>
    </xf>
    <xf numFmtId="0" fontId="17" fillId="6" borderId="50" xfId="0" applyFont="1" applyFill="1" applyBorder="1" applyAlignment="1">
      <alignment horizontal="center" vertical="center"/>
    </xf>
    <xf numFmtId="0" fontId="17" fillId="6" borderId="48" xfId="0" applyFont="1" applyFill="1" applyBorder="1" applyAlignment="1">
      <alignment horizontal="center" vertical="center"/>
    </xf>
    <xf numFmtId="0" fontId="17" fillId="0" borderId="48" xfId="0" applyFont="1" applyBorder="1" applyAlignment="1">
      <alignment horizontal="center" vertical="center"/>
    </xf>
    <xf numFmtId="0" fontId="17" fillId="0" borderId="49" xfId="0" applyFont="1" applyBorder="1" applyAlignment="1">
      <alignment horizontal="center" vertical="center"/>
    </xf>
    <xf numFmtId="0" fontId="15" fillId="3" borderId="60" xfId="0" applyFont="1" applyFill="1" applyBorder="1" applyAlignment="1">
      <alignment horizontal="left" vertical="center"/>
    </xf>
    <xf numFmtId="0" fontId="15" fillId="3" borderId="69" xfId="0" applyFont="1" applyFill="1" applyBorder="1" applyAlignment="1">
      <alignment horizontal="left" vertical="center"/>
    </xf>
    <xf numFmtId="0" fontId="15" fillId="3" borderId="19" xfId="0" applyFont="1" applyFill="1" applyBorder="1" applyAlignment="1">
      <alignment horizontal="left" vertical="center"/>
    </xf>
    <xf numFmtId="0" fontId="15" fillId="3" borderId="56" xfId="0" applyFont="1" applyFill="1" applyBorder="1" applyAlignment="1">
      <alignment horizontal="left" vertical="center"/>
    </xf>
    <xf numFmtId="0" fontId="17" fillId="2" borderId="26" xfId="0" applyFont="1" applyFill="1" applyBorder="1" applyAlignment="1">
      <alignment horizontal="left" vertical="center" wrapText="1"/>
    </xf>
    <xf numFmtId="0" fontId="44" fillId="2" borderId="41" xfId="0" applyFont="1" applyFill="1" applyBorder="1" applyAlignment="1">
      <alignment horizontal="left" vertical="top" wrapText="1"/>
    </xf>
    <xf numFmtId="0" fontId="44" fillId="2" borderId="25" xfId="0" applyFont="1" applyFill="1" applyBorder="1" applyAlignment="1">
      <alignment horizontal="left" vertical="top" wrapText="1"/>
    </xf>
    <xf numFmtId="0" fontId="44" fillId="2" borderId="42" xfId="0" applyFont="1" applyFill="1" applyBorder="1" applyAlignment="1">
      <alignment horizontal="left" vertical="top" wrapText="1"/>
    </xf>
    <xf numFmtId="0" fontId="29" fillId="0" borderId="0" xfId="0" applyFont="1" applyBorder="1" applyAlignment="1">
      <alignment horizontal="center" wrapText="1"/>
    </xf>
    <xf numFmtId="0" fontId="29" fillId="0" borderId="6" xfId="0" applyFont="1" applyBorder="1" applyAlignment="1">
      <alignment horizontal="center" wrapText="1"/>
    </xf>
    <xf numFmtId="0" fontId="4" fillId="4" borderId="12"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64" fillId="0" borderId="88" xfId="0" applyFont="1" applyBorder="1" applyAlignment="1">
      <alignment horizontal="center" vertical="center" wrapText="1"/>
    </xf>
    <xf numFmtId="0" fontId="4" fillId="7" borderId="10" xfId="0" applyFont="1" applyFill="1" applyBorder="1" applyAlignment="1">
      <alignment horizontal="center" vertical="center"/>
    </xf>
    <xf numFmtId="0" fontId="4" fillId="7" borderId="7" xfId="0" applyFont="1" applyFill="1" applyBorder="1" applyAlignment="1">
      <alignment horizontal="center" vertical="center"/>
    </xf>
    <xf numFmtId="0" fontId="15" fillId="3" borderId="18" xfId="0" applyFont="1" applyFill="1" applyBorder="1" applyAlignment="1">
      <alignment horizontal="left" vertical="center"/>
    </xf>
    <xf numFmtId="0" fontId="4" fillId="8" borderId="28" xfId="0" applyFont="1" applyFill="1" applyBorder="1" applyAlignment="1">
      <alignment horizontal="center" vertical="center"/>
    </xf>
    <xf numFmtId="0" fontId="4" fillId="8" borderId="30" xfId="0" applyFont="1" applyFill="1" applyBorder="1" applyAlignment="1">
      <alignment horizontal="center" vertical="center"/>
    </xf>
    <xf numFmtId="0" fontId="5" fillId="10" borderId="45" xfId="0" applyFont="1" applyFill="1" applyBorder="1" applyAlignment="1">
      <alignment horizontal="left" vertical="top" wrapText="1"/>
    </xf>
    <xf numFmtId="0" fontId="5" fillId="10" borderId="29" xfId="0" applyFont="1" applyFill="1" applyBorder="1" applyAlignment="1">
      <alignment horizontal="left" vertical="top" wrapText="1"/>
    </xf>
    <xf numFmtId="0" fontId="5" fillId="10" borderId="55" xfId="0" applyFont="1" applyFill="1" applyBorder="1" applyAlignment="1">
      <alignment horizontal="left" vertical="top" wrapText="1"/>
    </xf>
    <xf numFmtId="0" fontId="30" fillId="0" borderId="42" xfId="0" applyFont="1" applyBorder="1" applyAlignment="1">
      <alignment horizontal="left" vertical="top" wrapText="1"/>
    </xf>
    <xf numFmtId="0" fontId="30" fillId="5" borderId="25" xfId="0" applyFont="1" applyFill="1" applyBorder="1" applyAlignment="1">
      <alignment vertical="top" wrapText="1"/>
    </xf>
    <xf numFmtId="0" fontId="30" fillId="5" borderId="42" xfId="0" applyFont="1" applyFill="1" applyBorder="1" applyAlignment="1">
      <alignment vertical="top" wrapText="1"/>
    </xf>
    <xf numFmtId="0" fontId="53" fillId="5" borderId="24" xfId="0" applyFont="1" applyFill="1" applyBorder="1" applyAlignment="1">
      <alignment vertical="top" wrapText="1"/>
    </xf>
    <xf numFmtId="0" fontId="53" fillId="5" borderId="26" xfId="0" applyFont="1" applyFill="1" applyBorder="1" applyAlignment="1">
      <alignment vertical="top" wrapText="1"/>
    </xf>
    <xf numFmtId="0" fontId="25" fillId="0" borderId="42" xfId="0" applyFont="1" applyBorder="1" applyAlignment="1">
      <alignment vertical="top" wrapText="1"/>
    </xf>
    <xf numFmtId="0" fontId="25" fillId="0" borderId="41" xfId="0" applyFont="1" applyBorder="1" applyAlignment="1">
      <alignment vertical="top" wrapText="1"/>
    </xf>
    <xf numFmtId="0" fontId="25" fillId="0" borderId="64" xfId="0" applyFont="1" applyBorder="1" applyAlignment="1">
      <alignment horizontal="center" vertical="top" wrapText="1"/>
    </xf>
    <xf numFmtId="0" fontId="25" fillId="0" borderId="52" xfId="0" applyFont="1" applyBorder="1" applyAlignment="1">
      <alignment horizontal="center" vertical="top" wrapText="1"/>
    </xf>
    <xf numFmtId="0" fontId="25" fillId="0" borderId="65" xfId="0" applyFont="1" applyBorder="1" applyAlignment="1">
      <alignment horizontal="center" vertical="top" wrapText="1"/>
    </xf>
    <xf numFmtId="0" fontId="15" fillId="0" borderId="53" xfId="0" applyFont="1" applyBorder="1" applyAlignment="1">
      <alignment horizontal="center" vertical="center" wrapText="1"/>
    </xf>
    <xf numFmtId="0" fontId="15" fillId="0" borderId="54" xfId="0" applyFont="1" applyBorder="1" applyAlignment="1">
      <alignment horizontal="center" vertical="center" wrapText="1"/>
    </xf>
    <xf numFmtId="0" fontId="4" fillId="4" borderId="42" xfId="0" applyFont="1" applyFill="1" applyBorder="1" applyAlignment="1">
      <alignment horizontal="center" vertical="center"/>
    </xf>
    <xf numFmtId="0" fontId="4" fillId="2" borderId="23" xfId="0" applyFont="1" applyFill="1" applyBorder="1" applyAlignment="1">
      <alignment horizontal="left" vertical="top"/>
    </xf>
    <xf numFmtId="0" fontId="4" fillId="4" borderId="10" xfId="0" applyFont="1" applyFill="1" applyBorder="1" applyAlignment="1">
      <alignment horizontal="center" wrapText="1"/>
    </xf>
    <xf numFmtId="0" fontId="4" fillId="4" borderId="15" xfId="0" applyFont="1" applyFill="1" applyBorder="1" applyAlignment="1">
      <alignment horizontal="center" wrapText="1"/>
    </xf>
    <xf numFmtId="0" fontId="4" fillId="7" borderId="21" xfId="0" applyFont="1" applyFill="1" applyBorder="1" applyAlignment="1">
      <alignment horizontal="center" vertical="center"/>
    </xf>
    <xf numFmtId="0" fontId="4" fillId="7" borderId="46" xfId="0" applyFont="1" applyFill="1" applyBorder="1" applyAlignment="1">
      <alignment horizontal="center" vertical="center"/>
    </xf>
    <xf numFmtId="0" fontId="22" fillId="9" borderId="50" xfId="0" applyFont="1" applyFill="1" applyBorder="1" applyAlignment="1">
      <alignment horizontal="center" vertical="center" wrapText="1"/>
    </xf>
    <xf numFmtId="0" fontId="22" fillId="9" borderId="48" xfId="0" applyFont="1" applyFill="1" applyBorder="1" applyAlignment="1">
      <alignment horizontal="center" vertical="center" wrapText="1"/>
    </xf>
    <xf numFmtId="0" fontId="4" fillId="0" borderId="0" xfId="0" applyFont="1" applyAlignment="1">
      <alignment horizontal="center" wrapText="1"/>
    </xf>
    <xf numFmtId="0" fontId="17" fillId="0" borderId="48" xfId="0" applyFont="1" applyBorder="1" applyAlignment="1">
      <alignment horizontal="center" vertical="center" wrapText="1"/>
    </xf>
    <xf numFmtId="0" fontId="17" fillId="0" borderId="49" xfId="0" applyFont="1" applyBorder="1" applyAlignment="1">
      <alignment horizontal="center" vertical="center" wrapText="1"/>
    </xf>
    <xf numFmtId="0" fontId="4" fillId="2" borderId="44" xfId="0" applyFont="1" applyFill="1" applyBorder="1" applyAlignment="1">
      <alignment horizontal="left" vertical="top"/>
    </xf>
    <xf numFmtId="0" fontId="23" fillId="10" borderId="28" xfId="0" applyFont="1" applyFill="1" applyBorder="1" applyAlignment="1">
      <alignment horizontal="left" vertical="top" wrapText="1"/>
    </xf>
    <xf numFmtId="0" fontId="23" fillId="10" borderId="29" xfId="0" applyFont="1" applyFill="1" applyBorder="1" applyAlignment="1">
      <alignment horizontal="left" vertical="top" wrapText="1"/>
    </xf>
    <xf numFmtId="0" fontId="23" fillId="10" borderId="55" xfId="0" applyFont="1" applyFill="1" applyBorder="1" applyAlignment="1">
      <alignment horizontal="left" vertical="top" wrapText="1"/>
    </xf>
    <xf numFmtId="0" fontId="23" fillId="10" borderId="45" xfId="0" applyFont="1" applyFill="1" applyBorder="1" applyAlignment="1">
      <alignment horizontal="left" vertical="top" wrapText="1"/>
    </xf>
    <xf numFmtId="0" fontId="4" fillId="8" borderId="21" xfId="0" applyFont="1" applyFill="1" applyBorder="1" applyAlignment="1">
      <alignment horizontal="center" vertical="center"/>
    </xf>
    <xf numFmtId="0" fontId="4" fillId="8" borderId="46" xfId="0" applyFont="1" applyFill="1" applyBorder="1" applyAlignment="1">
      <alignment horizontal="center" vertical="center"/>
    </xf>
    <xf numFmtId="0" fontId="15" fillId="3" borderId="76" xfId="0" applyFont="1" applyFill="1" applyBorder="1" applyAlignment="1">
      <alignment horizontal="left" vertical="center"/>
    </xf>
    <xf numFmtId="0" fontId="15" fillId="3" borderId="67" xfId="0" applyFont="1" applyFill="1" applyBorder="1" applyAlignment="1">
      <alignment horizontal="left" vertical="center"/>
    </xf>
    <xf numFmtId="0" fontId="12" fillId="2" borderId="10"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30" fillId="6" borderId="24" xfId="0" applyFont="1" applyFill="1" applyBorder="1" applyAlignment="1">
      <alignment vertical="top" wrapText="1"/>
    </xf>
    <xf numFmtId="0" fontId="30" fillId="6" borderId="42" xfId="0" applyFont="1" applyFill="1" applyBorder="1" applyAlignment="1">
      <alignment vertical="top" wrapText="1"/>
    </xf>
    <xf numFmtId="0" fontId="4" fillId="8" borderId="38" xfId="0" applyFont="1" applyFill="1" applyBorder="1" applyAlignment="1">
      <alignment horizontal="center" vertical="center"/>
    </xf>
    <xf numFmtId="0" fontId="4" fillId="8" borderId="32" xfId="0" applyFont="1" applyFill="1" applyBorder="1" applyAlignment="1">
      <alignment horizontal="center" vertical="center"/>
    </xf>
    <xf numFmtId="0" fontId="25" fillId="12" borderId="61" xfId="0" applyFont="1" applyFill="1" applyBorder="1" applyAlignment="1">
      <alignment vertical="top" wrapText="1"/>
    </xf>
    <xf numFmtId="0" fontId="25" fillId="12" borderId="62" xfId="0" applyFont="1" applyFill="1" applyBorder="1" applyAlignment="1">
      <alignment vertical="top" wrapText="1"/>
    </xf>
    <xf numFmtId="0" fontId="25" fillId="12" borderId="63" xfId="0" applyFont="1" applyFill="1" applyBorder="1" applyAlignment="1">
      <alignment vertical="top" wrapText="1"/>
    </xf>
    <xf numFmtId="0" fontId="30" fillId="5" borderId="41" xfId="0" applyFont="1" applyFill="1" applyBorder="1" applyAlignment="1">
      <alignment vertical="top" wrapText="1"/>
    </xf>
    <xf numFmtId="0" fontId="25" fillId="5" borderId="41"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5" fillId="10" borderId="59" xfId="0" applyFont="1" applyFill="1" applyBorder="1" applyAlignment="1">
      <alignment horizontal="left" vertical="top" wrapText="1"/>
    </xf>
    <xf numFmtId="0" fontId="5" fillId="10" borderId="51" xfId="0" applyFont="1" applyFill="1" applyBorder="1" applyAlignment="1">
      <alignment horizontal="left" vertical="top" wrapText="1"/>
    </xf>
    <xf numFmtId="0" fontId="5" fillId="10" borderId="87" xfId="0" applyFont="1" applyFill="1" applyBorder="1" applyAlignment="1">
      <alignment horizontal="left" vertical="top" wrapText="1"/>
    </xf>
    <xf numFmtId="0" fontId="4" fillId="7" borderId="22" xfId="0" applyFont="1" applyFill="1" applyBorder="1" applyAlignment="1">
      <alignment horizontal="center" vertical="center"/>
    </xf>
    <xf numFmtId="0" fontId="27" fillId="2" borderId="65" xfId="0" applyFont="1" applyFill="1" applyBorder="1" applyAlignment="1">
      <alignment horizontal="center" vertical="top" wrapText="1"/>
    </xf>
    <xf numFmtId="0" fontId="30" fillId="0" borderId="42" xfId="0" applyFont="1" applyBorder="1" applyAlignment="1">
      <alignment vertical="top" wrapText="1"/>
    </xf>
    <xf numFmtId="0" fontId="25" fillId="12" borderId="68" xfId="0" applyFont="1" applyFill="1" applyBorder="1" applyAlignment="1">
      <alignment vertical="top" wrapText="1"/>
    </xf>
    <xf numFmtId="0" fontId="62" fillId="2" borderId="64" xfId="0" applyFont="1" applyFill="1" applyBorder="1" applyAlignment="1">
      <alignment horizontal="center" vertical="center" wrapText="1"/>
    </xf>
    <xf numFmtId="0" fontId="62" fillId="2" borderId="52" xfId="0" applyFont="1" applyFill="1" applyBorder="1" applyAlignment="1">
      <alignment horizontal="center" vertical="center" wrapText="1"/>
    </xf>
    <xf numFmtId="0" fontId="62" fillId="2" borderId="65" xfId="0" applyFont="1" applyFill="1" applyBorder="1" applyAlignment="1">
      <alignment horizontal="center" vertical="center" wrapText="1"/>
    </xf>
    <xf numFmtId="0" fontId="16" fillId="8" borderId="59" xfId="0" applyFont="1" applyFill="1" applyBorder="1" applyAlignment="1">
      <alignment horizontal="center" vertical="center" wrapText="1"/>
    </xf>
    <xf numFmtId="0" fontId="16" fillId="8" borderId="51" xfId="0" applyFont="1" applyFill="1" applyBorder="1" applyAlignment="1">
      <alignment horizontal="center" vertical="center" wrapText="1"/>
    </xf>
    <xf numFmtId="0" fontId="16" fillId="8" borderId="87" xfId="0" applyFont="1" applyFill="1" applyBorder="1" applyAlignment="1">
      <alignment horizontal="center" vertical="center" wrapText="1"/>
    </xf>
    <xf numFmtId="0" fontId="43" fillId="2" borderId="24" xfId="0" applyFont="1" applyFill="1" applyBorder="1" applyAlignment="1">
      <alignment horizontal="left" vertical="top" wrapText="1"/>
    </xf>
    <xf numFmtId="0" fontId="4" fillId="8" borderId="45" xfId="0" applyFont="1" applyFill="1" applyBorder="1" applyAlignment="1">
      <alignment horizontal="center" vertical="center"/>
    </xf>
    <xf numFmtId="0" fontId="54" fillId="5" borderId="24" xfId="0" applyFont="1" applyFill="1" applyBorder="1" applyAlignment="1">
      <alignment vertical="top" wrapText="1"/>
    </xf>
    <xf numFmtId="0" fontId="54" fillId="5" borderId="25" xfId="0" applyFont="1" applyFill="1" applyBorder="1" applyAlignment="1">
      <alignment vertical="top" wrapText="1"/>
    </xf>
    <xf numFmtId="0" fontId="54" fillId="5" borderId="26" xfId="0" applyFont="1" applyFill="1" applyBorder="1" applyAlignment="1">
      <alignment vertical="top" wrapText="1"/>
    </xf>
    <xf numFmtId="0" fontId="25" fillId="0" borderId="24" xfId="0" applyFont="1" applyBorder="1" applyAlignment="1">
      <alignment horizontal="center" vertical="top" wrapText="1"/>
    </xf>
    <xf numFmtId="0" fontId="25" fillId="0" borderId="26" xfId="0" applyFont="1" applyBorder="1" applyAlignment="1">
      <alignment horizontal="center" vertical="top" wrapText="1"/>
    </xf>
    <xf numFmtId="0" fontId="25" fillId="0" borderId="28" xfId="0" applyFont="1" applyBorder="1" applyAlignment="1">
      <alignment vertical="top" wrapText="1"/>
    </xf>
    <xf numFmtId="0" fontId="25" fillId="0" borderId="29" xfId="0" applyFont="1" applyBorder="1" applyAlignment="1">
      <alignment vertical="top" wrapText="1"/>
    </xf>
    <xf numFmtId="0" fontId="25" fillId="0" borderId="30" xfId="0" applyFont="1" applyBorder="1" applyAlignment="1">
      <alignment vertical="top" wrapText="1"/>
    </xf>
    <xf numFmtId="0" fontId="30" fillId="2" borderId="42" xfId="0" applyFont="1" applyFill="1" applyBorder="1" applyAlignment="1">
      <alignment vertical="top" wrapText="1"/>
    </xf>
    <xf numFmtId="0" fontId="53" fillId="5" borderId="42" xfId="0" applyFont="1" applyFill="1" applyBorder="1" applyAlignment="1">
      <alignment vertical="top" wrapText="1"/>
    </xf>
  </cellXfs>
  <cellStyles count="3">
    <cellStyle name="Neutral" xfId="2" builtinId="28"/>
    <cellStyle name="Normal" xfId="0" builtinId="0"/>
    <cellStyle name="Normal 3" xfId="1" xr:uid="{931A1C79-423E-4C1D-A52E-ECC68AACDB72}"/>
  </cellStyles>
  <dxfs count="943">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color theme="0"/>
      </font>
      <fill>
        <patternFill>
          <bgColor rgb="FFFF0000"/>
        </patternFill>
      </fill>
    </dxf>
    <dxf>
      <font>
        <b/>
        <i val="0"/>
        <color theme="1"/>
      </font>
      <fill>
        <patternFill>
          <bgColor rgb="FFFFFF00"/>
        </patternFill>
      </fill>
    </dxf>
    <dxf>
      <font>
        <color theme="0"/>
      </font>
      <fill>
        <patternFill>
          <bgColor rgb="FFFF00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942"/>
      <tableStyleElement type="headerRow" dxfId="94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AM298"/>
  <sheetViews>
    <sheetView showGridLines="0" showWhiteSpace="0" zoomScale="55" zoomScaleNormal="55" zoomScalePageLayoutView="30" workbookViewId="0">
      <pane xSplit="4" ySplit="2" topLeftCell="E74" activePane="bottomRight" state="frozen"/>
      <selection pane="topRight" activeCell="D1" sqref="D1"/>
      <selection pane="bottomLeft" activeCell="A3" sqref="A3"/>
      <selection pane="bottomRight" activeCell="C80" sqref="C80"/>
    </sheetView>
  </sheetViews>
  <sheetFormatPr defaultColWidth="9" defaultRowHeight="36.75" x14ac:dyDescent="0.5"/>
  <cols>
    <col min="1" max="1" width="6.42578125" style="250" customWidth="1"/>
    <col min="2" max="2" width="66.42578125" style="17" customWidth="1" collapsed="1"/>
    <col min="3" max="3" width="79.5703125" style="476" customWidth="1" collapsed="1"/>
    <col min="4" max="4" width="20.140625" style="254" bestFit="1" customWidth="1" collapsed="1"/>
    <col min="5" max="5" width="116.140625" style="378" customWidth="1" collapsed="1"/>
    <col min="6" max="6" width="86" style="121" customWidth="1" collapsed="1"/>
    <col min="7" max="35" width="9" style="118"/>
    <col min="36" max="16384" width="9" style="118" collapsed="1"/>
  </cols>
  <sheetData>
    <row r="1" spans="1:6" s="114" customFormat="1" ht="79.5" customHeight="1" x14ac:dyDescent="0.8">
      <c r="A1" s="246"/>
      <c r="B1" s="535" t="s">
        <v>110</v>
      </c>
      <c r="C1" s="536"/>
      <c r="D1" s="536"/>
      <c r="E1" s="536"/>
      <c r="F1" s="369"/>
    </row>
    <row r="2" spans="1:6" s="116" customFormat="1" ht="38.25" x14ac:dyDescent="0.8">
      <c r="A2" s="248"/>
      <c r="B2" s="16" t="s">
        <v>37</v>
      </c>
      <c r="C2" s="455" t="s">
        <v>38</v>
      </c>
      <c r="D2" s="247" t="s">
        <v>145</v>
      </c>
      <c r="E2" s="370" t="s">
        <v>36</v>
      </c>
      <c r="F2" s="115" t="s">
        <v>134</v>
      </c>
    </row>
    <row r="3" spans="1:6" s="116" customFormat="1" ht="7.5" customHeight="1" thickBot="1" x14ac:dyDescent="0.85">
      <c r="A3" s="248"/>
      <c r="B3" s="352"/>
      <c r="C3" s="456"/>
      <c r="D3" s="353"/>
      <c r="E3" s="371"/>
      <c r="F3" s="354"/>
    </row>
    <row r="4" spans="1:6" s="117" customFormat="1" ht="39" thickBot="1" x14ac:dyDescent="0.55000000000000004">
      <c r="A4" s="249"/>
      <c r="B4" s="554" t="s">
        <v>471</v>
      </c>
      <c r="C4" s="555"/>
      <c r="D4" s="555"/>
      <c r="E4" s="555"/>
      <c r="F4" s="556"/>
    </row>
    <row r="5" spans="1:6" ht="38.25" x14ac:dyDescent="0.7">
      <c r="B5" s="557" t="s">
        <v>875</v>
      </c>
      <c r="C5" s="457" t="s">
        <v>724</v>
      </c>
      <c r="D5" s="389" t="s">
        <v>473</v>
      </c>
      <c r="E5" s="382" t="s">
        <v>725</v>
      </c>
      <c r="F5" s="383" t="s">
        <v>1048</v>
      </c>
    </row>
    <row r="6" spans="1:6" ht="73.5" x14ac:dyDescent="0.7">
      <c r="B6" s="558"/>
      <c r="C6" s="458" t="s">
        <v>727</v>
      </c>
      <c r="D6" s="357" t="s">
        <v>474</v>
      </c>
      <c r="E6" s="372" t="s">
        <v>728</v>
      </c>
      <c r="F6" s="379" t="s">
        <v>729</v>
      </c>
    </row>
    <row r="7" spans="1:6" ht="74.25" thickBot="1" x14ac:dyDescent="0.75">
      <c r="B7" s="559"/>
      <c r="C7" s="459" t="s">
        <v>730</v>
      </c>
      <c r="D7" s="394" t="s">
        <v>475</v>
      </c>
      <c r="E7" s="380" t="s">
        <v>731</v>
      </c>
      <c r="F7" s="381" t="s">
        <v>729</v>
      </c>
    </row>
    <row r="8" spans="1:6" s="207" customFormat="1" ht="38.25" x14ac:dyDescent="0.5">
      <c r="B8" s="557" t="s">
        <v>876</v>
      </c>
      <c r="C8" s="460" t="s">
        <v>885</v>
      </c>
      <c r="D8" s="390" t="s">
        <v>878</v>
      </c>
      <c r="E8" s="384" t="s">
        <v>725</v>
      </c>
      <c r="F8" s="385" t="s">
        <v>1048</v>
      </c>
    </row>
    <row r="9" spans="1:6" s="207" customFormat="1" ht="73.5" hidden="1" x14ac:dyDescent="0.5">
      <c r="B9" s="558"/>
      <c r="C9" s="458" t="s">
        <v>653</v>
      </c>
      <c r="D9" s="357" t="s">
        <v>879</v>
      </c>
      <c r="E9" s="373" t="s">
        <v>728</v>
      </c>
      <c r="F9" s="386" t="s">
        <v>729</v>
      </c>
    </row>
    <row r="10" spans="1:6" s="207" customFormat="1" ht="74.25" hidden="1" thickBot="1" x14ac:dyDescent="0.55000000000000004">
      <c r="B10" s="559"/>
      <c r="C10" s="459" t="s">
        <v>472</v>
      </c>
      <c r="D10" s="394" t="s">
        <v>880</v>
      </c>
      <c r="E10" s="387" t="s">
        <v>731</v>
      </c>
      <c r="F10" s="388" t="s">
        <v>729</v>
      </c>
    </row>
    <row r="11" spans="1:6" s="207" customFormat="1" ht="38.25" hidden="1" x14ac:dyDescent="0.5">
      <c r="B11" s="564" t="s">
        <v>877</v>
      </c>
      <c r="C11" s="461" t="s">
        <v>886</v>
      </c>
      <c r="D11" s="390" t="s">
        <v>882</v>
      </c>
      <c r="E11" s="384" t="s">
        <v>725</v>
      </c>
      <c r="F11" s="385" t="s">
        <v>726</v>
      </c>
    </row>
    <row r="12" spans="1:6" s="207" customFormat="1" ht="73.5" hidden="1" x14ac:dyDescent="0.5">
      <c r="B12" s="565"/>
      <c r="C12" s="431" t="s">
        <v>653</v>
      </c>
      <c r="D12" s="357" t="s">
        <v>883</v>
      </c>
      <c r="E12" s="373" t="s">
        <v>728</v>
      </c>
      <c r="F12" s="386" t="s">
        <v>729</v>
      </c>
    </row>
    <row r="13" spans="1:6" s="207" customFormat="1" ht="74.25" hidden="1" thickBot="1" x14ac:dyDescent="0.55000000000000004">
      <c r="B13" s="566"/>
      <c r="C13" s="462" t="s">
        <v>472</v>
      </c>
      <c r="D13" s="394" t="s">
        <v>884</v>
      </c>
      <c r="E13" s="387" t="s">
        <v>731</v>
      </c>
      <c r="F13" s="388" t="s">
        <v>729</v>
      </c>
    </row>
    <row r="14" spans="1:6" ht="39" thickBot="1" x14ac:dyDescent="0.55000000000000004">
      <c r="B14" s="560" t="s">
        <v>12</v>
      </c>
      <c r="C14" s="560"/>
      <c r="D14" s="560"/>
      <c r="E14" s="560"/>
      <c r="F14" s="560"/>
    </row>
    <row r="15" spans="1:6" ht="147" x14ac:dyDescent="0.7">
      <c r="B15" s="561" t="s">
        <v>121</v>
      </c>
      <c r="C15" s="460" t="s">
        <v>642</v>
      </c>
      <c r="D15" s="390" t="s">
        <v>144</v>
      </c>
      <c r="E15" s="391" t="s">
        <v>92</v>
      </c>
      <c r="F15" s="392" t="s">
        <v>632</v>
      </c>
    </row>
    <row r="16" spans="1:6" ht="110.25" x14ac:dyDescent="0.7">
      <c r="B16" s="562"/>
      <c r="C16" s="463" t="s">
        <v>643</v>
      </c>
      <c r="D16" s="357" t="s">
        <v>146</v>
      </c>
      <c r="E16" s="374" t="s">
        <v>93</v>
      </c>
      <c r="F16" s="393" t="s">
        <v>633</v>
      </c>
    </row>
    <row r="17" spans="2:6" ht="110.25" x14ac:dyDescent="0.7">
      <c r="B17" s="562"/>
      <c r="C17" s="463" t="s">
        <v>147</v>
      </c>
      <c r="D17" s="357" t="s">
        <v>348</v>
      </c>
      <c r="E17" s="374" t="s">
        <v>625</v>
      </c>
      <c r="F17" s="393" t="s">
        <v>634</v>
      </c>
    </row>
    <row r="18" spans="2:6" ht="73.5" x14ac:dyDescent="0.7">
      <c r="B18" s="562"/>
      <c r="C18" s="458" t="s">
        <v>148</v>
      </c>
      <c r="D18" s="357" t="s">
        <v>149</v>
      </c>
      <c r="E18" s="374" t="s">
        <v>43</v>
      </c>
      <c r="F18" s="393" t="s">
        <v>635</v>
      </c>
    </row>
    <row r="19" spans="2:6" ht="73.5" x14ac:dyDescent="0.7">
      <c r="B19" s="562"/>
      <c r="C19" s="458" t="s">
        <v>161</v>
      </c>
      <c r="D19" s="357" t="s">
        <v>150</v>
      </c>
      <c r="E19" s="374" t="s">
        <v>151</v>
      </c>
      <c r="F19" s="393" t="s">
        <v>636</v>
      </c>
    </row>
    <row r="20" spans="2:6" ht="73.5" x14ac:dyDescent="0.7">
      <c r="B20" s="562"/>
      <c r="C20" s="464" t="s">
        <v>153</v>
      </c>
      <c r="D20" s="359" t="s">
        <v>152</v>
      </c>
      <c r="E20" s="374" t="s">
        <v>39</v>
      </c>
      <c r="F20" s="393" t="s">
        <v>327</v>
      </c>
    </row>
    <row r="21" spans="2:6" ht="73.5" x14ac:dyDescent="0.7">
      <c r="B21" s="562"/>
      <c r="C21" s="458" t="s">
        <v>154</v>
      </c>
      <c r="D21" s="357" t="s">
        <v>155</v>
      </c>
      <c r="E21" s="374" t="s">
        <v>40</v>
      </c>
      <c r="F21" s="393" t="s">
        <v>637</v>
      </c>
    </row>
    <row r="22" spans="2:6" ht="73.5" x14ac:dyDescent="0.7">
      <c r="B22" s="562"/>
      <c r="C22" s="458" t="s">
        <v>644</v>
      </c>
      <c r="D22" s="357" t="s">
        <v>156</v>
      </c>
      <c r="E22" s="374" t="s">
        <v>41</v>
      </c>
      <c r="F22" s="393" t="s">
        <v>638</v>
      </c>
    </row>
    <row r="23" spans="2:6" ht="74.25" thickBot="1" x14ac:dyDescent="0.75">
      <c r="B23" s="563"/>
      <c r="C23" s="459" t="s">
        <v>157</v>
      </c>
      <c r="D23" s="394" t="s">
        <v>158</v>
      </c>
      <c r="E23" s="395" t="s">
        <v>42</v>
      </c>
      <c r="F23" s="396" t="s">
        <v>159</v>
      </c>
    </row>
    <row r="24" spans="2:6" ht="110.25" x14ac:dyDescent="0.7">
      <c r="B24" s="548" t="s">
        <v>13</v>
      </c>
      <c r="C24" s="461" t="s">
        <v>161</v>
      </c>
      <c r="D24" s="390" t="s">
        <v>160</v>
      </c>
      <c r="E24" s="391" t="s">
        <v>94</v>
      </c>
      <c r="F24" s="392" t="s">
        <v>639</v>
      </c>
    </row>
    <row r="25" spans="2:6" ht="111" thickBot="1" x14ac:dyDescent="0.75">
      <c r="B25" s="549"/>
      <c r="C25" s="465" t="s">
        <v>153</v>
      </c>
      <c r="D25" s="394" t="s">
        <v>162</v>
      </c>
      <c r="E25" s="395" t="s">
        <v>102</v>
      </c>
      <c r="F25" s="396" t="s">
        <v>639</v>
      </c>
    </row>
    <row r="26" spans="2:6" ht="73.5" x14ac:dyDescent="0.7">
      <c r="B26" s="548" t="s">
        <v>14</v>
      </c>
      <c r="C26" s="461" t="s">
        <v>974</v>
      </c>
      <c r="D26" s="390" t="s">
        <v>163</v>
      </c>
      <c r="E26" s="391" t="s">
        <v>95</v>
      </c>
      <c r="F26" s="392" t="s">
        <v>639</v>
      </c>
    </row>
    <row r="27" spans="2:6" ht="74.25" thickBot="1" x14ac:dyDescent="0.75">
      <c r="B27" s="549"/>
      <c r="C27" s="465" t="s">
        <v>463</v>
      </c>
      <c r="D27" s="394" t="s">
        <v>164</v>
      </c>
      <c r="E27" s="395" t="s">
        <v>103</v>
      </c>
      <c r="F27" s="396" t="s">
        <v>639</v>
      </c>
    </row>
    <row r="28" spans="2:6" ht="73.5" x14ac:dyDescent="0.7">
      <c r="B28" s="548" t="s">
        <v>15</v>
      </c>
      <c r="C28" s="461" t="s">
        <v>974</v>
      </c>
      <c r="D28" s="390" t="s">
        <v>165</v>
      </c>
      <c r="E28" s="391" t="s">
        <v>96</v>
      </c>
      <c r="F28" s="392" t="s">
        <v>639</v>
      </c>
    </row>
    <row r="29" spans="2:6" ht="74.25" thickBot="1" x14ac:dyDescent="0.75">
      <c r="B29" s="549"/>
      <c r="C29" s="465" t="s">
        <v>463</v>
      </c>
      <c r="D29" s="394" t="s">
        <v>166</v>
      </c>
      <c r="E29" s="395" t="s">
        <v>104</v>
      </c>
      <c r="F29" s="396" t="s">
        <v>639</v>
      </c>
    </row>
    <row r="30" spans="2:6" ht="38.25" x14ac:dyDescent="0.7">
      <c r="B30" s="548" t="s">
        <v>443</v>
      </c>
      <c r="C30" s="461" t="s">
        <v>975</v>
      </c>
      <c r="D30" s="390" t="s">
        <v>167</v>
      </c>
      <c r="E30" s="391" t="s">
        <v>97</v>
      </c>
      <c r="F30" s="392" t="s">
        <v>639</v>
      </c>
    </row>
    <row r="31" spans="2:6" ht="74.25" thickBot="1" x14ac:dyDescent="0.75">
      <c r="B31" s="549"/>
      <c r="C31" s="465" t="s">
        <v>463</v>
      </c>
      <c r="D31" s="394" t="s">
        <v>168</v>
      </c>
      <c r="E31" s="395" t="s">
        <v>105</v>
      </c>
      <c r="F31" s="396" t="s">
        <v>639</v>
      </c>
    </row>
    <row r="32" spans="2:6" ht="73.5" x14ac:dyDescent="0.7">
      <c r="B32" s="548" t="s">
        <v>16</v>
      </c>
      <c r="C32" s="461" t="s">
        <v>975</v>
      </c>
      <c r="D32" s="390" t="s">
        <v>169</v>
      </c>
      <c r="E32" s="391" t="s">
        <v>98</v>
      </c>
      <c r="F32" s="392" t="s">
        <v>639</v>
      </c>
    </row>
    <row r="33" spans="1:6" ht="74.25" thickBot="1" x14ac:dyDescent="0.75">
      <c r="B33" s="549"/>
      <c r="C33" s="465" t="s">
        <v>463</v>
      </c>
      <c r="D33" s="394" t="s">
        <v>170</v>
      </c>
      <c r="E33" s="395" t="s">
        <v>106</v>
      </c>
      <c r="F33" s="396" t="s">
        <v>639</v>
      </c>
    </row>
    <row r="34" spans="1:6" ht="73.5" x14ac:dyDescent="0.7">
      <c r="B34" s="548" t="s">
        <v>17</v>
      </c>
      <c r="C34" s="461" t="s">
        <v>975</v>
      </c>
      <c r="D34" s="390" t="s">
        <v>349</v>
      </c>
      <c r="E34" s="391" t="s">
        <v>99</v>
      </c>
      <c r="F34" s="392" t="s">
        <v>639</v>
      </c>
    </row>
    <row r="35" spans="1:6" s="119" customFormat="1" ht="74.25" thickBot="1" x14ac:dyDescent="0.3">
      <c r="A35" s="251"/>
      <c r="B35" s="549"/>
      <c r="C35" s="465" t="s">
        <v>463</v>
      </c>
      <c r="D35" s="394" t="s">
        <v>171</v>
      </c>
      <c r="E35" s="397" t="s">
        <v>107</v>
      </c>
      <c r="F35" s="398" t="s">
        <v>639</v>
      </c>
    </row>
    <row r="36" spans="1:6" ht="110.25" x14ac:dyDescent="0.7">
      <c r="B36" s="548" t="s">
        <v>22</v>
      </c>
      <c r="C36" s="461" t="s">
        <v>975</v>
      </c>
      <c r="D36" s="390" t="s">
        <v>172</v>
      </c>
      <c r="E36" s="391" t="s">
        <v>100</v>
      </c>
      <c r="F36" s="392" t="s">
        <v>639</v>
      </c>
    </row>
    <row r="37" spans="1:6" ht="147.75" thickBot="1" x14ac:dyDescent="0.75">
      <c r="B37" s="549"/>
      <c r="C37" s="465" t="s">
        <v>463</v>
      </c>
      <c r="D37" s="394" t="s">
        <v>173</v>
      </c>
      <c r="E37" s="395" t="s">
        <v>108</v>
      </c>
      <c r="F37" s="396" t="s">
        <v>639</v>
      </c>
    </row>
    <row r="38" spans="1:6" ht="73.5" x14ac:dyDescent="0.7">
      <c r="B38" s="548" t="s">
        <v>18</v>
      </c>
      <c r="C38" s="461" t="s">
        <v>975</v>
      </c>
      <c r="D38" s="390" t="s">
        <v>174</v>
      </c>
      <c r="E38" s="391" t="s">
        <v>101</v>
      </c>
      <c r="F38" s="392" t="s">
        <v>639</v>
      </c>
    </row>
    <row r="39" spans="1:6" ht="111" thickBot="1" x14ac:dyDescent="0.75">
      <c r="B39" s="549"/>
      <c r="C39" s="465" t="s">
        <v>463</v>
      </c>
      <c r="D39" s="394" t="s">
        <v>175</v>
      </c>
      <c r="E39" s="395" t="s">
        <v>109</v>
      </c>
      <c r="F39" s="396" t="s">
        <v>639</v>
      </c>
    </row>
    <row r="40" spans="1:6" ht="73.5" x14ac:dyDescent="0.7">
      <c r="B40" s="548" t="s">
        <v>113</v>
      </c>
      <c r="C40" s="461" t="s">
        <v>975</v>
      </c>
      <c r="D40" s="390" t="s">
        <v>350</v>
      </c>
      <c r="E40" s="391" t="s">
        <v>136</v>
      </c>
      <c r="F40" s="392" t="s">
        <v>639</v>
      </c>
    </row>
    <row r="41" spans="1:6" ht="74.25" thickBot="1" x14ac:dyDescent="0.75">
      <c r="B41" s="549"/>
      <c r="C41" s="465" t="s">
        <v>463</v>
      </c>
      <c r="D41" s="394" t="s">
        <v>176</v>
      </c>
      <c r="E41" s="395" t="s">
        <v>626</v>
      </c>
      <c r="F41" s="396" t="s">
        <v>639</v>
      </c>
    </row>
    <row r="42" spans="1:6" ht="73.5" x14ac:dyDescent="0.7">
      <c r="B42" s="399" t="s">
        <v>132</v>
      </c>
      <c r="C42" s="268" t="s">
        <v>646</v>
      </c>
      <c r="D42" s="389" t="s">
        <v>351</v>
      </c>
      <c r="E42" s="382" t="s">
        <v>1021</v>
      </c>
      <c r="F42" s="400"/>
    </row>
    <row r="43" spans="1:6" ht="73.5" x14ac:dyDescent="0.7">
      <c r="B43" s="360"/>
      <c r="C43" s="405" t="s">
        <v>655</v>
      </c>
      <c r="D43" s="357" t="s">
        <v>352</v>
      </c>
      <c r="E43" s="372" t="s">
        <v>1022</v>
      </c>
      <c r="F43" s="355"/>
    </row>
    <row r="44" spans="1:6" ht="38.25" x14ac:dyDescent="0.5">
      <c r="B44" s="538" t="s">
        <v>112</v>
      </c>
      <c r="C44" s="538"/>
      <c r="D44" s="538"/>
      <c r="E44" s="538"/>
      <c r="F44" s="538"/>
    </row>
    <row r="45" spans="1:6" ht="110.25" x14ac:dyDescent="0.7">
      <c r="B45" s="534" t="s">
        <v>20</v>
      </c>
      <c r="C45" s="431" t="s">
        <v>976</v>
      </c>
      <c r="D45" s="357" t="s">
        <v>177</v>
      </c>
      <c r="E45" s="374" t="s">
        <v>44</v>
      </c>
      <c r="F45" s="358" t="s">
        <v>183</v>
      </c>
    </row>
    <row r="46" spans="1:6" ht="73.5" x14ac:dyDescent="0.7">
      <c r="B46" s="534"/>
      <c r="C46" s="431" t="s">
        <v>178</v>
      </c>
      <c r="D46" s="357" t="s">
        <v>179</v>
      </c>
      <c r="E46" s="374" t="s">
        <v>122</v>
      </c>
      <c r="F46" s="358"/>
    </row>
    <row r="47" spans="1:6" ht="73.5" x14ac:dyDescent="0.7">
      <c r="B47" s="534"/>
      <c r="C47" s="431" t="s">
        <v>329</v>
      </c>
      <c r="D47" s="357" t="s">
        <v>180</v>
      </c>
      <c r="E47" s="374" t="s">
        <v>45</v>
      </c>
      <c r="F47" s="358"/>
    </row>
    <row r="48" spans="1:6" ht="73.5" x14ac:dyDescent="0.7">
      <c r="B48" s="534"/>
      <c r="C48" s="466" t="s">
        <v>977</v>
      </c>
      <c r="D48" s="357" t="s">
        <v>181</v>
      </c>
      <c r="E48" s="374" t="s">
        <v>46</v>
      </c>
      <c r="F48" s="358"/>
    </row>
    <row r="49" spans="2:6" ht="111" thickBot="1" x14ac:dyDescent="0.75">
      <c r="B49" s="534"/>
      <c r="C49" s="466" t="s">
        <v>330</v>
      </c>
      <c r="D49" s="357" t="s">
        <v>182</v>
      </c>
      <c r="E49" s="374" t="s">
        <v>47</v>
      </c>
      <c r="F49" s="358"/>
    </row>
    <row r="50" spans="2:6" s="250" customFormat="1" ht="73.5" x14ac:dyDescent="0.7">
      <c r="B50" s="550" t="s">
        <v>1064</v>
      </c>
      <c r="C50" s="264" t="s">
        <v>161</v>
      </c>
      <c r="D50" s="357" t="s">
        <v>1068</v>
      </c>
      <c r="E50" s="374" t="s">
        <v>1074</v>
      </c>
      <c r="F50" s="358" t="s">
        <v>1075</v>
      </c>
    </row>
    <row r="51" spans="2:6" s="250" customFormat="1" ht="74.25" thickBot="1" x14ac:dyDescent="0.75">
      <c r="B51" s="551"/>
      <c r="C51" s="265" t="s">
        <v>153</v>
      </c>
      <c r="D51" s="357" t="s">
        <v>1069</v>
      </c>
      <c r="E51" s="374" t="s">
        <v>1076</v>
      </c>
      <c r="F51" s="358" t="s">
        <v>1075</v>
      </c>
    </row>
    <row r="52" spans="2:6" ht="38.25" x14ac:dyDescent="0.5">
      <c r="B52" s="538" t="s">
        <v>125</v>
      </c>
      <c r="C52" s="538"/>
      <c r="D52" s="538"/>
      <c r="E52" s="538"/>
      <c r="F52" s="538"/>
    </row>
    <row r="53" spans="2:6" ht="73.5" x14ac:dyDescent="0.7">
      <c r="B53" s="545" t="s">
        <v>590</v>
      </c>
      <c r="C53" s="431" t="s">
        <v>978</v>
      </c>
      <c r="D53" s="357" t="s">
        <v>187</v>
      </c>
      <c r="E53" s="374" t="s">
        <v>49</v>
      </c>
      <c r="F53" s="358" t="s">
        <v>200</v>
      </c>
    </row>
    <row r="54" spans="2:6" ht="38.25" x14ac:dyDescent="0.7">
      <c r="B54" s="545"/>
      <c r="C54" s="431" t="s">
        <v>732</v>
      </c>
      <c r="D54" s="357" t="s">
        <v>564</v>
      </c>
      <c r="E54" s="372" t="s">
        <v>733</v>
      </c>
      <c r="F54" s="355" t="s">
        <v>734</v>
      </c>
    </row>
    <row r="55" spans="2:6" ht="73.5" x14ac:dyDescent="0.7">
      <c r="B55" s="545"/>
      <c r="C55" s="431" t="s">
        <v>735</v>
      </c>
      <c r="D55" s="357" t="s">
        <v>565</v>
      </c>
      <c r="E55" s="372" t="s">
        <v>736</v>
      </c>
      <c r="F55" s="355" t="s">
        <v>734</v>
      </c>
    </row>
    <row r="56" spans="2:6" ht="183.75" x14ac:dyDescent="0.7">
      <c r="B56" s="545"/>
      <c r="C56" s="431" t="s">
        <v>979</v>
      </c>
      <c r="D56" s="357" t="s">
        <v>188</v>
      </c>
      <c r="E56" s="374" t="s">
        <v>48</v>
      </c>
      <c r="F56" s="358" t="s">
        <v>201</v>
      </c>
    </row>
    <row r="57" spans="2:6" ht="110.25" x14ac:dyDescent="0.7">
      <c r="B57" s="361" t="s">
        <v>591</v>
      </c>
      <c r="C57" s="362" t="s">
        <v>645</v>
      </c>
      <c r="D57" s="357" t="s">
        <v>189</v>
      </c>
      <c r="E57" s="374" t="s">
        <v>120</v>
      </c>
      <c r="F57" s="358" t="s">
        <v>202</v>
      </c>
    </row>
    <row r="58" spans="2:6" ht="73.5" x14ac:dyDescent="0.7">
      <c r="B58" s="545" t="s">
        <v>583</v>
      </c>
      <c r="C58" s="466" t="s">
        <v>396</v>
      </c>
      <c r="D58" s="357" t="s">
        <v>584</v>
      </c>
      <c r="E58" s="372" t="s">
        <v>737</v>
      </c>
      <c r="F58" s="355" t="s">
        <v>738</v>
      </c>
    </row>
    <row r="59" spans="2:6" ht="73.5" x14ac:dyDescent="0.7">
      <c r="B59" s="545"/>
      <c r="C59" s="466" t="s">
        <v>391</v>
      </c>
      <c r="D59" s="357" t="s">
        <v>585</v>
      </c>
      <c r="E59" s="372" t="s">
        <v>739</v>
      </c>
      <c r="F59" s="355" t="s">
        <v>738</v>
      </c>
    </row>
    <row r="60" spans="2:6" ht="73.5" x14ac:dyDescent="0.7">
      <c r="B60" s="545"/>
      <c r="C60" s="431" t="s">
        <v>392</v>
      </c>
      <c r="D60" s="357" t="s">
        <v>586</v>
      </c>
      <c r="E60" s="372" t="s">
        <v>740</v>
      </c>
      <c r="F60" s="355" t="s">
        <v>738</v>
      </c>
    </row>
    <row r="61" spans="2:6" ht="73.5" x14ac:dyDescent="0.7">
      <c r="B61" s="545"/>
      <c r="C61" s="431" t="s">
        <v>393</v>
      </c>
      <c r="D61" s="357" t="s">
        <v>587</v>
      </c>
      <c r="E61" s="372" t="s">
        <v>741</v>
      </c>
      <c r="F61" s="355" t="s">
        <v>738</v>
      </c>
    </row>
    <row r="62" spans="2:6" ht="73.5" x14ac:dyDescent="0.7">
      <c r="B62" s="545"/>
      <c r="C62" s="431" t="s">
        <v>394</v>
      </c>
      <c r="D62" s="357" t="s">
        <v>588</v>
      </c>
      <c r="E62" s="372" t="s">
        <v>742</v>
      </c>
      <c r="F62" s="355" t="s">
        <v>738</v>
      </c>
    </row>
    <row r="63" spans="2:6" ht="73.5" x14ac:dyDescent="0.7">
      <c r="B63" s="545"/>
      <c r="C63" s="431" t="s">
        <v>395</v>
      </c>
      <c r="D63" s="357" t="s">
        <v>589</v>
      </c>
      <c r="E63" s="372" t="s">
        <v>743</v>
      </c>
      <c r="F63" s="355" t="s">
        <v>738</v>
      </c>
    </row>
    <row r="64" spans="2:6" ht="73.5" x14ac:dyDescent="0.7">
      <c r="B64" s="545" t="s">
        <v>592</v>
      </c>
      <c r="C64" s="431" t="s">
        <v>562</v>
      </c>
      <c r="D64" s="357" t="s">
        <v>353</v>
      </c>
      <c r="E64" s="374" t="s">
        <v>744</v>
      </c>
      <c r="F64" s="358" t="s">
        <v>745</v>
      </c>
    </row>
    <row r="65" spans="2:6" ht="73.5" x14ac:dyDescent="0.7">
      <c r="B65" s="545"/>
      <c r="C65" s="431" t="s">
        <v>746</v>
      </c>
      <c r="D65" s="357" t="s">
        <v>568</v>
      </c>
      <c r="E65" s="372" t="s">
        <v>747</v>
      </c>
      <c r="F65" s="355" t="s">
        <v>748</v>
      </c>
    </row>
    <row r="66" spans="2:6" ht="73.5" x14ac:dyDescent="0.7">
      <c r="B66" s="545"/>
      <c r="C66" s="431" t="s">
        <v>749</v>
      </c>
      <c r="D66" s="357" t="s">
        <v>569</v>
      </c>
      <c r="E66" s="372" t="s">
        <v>750</v>
      </c>
      <c r="F66" s="355" t="s">
        <v>751</v>
      </c>
    </row>
    <row r="67" spans="2:6" ht="73.5" x14ac:dyDescent="0.7">
      <c r="B67" s="545"/>
      <c r="C67" s="431" t="s">
        <v>980</v>
      </c>
      <c r="D67" s="357" t="s">
        <v>190</v>
      </c>
      <c r="E67" s="374" t="s">
        <v>50</v>
      </c>
      <c r="F67" s="358" t="s">
        <v>203</v>
      </c>
    </row>
    <row r="68" spans="2:6" ht="110.25" x14ac:dyDescent="0.7">
      <c r="B68" s="545"/>
      <c r="C68" s="362" t="s">
        <v>570</v>
      </c>
      <c r="D68" s="357" t="s">
        <v>571</v>
      </c>
      <c r="E68" s="372" t="s">
        <v>752</v>
      </c>
      <c r="F68" s="355" t="s">
        <v>753</v>
      </c>
    </row>
    <row r="69" spans="2:6" ht="110.25" x14ac:dyDescent="0.7">
      <c r="B69" s="545" t="s">
        <v>582</v>
      </c>
      <c r="C69" s="431" t="s">
        <v>396</v>
      </c>
      <c r="D69" s="357" t="s">
        <v>593</v>
      </c>
      <c r="E69" s="372" t="s">
        <v>754</v>
      </c>
      <c r="F69" s="355"/>
    </row>
    <row r="70" spans="2:6" ht="110.25" x14ac:dyDescent="0.7">
      <c r="B70" s="545"/>
      <c r="C70" s="431" t="s">
        <v>391</v>
      </c>
      <c r="D70" s="357" t="s">
        <v>594</v>
      </c>
      <c r="E70" s="372" t="s">
        <v>755</v>
      </c>
      <c r="F70" s="355"/>
    </row>
    <row r="71" spans="2:6" ht="110.25" x14ac:dyDescent="0.7">
      <c r="B71" s="545"/>
      <c r="C71" s="431" t="s">
        <v>392</v>
      </c>
      <c r="D71" s="357" t="s">
        <v>595</v>
      </c>
      <c r="E71" s="372" t="s">
        <v>756</v>
      </c>
      <c r="F71" s="355"/>
    </row>
    <row r="72" spans="2:6" ht="110.25" x14ac:dyDescent="0.7">
      <c r="B72" s="545"/>
      <c r="C72" s="431" t="s">
        <v>393</v>
      </c>
      <c r="D72" s="357" t="s">
        <v>596</v>
      </c>
      <c r="E72" s="372" t="s">
        <v>757</v>
      </c>
      <c r="F72" s="355"/>
    </row>
    <row r="73" spans="2:6" ht="110.25" x14ac:dyDescent="0.7">
      <c r="B73" s="545"/>
      <c r="C73" s="431" t="s">
        <v>394</v>
      </c>
      <c r="D73" s="357" t="s">
        <v>597</v>
      </c>
      <c r="E73" s="372" t="s">
        <v>758</v>
      </c>
      <c r="F73" s="355"/>
    </row>
    <row r="74" spans="2:6" ht="110.25" x14ac:dyDescent="0.7">
      <c r="B74" s="545"/>
      <c r="C74" s="431" t="s">
        <v>395</v>
      </c>
      <c r="D74" s="357" t="s">
        <v>598</v>
      </c>
      <c r="E74" s="372" t="s">
        <v>759</v>
      </c>
      <c r="F74" s="355"/>
    </row>
    <row r="75" spans="2:6" ht="73.5" x14ac:dyDescent="0.7">
      <c r="B75" s="534" t="s">
        <v>28</v>
      </c>
      <c r="C75" s="431" t="s">
        <v>191</v>
      </c>
      <c r="D75" s="357" t="s">
        <v>192</v>
      </c>
      <c r="E75" s="374" t="s">
        <v>51</v>
      </c>
      <c r="F75" s="358" t="s">
        <v>203</v>
      </c>
    </row>
    <row r="76" spans="2:6" ht="73.5" x14ac:dyDescent="0.7">
      <c r="B76" s="534"/>
      <c r="C76" s="431" t="s">
        <v>331</v>
      </c>
      <c r="D76" s="357" t="s">
        <v>193</v>
      </c>
      <c r="E76" s="374" t="s">
        <v>52</v>
      </c>
      <c r="F76" s="358" t="s">
        <v>203</v>
      </c>
    </row>
    <row r="77" spans="2:6" ht="110.25" x14ac:dyDescent="0.7">
      <c r="B77" s="534"/>
      <c r="C77" s="431" t="s">
        <v>332</v>
      </c>
      <c r="D77" s="357" t="s">
        <v>354</v>
      </c>
      <c r="E77" s="374" t="s">
        <v>53</v>
      </c>
      <c r="F77" s="358" t="s">
        <v>207</v>
      </c>
    </row>
    <row r="78" spans="2:6" ht="73.5" x14ac:dyDescent="0.7">
      <c r="B78" s="534" t="s">
        <v>21</v>
      </c>
      <c r="C78" s="431" t="s">
        <v>981</v>
      </c>
      <c r="D78" s="357" t="s">
        <v>355</v>
      </c>
      <c r="E78" s="374" t="s">
        <v>54</v>
      </c>
      <c r="F78" s="358" t="s">
        <v>204</v>
      </c>
    </row>
    <row r="79" spans="2:6" ht="73.5" x14ac:dyDescent="0.7">
      <c r="B79" s="534"/>
      <c r="C79" s="431" t="s">
        <v>982</v>
      </c>
      <c r="D79" s="357" t="s">
        <v>356</v>
      </c>
      <c r="E79" s="374" t="s">
        <v>86</v>
      </c>
      <c r="F79" s="358" t="s">
        <v>205</v>
      </c>
    </row>
    <row r="80" spans="2:6" ht="73.5" x14ac:dyDescent="0.7">
      <c r="B80" s="534"/>
      <c r="C80" s="431" t="s">
        <v>194</v>
      </c>
      <c r="D80" s="357" t="s">
        <v>195</v>
      </c>
      <c r="E80" s="374" t="s">
        <v>87</v>
      </c>
      <c r="F80" s="358" t="s">
        <v>206</v>
      </c>
    </row>
    <row r="81" spans="2:14" ht="73.5" x14ac:dyDescent="0.7">
      <c r="B81" s="534"/>
      <c r="C81" s="431" t="s">
        <v>983</v>
      </c>
      <c r="D81" s="357" t="s">
        <v>196</v>
      </c>
      <c r="E81" s="374" t="s">
        <v>88</v>
      </c>
      <c r="F81" s="358" t="s">
        <v>206</v>
      </c>
    </row>
    <row r="82" spans="2:14" ht="73.5" x14ac:dyDescent="0.7">
      <c r="B82" s="534"/>
      <c r="C82" s="431" t="s">
        <v>984</v>
      </c>
      <c r="D82" s="357" t="s">
        <v>197</v>
      </c>
      <c r="E82" s="374" t="s">
        <v>89</v>
      </c>
      <c r="F82" s="358" t="s">
        <v>640</v>
      </c>
    </row>
    <row r="83" spans="2:14" ht="73.5" x14ac:dyDescent="0.7">
      <c r="B83" s="534"/>
      <c r="C83" s="431" t="s">
        <v>333</v>
      </c>
      <c r="D83" s="357" t="s">
        <v>198</v>
      </c>
      <c r="E83" s="374" t="s">
        <v>90</v>
      </c>
      <c r="F83" s="358" t="s">
        <v>208</v>
      </c>
    </row>
    <row r="84" spans="2:14" ht="38.25" x14ac:dyDescent="0.7">
      <c r="B84" s="534"/>
      <c r="C84" s="431" t="s">
        <v>985</v>
      </c>
      <c r="D84" s="357" t="s">
        <v>199</v>
      </c>
      <c r="E84" s="374" t="s">
        <v>91</v>
      </c>
      <c r="F84" s="358" t="s">
        <v>641</v>
      </c>
    </row>
    <row r="85" spans="2:14" ht="147" x14ac:dyDescent="0.7">
      <c r="B85" s="534" t="s">
        <v>114</v>
      </c>
      <c r="C85" s="432" t="s">
        <v>986</v>
      </c>
      <c r="D85" s="357" t="s">
        <v>357</v>
      </c>
      <c r="E85" s="374" t="s">
        <v>138</v>
      </c>
      <c r="F85" s="358" t="s">
        <v>209</v>
      </c>
    </row>
    <row r="86" spans="2:14" ht="147" x14ac:dyDescent="0.7">
      <c r="B86" s="534"/>
      <c r="C86" s="432" t="s">
        <v>334</v>
      </c>
      <c r="D86" s="357" t="s">
        <v>358</v>
      </c>
      <c r="E86" s="374" t="s">
        <v>137</v>
      </c>
      <c r="F86" s="358" t="s">
        <v>210</v>
      </c>
    </row>
    <row r="87" spans="2:14" ht="38.25" x14ac:dyDescent="0.5">
      <c r="B87" s="538" t="s">
        <v>126</v>
      </c>
      <c r="C87" s="538"/>
      <c r="D87" s="538"/>
      <c r="E87" s="538"/>
      <c r="F87" s="538"/>
    </row>
    <row r="88" spans="2:14" ht="110.25" x14ac:dyDescent="0.7">
      <c r="B88" s="534" t="s">
        <v>1034</v>
      </c>
      <c r="C88" s="431" t="s">
        <v>987</v>
      </c>
      <c r="D88" s="357" t="s">
        <v>213</v>
      </c>
      <c r="E88" s="374" t="s">
        <v>81</v>
      </c>
      <c r="F88" s="358" t="s">
        <v>211</v>
      </c>
    </row>
    <row r="89" spans="2:14" ht="73.5" x14ac:dyDescent="0.7">
      <c r="B89" s="534"/>
      <c r="C89" s="431" t="s">
        <v>988</v>
      </c>
      <c r="D89" s="357" t="s">
        <v>214</v>
      </c>
      <c r="E89" s="374" t="s">
        <v>1036</v>
      </c>
      <c r="F89" s="358" t="s">
        <v>211</v>
      </c>
      <c r="G89" s="552"/>
      <c r="H89" s="553"/>
      <c r="I89" s="553"/>
      <c r="J89" s="553"/>
      <c r="K89" s="553"/>
      <c r="L89" s="553"/>
      <c r="M89" s="553"/>
      <c r="N89" s="553"/>
    </row>
    <row r="90" spans="2:14" ht="73.5" x14ac:dyDescent="0.7">
      <c r="B90" s="534" t="s">
        <v>1035</v>
      </c>
      <c r="C90" s="431" t="s">
        <v>989</v>
      </c>
      <c r="D90" s="357" t="s">
        <v>215</v>
      </c>
      <c r="E90" s="374" t="s">
        <v>1038</v>
      </c>
      <c r="F90" s="358" t="s">
        <v>211</v>
      </c>
    </row>
    <row r="91" spans="2:14" ht="73.5" x14ac:dyDescent="0.7">
      <c r="B91" s="534"/>
      <c r="C91" s="431" t="s">
        <v>988</v>
      </c>
      <c r="D91" s="357" t="s">
        <v>216</v>
      </c>
      <c r="E91" s="374" t="s">
        <v>1039</v>
      </c>
      <c r="F91" s="358" t="s">
        <v>211</v>
      </c>
    </row>
    <row r="92" spans="2:14" ht="73.5" x14ac:dyDescent="0.7">
      <c r="B92" s="534" t="s">
        <v>29</v>
      </c>
      <c r="C92" s="432" t="s">
        <v>335</v>
      </c>
      <c r="D92" s="357" t="s">
        <v>217</v>
      </c>
      <c r="E92" s="374" t="s">
        <v>82</v>
      </c>
      <c r="F92" s="358" t="s">
        <v>211</v>
      </c>
    </row>
    <row r="93" spans="2:14" ht="110.25" x14ac:dyDescent="0.7">
      <c r="B93" s="534"/>
      <c r="C93" s="432" t="s">
        <v>336</v>
      </c>
      <c r="D93" s="357" t="s">
        <v>218</v>
      </c>
      <c r="E93" s="374" t="s">
        <v>212</v>
      </c>
      <c r="F93" s="358" t="s">
        <v>211</v>
      </c>
    </row>
    <row r="94" spans="2:14" ht="110.25" x14ac:dyDescent="0.7">
      <c r="B94" s="534" t="s">
        <v>30</v>
      </c>
      <c r="C94" s="432" t="s">
        <v>335</v>
      </c>
      <c r="D94" s="357" t="s">
        <v>219</v>
      </c>
      <c r="E94" s="374" t="s">
        <v>83</v>
      </c>
      <c r="F94" s="358" t="s">
        <v>211</v>
      </c>
    </row>
    <row r="95" spans="2:14" ht="110.25" x14ac:dyDescent="0.7">
      <c r="B95" s="534"/>
      <c r="C95" s="467" t="s">
        <v>1010</v>
      </c>
      <c r="D95" s="357" t="s">
        <v>220</v>
      </c>
      <c r="E95" s="374" t="s">
        <v>212</v>
      </c>
      <c r="F95" s="358" t="s">
        <v>211</v>
      </c>
    </row>
    <row r="96" spans="2:14" ht="73.5" x14ac:dyDescent="0.7">
      <c r="B96" s="534" t="s">
        <v>31</v>
      </c>
      <c r="C96" s="467" t="s">
        <v>335</v>
      </c>
      <c r="D96" s="357" t="s">
        <v>221</v>
      </c>
      <c r="E96" s="374" t="s">
        <v>84</v>
      </c>
      <c r="F96" s="358" t="s">
        <v>211</v>
      </c>
    </row>
    <row r="97" spans="2:6" ht="110.25" x14ac:dyDescent="0.7">
      <c r="B97" s="534"/>
      <c r="C97" s="432" t="s">
        <v>1011</v>
      </c>
      <c r="D97" s="357" t="s">
        <v>222</v>
      </c>
      <c r="E97" s="374" t="s">
        <v>212</v>
      </c>
      <c r="F97" s="358" t="s">
        <v>211</v>
      </c>
    </row>
    <row r="98" spans="2:6" ht="73.5" x14ac:dyDescent="0.7">
      <c r="B98" s="534" t="s">
        <v>32</v>
      </c>
      <c r="C98" s="432" t="s">
        <v>335</v>
      </c>
      <c r="D98" s="357" t="s">
        <v>223</v>
      </c>
      <c r="E98" s="374" t="s">
        <v>85</v>
      </c>
      <c r="F98" s="358" t="s">
        <v>211</v>
      </c>
    </row>
    <row r="99" spans="2:6" ht="110.25" x14ac:dyDescent="0.7">
      <c r="B99" s="534"/>
      <c r="C99" s="432" t="s">
        <v>337</v>
      </c>
      <c r="D99" s="357" t="s">
        <v>224</v>
      </c>
      <c r="E99" s="374" t="s">
        <v>212</v>
      </c>
      <c r="F99" s="358" t="s">
        <v>211</v>
      </c>
    </row>
    <row r="100" spans="2:6" ht="38.25" x14ac:dyDescent="0.5">
      <c r="B100" s="538" t="s">
        <v>127</v>
      </c>
      <c r="C100" s="538"/>
      <c r="D100" s="538"/>
      <c r="E100" s="538"/>
      <c r="F100" s="538"/>
    </row>
    <row r="101" spans="2:6" ht="110.25" x14ac:dyDescent="0.7">
      <c r="B101" s="534" t="s">
        <v>33</v>
      </c>
      <c r="C101" s="431" t="s">
        <v>990</v>
      </c>
      <c r="D101" s="357" t="s">
        <v>359</v>
      </c>
      <c r="E101" s="374" t="s">
        <v>55</v>
      </c>
      <c r="F101" s="358" t="s">
        <v>227</v>
      </c>
    </row>
    <row r="102" spans="2:6" ht="110.25" x14ac:dyDescent="0.7">
      <c r="B102" s="534"/>
      <c r="C102" s="431" t="s">
        <v>226</v>
      </c>
      <c r="D102" s="357" t="s">
        <v>225</v>
      </c>
      <c r="E102" s="374" t="s">
        <v>57</v>
      </c>
      <c r="F102" s="358" t="s">
        <v>228</v>
      </c>
    </row>
    <row r="103" spans="2:6" ht="110.25" x14ac:dyDescent="0.7">
      <c r="B103" s="534"/>
      <c r="C103" s="431" t="s">
        <v>991</v>
      </c>
      <c r="D103" s="357" t="s">
        <v>360</v>
      </c>
      <c r="E103" s="374" t="s">
        <v>56</v>
      </c>
      <c r="F103" s="358" t="s">
        <v>229</v>
      </c>
    </row>
    <row r="104" spans="2:6" ht="73.5" x14ac:dyDescent="0.7">
      <c r="B104" s="534"/>
      <c r="C104" s="431" t="s">
        <v>992</v>
      </c>
      <c r="D104" s="357" t="s">
        <v>230</v>
      </c>
      <c r="E104" s="374" t="s">
        <v>58</v>
      </c>
      <c r="F104" s="358" t="s">
        <v>233</v>
      </c>
    </row>
    <row r="105" spans="2:6" ht="110.25" x14ac:dyDescent="0.7">
      <c r="B105" s="534"/>
      <c r="C105" s="431" t="s">
        <v>993</v>
      </c>
      <c r="D105" s="357" t="s">
        <v>231</v>
      </c>
      <c r="E105" s="374" t="s">
        <v>59</v>
      </c>
      <c r="F105" s="358" t="s">
        <v>234</v>
      </c>
    </row>
    <row r="106" spans="2:6" ht="147" x14ac:dyDescent="0.7">
      <c r="B106" s="534"/>
      <c r="C106" s="431" t="s">
        <v>994</v>
      </c>
      <c r="D106" s="357" t="s">
        <v>232</v>
      </c>
      <c r="E106" s="374" t="s">
        <v>60</v>
      </c>
      <c r="F106" s="358" t="s">
        <v>234</v>
      </c>
    </row>
    <row r="107" spans="2:6" ht="110.25" x14ac:dyDescent="0.7">
      <c r="B107" s="534" t="s">
        <v>469</v>
      </c>
      <c r="C107" s="431" t="s">
        <v>238</v>
      </c>
      <c r="D107" s="357" t="s">
        <v>361</v>
      </c>
      <c r="E107" s="374" t="s">
        <v>55</v>
      </c>
      <c r="F107" s="358" t="s">
        <v>235</v>
      </c>
    </row>
    <row r="108" spans="2:6" ht="110.25" x14ac:dyDescent="0.7">
      <c r="B108" s="534"/>
      <c r="C108" s="431" t="s">
        <v>995</v>
      </c>
      <c r="D108" s="357" t="s">
        <v>362</v>
      </c>
      <c r="E108" s="374" t="s">
        <v>57</v>
      </c>
      <c r="F108" s="358" t="s">
        <v>236</v>
      </c>
    </row>
    <row r="109" spans="2:6" ht="110.25" x14ac:dyDescent="0.7">
      <c r="B109" s="534"/>
      <c r="C109" s="431" t="s">
        <v>239</v>
      </c>
      <c r="D109" s="357" t="s">
        <v>240</v>
      </c>
      <c r="E109" s="374" t="s">
        <v>56</v>
      </c>
      <c r="F109" s="358" t="s">
        <v>237</v>
      </c>
    </row>
    <row r="110" spans="2:6" ht="73.5" x14ac:dyDescent="0.7">
      <c r="B110" s="534"/>
      <c r="C110" s="466" t="s">
        <v>338</v>
      </c>
      <c r="D110" s="357" t="s">
        <v>241</v>
      </c>
      <c r="E110" s="374" t="s">
        <v>58</v>
      </c>
      <c r="F110" s="358" t="s">
        <v>244</v>
      </c>
    </row>
    <row r="111" spans="2:6" ht="110.25" x14ac:dyDescent="0.7">
      <c r="B111" s="534"/>
      <c r="C111" s="466" t="s">
        <v>993</v>
      </c>
      <c r="D111" s="357" t="s">
        <v>363</v>
      </c>
      <c r="E111" s="374" t="s">
        <v>59</v>
      </c>
      <c r="F111" s="358" t="s">
        <v>245</v>
      </c>
    </row>
    <row r="112" spans="2:6" ht="147" x14ac:dyDescent="0.7">
      <c r="B112" s="534"/>
      <c r="C112" s="431" t="s">
        <v>242</v>
      </c>
      <c r="D112" s="357" t="s">
        <v>243</v>
      </c>
      <c r="E112" s="374" t="s">
        <v>60</v>
      </c>
      <c r="F112" s="358" t="s">
        <v>245</v>
      </c>
    </row>
    <row r="113" spans="1:6" ht="110.25" x14ac:dyDescent="0.7">
      <c r="B113" s="534" t="s">
        <v>25</v>
      </c>
      <c r="C113" s="431" t="s">
        <v>996</v>
      </c>
      <c r="D113" s="357" t="s">
        <v>364</v>
      </c>
      <c r="E113" s="374" t="s">
        <v>55</v>
      </c>
      <c r="F113" s="358" t="s">
        <v>246</v>
      </c>
    </row>
    <row r="114" spans="1:6" ht="110.25" x14ac:dyDescent="0.7">
      <c r="B114" s="534"/>
      <c r="C114" s="466" t="s">
        <v>226</v>
      </c>
      <c r="D114" s="357" t="s">
        <v>365</v>
      </c>
      <c r="E114" s="374" t="s">
        <v>57</v>
      </c>
      <c r="F114" s="358" t="s">
        <v>247</v>
      </c>
    </row>
    <row r="115" spans="1:6" ht="110.25" x14ac:dyDescent="0.7">
      <c r="B115" s="534"/>
      <c r="C115" s="431" t="s">
        <v>239</v>
      </c>
      <c r="D115" s="357" t="s">
        <v>366</v>
      </c>
      <c r="E115" s="374" t="s">
        <v>56</v>
      </c>
      <c r="F115" s="358" t="s">
        <v>248</v>
      </c>
    </row>
    <row r="116" spans="1:6" ht="73.5" x14ac:dyDescent="0.7">
      <c r="B116" s="534"/>
      <c r="C116" s="431" t="s">
        <v>992</v>
      </c>
      <c r="D116" s="357" t="s">
        <v>251</v>
      </c>
      <c r="E116" s="374" t="s">
        <v>58</v>
      </c>
      <c r="F116" s="358" t="s">
        <v>250</v>
      </c>
    </row>
    <row r="117" spans="1:6" ht="110.25" x14ac:dyDescent="0.7">
      <c r="B117" s="534"/>
      <c r="C117" s="431" t="s">
        <v>993</v>
      </c>
      <c r="D117" s="357" t="s">
        <v>367</v>
      </c>
      <c r="E117" s="374" t="s">
        <v>59</v>
      </c>
      <c r="F117" s="358" t="s">
        <v>249</v>
      </c>
    </row>
    <row r="118" spans="1:6" ht="147" x14ac:dyDescent="0.7">
      <c r="B118" s="534"/>
      <c r="C118" s="431" t="s">
        <v>242</v>
      </c>
      <c r="D118" s="357" t="s">
        <v>368</v>
      </c>
      <c r="E118" s="374" t="s">
        <v>60</v>
      </c>
      <c r="F118" s="358" t="s">
        <v>249</v>
      </c>
    </row>
    <row r="119" spans="1:6" ht="38.25" x14ac:dyDescent="0.5">
      <c r="B119" s="538" t="s">
        <v>128</v>
      </c>
      <c r="C119" s="538"/>
      <c r="D119" s="538"/>
      <c r="E119" s="538"/>
      <c r="F119" s="538"/>
    </row>
    <row r="120" spans="1:6" ht="38.25" hidden="1" x14ac:dyDescent="0.7">
      <c r="B120" s="537" t="s">
        <v>898</v>
      </c>
      <c r="C120" s="431" t="s">
        <v>686</v>
      </c>
      <c r="D120" s="527" t="s">
        <v>523</v>
      </c>
      <c r="E120" s="374" t="s">
        <v>725</v>
      </c>
      <c r="F120" s="364" t="s">
        <v>760</v>
      </c>
    </row>
    <row r="121" spans="1:6" ht="73.5" hidden="1" x14ac:dyDescent="0.7">
      <c r="B121" s="537"/>
      <c r="C121" s="431" t="s">
        <v>937</v>
      </c>
      <c r="D121" s="527" t="s">
        <v>524</v>
      </c>
      <c r="E121" s="374" t="s">
        <v>761</v>
      </c>
      <c r="F121" s="363" t="s">
        <v>762</v>
      </c>
    </row>
    <row r="122" spans="1:6" ht="38.25" hidden="1" x14ac:dyDescent="0.7">
      <c r="B122" s="537"/>
      <c r="C122" s="360" t="s">
        <v>941</v>
      </c>
      <c r="D122" s="527" t="s">
        <v>902</v>
      </c>
      <c r="E122" s="374" t="s">
        <v>953</v>
      </c>
      <c r="F122" s="363" t="s">
        <v>954</v>
      </c>
    </row>
    <row r="123" spans="1:6" ht="73.5" hidden="1" x14ac:dyDescent="0.7">
      <c r="B123" s="537"/>
      <c r="C123" s="431" t="s">
        <v>893</v>
      </c>
      <c r="D123" s="527" t="s">
        <v>903</v>
      </c>
      <c r="E123" s="374" t="s">
        <v>955</v>
      </c>
      <c r="F123" s="363" t="s">
        <v>954</v>
      </c>
    </row>
    <row r="124" spans="1:6" s="120" customFormat="1" ht="73.5" hidden="1" x14ac:dyDescent="0.7">
      <c r="A124" s="252"/>
      <c r="B124" s="537"/>
      <c r="C124" s="431" t="s">
        <v>894</v>
      </c>
      <c r="D124" s="527" t="s">
        <v>904</v>
      </c>
      <c r="E124" s="374" t="s">
        <v>956</v>
      </c>
      <c r="F124" s="363" t="s">
        <v>957</v>
      </c>
    </row>
    <row r="125" spans="1:6" ht="73.5" hidden="1" x14ac:dyDescent="0.7">
      <c r="B125" s="537"/>
      <c r="C125" s="431" t="s">
        <v>895</v>
      </c>
      <c r="D125" s="527" t="s">
        <v>905</v>
      </c>
      <c r="E125" s="374" t="s">
        <v>958</v>
      </c>
      <c r="F125" s="363" t="s">
        <v>954</v>
      </c>
    </row>
    <row r="126" spans="1:6" ht="73.5" hidden="1" x14ac:dyDescent="0.7">
      <c r="B126" s="537"/>
      <c r="C126" s="431" t="s">
        <v>896</v>
      </c>
      <c r="D126" s="527" t="s">
        <v>906</v>
      </c>
      <c r="E126" s="374" t="s">
        <v>959</v>
      </c>
      <c r="F126" s="363" t="s">
        <v>957</v>
      </c>
    </row>
    <row r="127" spans="1:6" ht="73.5" hidden="1" x14ac:dyDescent="0.7">
      <c r="B127" s="537"/>
      <c r="C127" s="431" t="s">
        <v>897</v>
      </c>
      <c r="D127" s="527" t="s">
        <v>907</v>
      </c>
      <c r="E127" s="374" t="s">
        <v>960</v>
      </c>
      <c r="F127" s="363" t="s">
        <v>954</v>
      </c>
    </row>
    <row r="128" spans="1:6" ht="73.5" hidden="1" x14ac:dyDescent="0.7">
      <c r="B128" s="537"/>
      <c r="C128" s="431" t="s">
        <v>932</v>
      </c>
      <c r="D128" s="527" t="s">
        <v>908</v>
      </c>
      <c r="E128" s="374" t="s">
        <v>964</v>
      </c>
      <c r="F128" s="363" t="s">
        <v>954</v>
      </c>
    </row>
    <row r="129" spans="2:6" ht="38.25" hidden="1" x14ac:dyDescent="0.7">
      <c r="B129" s="537" t="s">
        <v>899</v>
      </c>
      <c r="C129" s="431" t="s">
        <v>944</v>
      </c>
      <c r="D129" s="527" t="s">
        <v>909</v>
      </c>
      <c r="E129" s="374" t="s">
        <v>961</v>
      </c>
      <c r="F129" s="363" t="s">
        <v>962</v>
      </c>
    </row>
    <row r="130" spans="2:6" ht="73.5" hidden="1" x14ac:dyDescent="0.7">
      <c r="B130" s="537"/>
      <c r="C130" s="431" t="s">
        <v>938</v>
      </c>
      <c r="D130" s="527" t="s">
        <v>910</v>
      </c>
      <c r="E130" s="374" t="s">
        <v>963</v>
      </c>
      <c r="F130" s="363" t="s">
        <v>762</v>
      </c>
    </row>
    <row r="131" spans="2:6" ht="38.25" hidden="1" x14ac:dyDescent="0.7">
      <c r="B131" s="537"/>
      <c r="C131" s="360" t="s">
        <v>947</v>
      </c>
      <c r="D131" s="527" t="s">
        <v>911</v>
      </c>
      <c r="E131" s="374" t="s">
        <v>953</v>
      </c>
      <c r="F131" s="363" t="s">
        <v>954</v>
      </c>
    </row>
    <row r="132" spans="2:6" ht="73.5" hidden="1" x14ac:dyDescent="0.7">
      <c r="B132" s="537"/>
      <c r="C132" s="431" t="s">
        <v>893</v>
      </c>
      <c r="D132" s="527" t="s">
        <v>912</v>
      </c>
      <c r="E132" s="374" t="s">
        <v>955</v>
      </c>
      <c r="F132" s="363" t="s">
        <v>954</v>
      </c>
    </row>
    <row r="133" spans="2:6" ht="73.5" hidden="1" x14ac:dyDescent="0.7">
      <c r="B133" s="537"/>
      <c r="C133" s="431" t="s">
        <v>894</v>
      </c>
      <c r="D133" s="527" t="s">
        <v>913</v>
      </c>
      <c r="E133" s="374" t="s">
        <v>956</v>
      </c>
      <c r="F133" s="363" t="s">
        <v>957</v>
      </c>
    </row>
    <row r="134" spans="2:6" ht="73.5" hidden="1" x14ac:dyDescent="0.7">
      <c r="B134" s="537"/>
      <c r="C134" s="431" t="s">
        <v>895</v>
      </c>
      <c r="D134" s="527" t="s">
        <v>914</v>
      </c>
      <c r="E134" s="374" t="s">
        <v>958</v>
      </c>
      <c r="F134" s="363" t="s">
        <v>954</v>
      </c>
    </row>
    <row r="135" spans="2:6" ht="73.5" hidden="1" x14ac:dyDescent="0.7">
      <c r="B135" s="537"/>
      <c r="C135" s="431" t="s">
        <v>896</v>
      </c>
      <c r="D135" s="527" t="s">
        <v>915</v>
      </c>
      <c r="E135" s="374" t="s">
        <v>959</v>
      </c>
      <c r="F135" s="363" t="s">
        <v>957</v>
      </c>
    </row>
    <row r="136" spans="2:6" ht="73.5" hidden="1" x14ac:dyDescent="0.7">
      <c r="B136" s="537"/>
      <c r="C136" s="431" t="s">
        <v>897</v>
      </c>
      <c r="D136" s="527" t="s">
        <v>916</v>
      </c>
      <c r="E136" s="374" t="s">
        <v>960</v>
      </c>
      <c r="F136" s="363" t="s">
        <v>954</v>
      </c>
    </row>
    <row r="137" spans="2:6" ht="73.5" hidden="1" x14ac:dyDescent="0.7">
      <c r="B137" s="537"/>
      <c r="C137" s="431" t="s">
        <v>932</v>
      </c>
      <c r="D137" s="527" t="s">
        <v>917</v>
      </c>
      <c r="E137" s="374" t="s">
        <v>964</v>
      </c>
      <c r="F137" s="363" t="s">
        <v>954</v>
      </c>
    </row>
    <row r="138" spans="2:6" ht="38.25" hidden="1" x14ac:dyDescent="0.7">
      <c r="B138" s="537" t="s">
        <v>901</v>
      </c>
      <c r="C138" s="431" t="s">
        <v>945</v>
      </c>
      <c r="D138" s="527" t="s">
        <v>918</v>
      </c>
      <c r="E138" s="374" t="s">
        <v>965</v>
      </c>
      <c r="F138" s="363" t="s">
        <v>966</v>
      </c>
    </row>
    <row r="139" spans="2:6" ht="73.5" hidden="1" x14ac:dyDescent="0.7">
      <c r="B139" s="537"/>
      <c r="C139" s="431" t="s">
        <v>939</v>
      </c>
      <c r="D139" s="527" t="s">
        <v>919</v>
      </c>
      <c r="E139" s="374" t="s">
        <v>967</v>
      </c>
      <c r="F139" s="363" t="s">
        <v>762</v>
      </c>
    </row>
    <row r="140" spans="2:6" ht="38.25" hidden="1" x14ac:dyDescent="0.7">
      <c r="B140" s="537"/>
      <c r="C140" s="360" t="s">
        <v>948</v>
      </c>
      <c r="D140" s="527" t="s">
        <v>920</v>
      </c>
      <c r="E140" s="374" t="s">
        <v>953</v>
      </c>
      <c r="F140" s="363" t="s">
        <v>954</v>
      </c>
    </row>
    <row r="141" spans="2:6" ht="73.5" hidden="1" x14ac:dyDescent="0.7">
      <c r="B141" s="537"/>
      <c r="C141" s="431" t="s">
        <v>893</v>
      </c>
      <c r="D141" s="527" t="s">
        <v>921</v>
      </c>
      <c r="E141" s="374" t="s">
        <v>968</v>
      </c>
      <c r="F141" s="363" t="s">
        <v>954</v>
      </c>
    </row>
    <row r="142" spans="2:6" ht="73.5" hidden="1" x14ac:dyDescent="0.7">
      <c r="B142" s="537"/>
      <c r="C142" s="431" t="s">
        <v>894</v>
      </c>
      <c r="D142" s="527" t="s">
        <v>922</v>
      </c>
      <c r="E142" s="374" t="s">
        <v>969</v>
      </c>
      <c r="F142" s="363" t="s">
        <v>957</v>
      </c>
    </row>
    <row r="143" spans="2:6" ht="73.5" hidden="1" x14ac:dyDescent="0.7">
      <c r="B143" s="537"/>
      <c r="C143" s="431" t="s">
        <v>895</v>
      </c>
      <c r="D143" s="527" t="s">
        <v>923</v>
      </c>
      <c r="E143" s="374" t="s">
        <v>970</v>
      </c>
      <c r="F143" s="363" t="s">
        <v>954</v>
      </c>
    </row>
    <row r="144" spans="2:6" ht="73.5" hidden="1" x14ac:dyDescent="0.7">
      <c r="B144" s="537"/>
      <c r="C144" s="431" t="s">
        <v>896</v>
      </c>
      <c r="D144" s="527" t="s">
        <v>924</v>
      </c>
      <c r="E144" s="374" t="s">
        <v>971</v>
      </c>
      <c r="F144" s="363" t="s">
        <v>957</v>
      </c>
    </row>
    <row r="145" spans="2:6" ht="73.5" hidden="1" x14ac:dyDescent="0.7">
      <c r="B145" s="537"/>
      <c r="C145" s="431" t="s">
        <v>897</v>
      </c>
      <c r="D145" s="527" t="s">
        <v>925</v>
      </c>
      <c r="E145" s="374" t="s">
        <v>960</v>
      </c>
      <c r="F145" s="363" t="s">
        <v>954</v>
      </c>
    </row>
    <row r="146" spans="2:6" ht="73.5" hidden="1" x14ac:dyDescent="0.7">
      <c r="B146" s="537"/>
      <c r="C146" s="431" t="s">
        <v>932</v>
      </c>
      <c r="D146" s="527" t="s">
        <v>926</v>
      </c>
      <c r="E146" s="374" t="s">
        <v>964</v>
      </c>
      <c r="F146" s="363" t="s">
        <v>954</v>
      </c>
    </row>
    <row r="147" spans="2:6" ht="38.25" hidden="1" x14ac:dyDescent="0.7">
      <c r="B147" s="537" t="s">
        <v>900</v>
      </c>
      <c r="C147" s="431" t="s">
        <v>946</v>
      </c>
      <c r="D147" s="527" t="s">
        <v>927</v>
      </c>
      <c r="E147" s="374" t="s">
        <v>725</v>
      </c>
      <c r="F147" s="363" t="s">
        <v>972</v>
      </c>
    </row>
    <row r="148" spans="2:6" ht="73.5" hidden="1" x14ac:dyDescent="0.7">
      <c r="B148" s="537"/>
      <c r="C148" s="431" t="s">
        <v>940</v>
      </c>
      <c r="D148" s="527" t="s">
        <v>928</v>
      </c>
      <c r="E148" s="374" t="s">
        <v>761</v>
      </c>
      <c r="F148" s="363" t="s">
        <v>762</v>
      </c>
    </row>
    <row r="149" spans="2:6" ht="38.25" hidden="1" x14ac:dyDescent="0.7">
      <c r="B149" s="537"/>
      <c r="C149" s="360" t="s">
        <v>949</v>
      </c>
      <c r="D149" s="527" t="s">
        <v>929</v>
      </c>
      <c r="E149" s="374" t="s">
        <v>953</v>
      </c>
      <c r="F149" s="363" t="s">
        <v>954</v>
      </c>
    </row>
    <row r="150" spans="2:6" ht="73.5" hidden="1" x14ac:dyDescent="0.7">
      <c r="B150" s="537"/>
      <c r="C150" s="431" t="s">
        <v>893</v>
      </c>
      <c r="D150" s="527" t="s">
        <v>930</v>
      </c>
      <c r="E150" s="374" t="s">
        <v>955</v>
      </c>
      <c r="F150" s="363" t="s">
        <v>954</v>
      </c>
    </row>
    <row r="151" spans="2:6" ht="73.5" hidden="1" x14ac:dyDescent="0.7">
      <c r="B151" s="537"/>
      <c r="C151" s="431" t="s">
        <v>894</v>
      </c>
      <c r="D151" s="527" t="s">
        <v>931</v>
      </c>
      <c r="E151" s="374" t="s">
        <v>956</v>
      </c>
      <c r="F151" s="363" t="s">
        <v>957</v>
      </c>
    </row>
    <row r="152" spans="2:6" ht="73.5" hidden="1" x14ac:dyDescent="0.7">
      <c r="B152" s="537"/>
      <c r="C152" s="431" t="s">
        <v>895</v>
      </c>
      <c r="D152" s="527" t="s">
        <v>933</v>
      </c>
      <c r="E152" s="374" t="s">
        <v>958</v>
      </c>
      <c r="F152" s="363" t="s">
        <v>954</v>
      </c>
    </row>
    <row r="153" spans="2:6" ht="73.5" hidden="1" x14ac:dyDescent="0.7">
      <c r="B153" s="537"/>
      <c r="C153" s="431" t="s">
        <v>896</v>
      </c>
      <c r="D153" s="527" t="s">
        <v>934</v>
      </c>
      <c r="E153" s="374" t="s">
        <v>959</v>
      </c>
      <c r="F153" s="363" t="s">
        <v>957</v>
      </c>
    </row>
    <row r="154" spans="2:6" ht="73.5" hidden="1" x14ac:dyDescent="0.7">
      <c r="B154" s="537"/>
      <c r="C154" s="431" t="s">
        <v>897</v>
      </c>
      <c r="D154" s="527" t="s">
        <v>935</v>
      </c>
      <c r="E154" s="374" t="s">
        <v>960</v>
      </c>
      <c r="F154" s="363" t="s">
        <v>954</v>
      </c>
    </row>
    <row r="155" spans="2:6" ht="73.5" hidden="1" x14ac:dyDescent="0.7">
      <c r="B155" s="537"/>
      <c r="C155" s="431" t="s">
        <v>932</v>
      </c>
      <c r="D155" s="527" t="s">
        <v>936</v>
      </c>
      <c r="E155" s="374" t="s">
        <v>964</v>
      </c>
      <c r="F155" s="363" t="s">
        <v>954</v>
      </c>
    </row>
    <row r="156" spans="2:6" ht="73.5" x14ac:dyDescent="0.7">
      <c r="B156" s="534" t="s">
        <v>34</v>
      </c>
      <c r="C156" s="431" t="s">
        <v>184</v>
      </c>
      <c r="D156" s="357" t="s">
        <v>186</v>
      </c>
      <c r="E156" s="374" t="s">
        <v>275</v>
      </c>
      <c r="F156" s="358" t="s">
        <v>253</v>
      </c>
    </row>
    <row r="157" spans="2:6" ht="73.5" x14ac:dyDescent="0.7">
      <c r="B157" s="534"/>
      <c r="C157" s="431" t="s">
        <v>997</v>
      </c>
      <c r="D157" s="357" t="s">
        <v>185</v>
      </c>
      <c r="E157" s="374" t="s">
        <v>64</v>
      </c>
      <c r="F157" s="358" t="s">
        <v>254</v>
      </c>
    </row>
    <row r="158" spans="2:6" ht="76.5" x14ac:dyDescent="0.8">
      <c r="B158" s="534" t="s">
        <v>35</v>
      </c>
      <c r="C158" s="468" t="s">
        <v>1012</v>
      </c>
      <c r="D158" s="357" t="s">
        <v>252</v>
      </c>
      <c r="E158" s="375" t="s">
        <v>321</v>
      </c>
      <c r="F158" s="365" t="s">
        <v>253</v>
      </c>
    </row>
    <row r="159" spans="2:6" ht="73.5" x14ac:dyDescent="0.7">
      <c r="B159" s="534"/>
      <c r="C159" s="466" t="s">
        <v>255</v>
      </c>
      <c r="D159" s="357" t="s">
        <v>256</v>
      </c>
      <c r="E159" s="374" t="s">
        <v>61</v>
      </c>
      <c r="F159" s="358" t="s">
        <v>254</v>
      </c>
    </row>
    <row r="160" spans="2:6" ht="38.25" x14ac:dyDescent="0.7">
      <c r="B160" s="545" t="s">
        <v>26</v>
      </c>
      <c r="C160" s="432" t="s">
        <v>998</v>
      </c>
      <c r="D160" s="357" t="s">
        <v>257</v>
      </c>
      <c r="E160" s="374" t="s">
        <v>62</v>
      </c>
      <c r="F160" s="358" t="s">
        <v>266</v>
      </c>
    </row>
    <row r="161" spans="2:6" ht="38.25" x14ac:dyDescent="0.7">
      <c r="B161" s="545"/>
      <c r="C161" s="432" t="s">
        <v>339</v>
      </c>
      <c r="D161" s="357" t="s">
        <v>258</v>
      </c>
      <c r="E161" s="374" t="s">
        <v>65</v>
      </c>
      <c r="F161" s="358" t="s">
        <v>266</v>
      </c>
    </row>
    <row r="162" spans="2:6" ht="73.5" x14ac:dyDescent="0.7">
      <c r="B162" s="545"/>
      <c r="C162" s="432" t="s">
        <v>999</v>
      </c>
      <c r="D162" s="357" t="s">
        <v>259</v>
      </c>
      <c r="E162" s="374" t="s">
        <v>63</v>
      </c>
      <c r="F162" s="358" t="s">
        <v>267</v>
      </c>
    </row>
    <row r="163" spans="2:6" ht="110.25" x14ac:dyDescent="0.7">
      <c r="B163" s="545"/>
      <c r="C163" s="432" t="s">
        <v>340</v>
      </c>
      <c r="D163" s="357" t="s">
        <v>260</v>
      </c>
      <c r="E163" s="374" t="s">
        <v>270</v>
      </c>
      <c r="F163" s="358" t="s">
        <v>269</v>
      </c>
    </row>
    <row r="164" spans="2:6" ht="73.5" x14ac:dyDescent="0.7">
      <c r="B164" s="545"/>
      <c r="C164" s="432" t="s">
        <v>341</v>
      </c>
      <c r="D164" s="357" t="s">
        <v>261</v>
      </c>
      <c r="E164" s="374" t="s">
        <v>271</v>
      </c>
      <c r="F164" s="358" t="s">
        <v>268</v>
      </c>
    </row>
    <row r="165" spans="2:6" ht="73.5" x14ac:dyDescent="0.7">
      <c r="B165" s="545"/>
      <c r="C165" s="467" t="s">
        <v>1000</v>
      </c>
      <c r="D165" s="357" t="s">
        <v>262</v>
      </c>
      <c r="E165" s="374" t="s">
        <v>66</v>
      </c>
      <c r="F165" s="358" t="s">
        <v>272</v>
      </c>
    </row>
    <row r="166" spans="2:6" ht="73.5" x14ac:dyDescent="0.7">
      <c r="B166" s="545"/>
      <c r="C166" s="467" t="s">
        <v>1001</v>
      </c>
      <c r="D166" s="357" t="s">
        <v>263</v>
      </c>
      <c r="E166" s="374" t="s">
        <v>67</v>
      </c>
      <c r="F166" s="358" t="s">
        <v>272</v>
      </c>
    </row>
    <row r="167" spans="2:6" ht="73.5" x14ac:dyDescent="0.7">
      <c r="B167" s="545" t="s">
        <v>111</v>
      </c>
      <c r="C167" s="432" t="s">
        <v>273</v>
      </c>
      <c r="D167" s="357" t="s">
        <v>264</v>
      </c>
      <c r="E167" s="374" t="s">
        <v>139</v>
      </c>
      <c r="F167" s="358" t="s">
        <v>254</v>
      </c>
    </row>
    <row r="168" spans="2:6" ht="73.5" x14ac:dyDescent="0.7">
      <c r="B168" s="545"/>
      <c r="C168" s="467" t="s">
        <v>274</v>
      </c>
      <c r="D168" s="357" t="s">
        <v>265</v>
      </c>
      <c r="E168" s="374" t="s">
        <v>627</v>
      </c>
      <c r="F168" s="358" t="s">
        <v>254</v>
      </c>
    </row>
    <row r="169" spans="2:6" ht="73.5" x14ac:dyDescent="0.7">
      <c r="B169" s="545"/>
      <c r="C169" s="432" t="s">
        <v>1002</v>
      </c>
      <c r="D169" s="357" t="s">
        <v>322</v>
      </c>
      <c r="E169" s="374" t="s">
        <v>324</v>
      </c>
      <c r="F169" s="358" t="s">
        <v>325</v>
      </c>
    </row>
    <row r="170" spans="2:6" ht="110.25" x14ac:dyDescent="0.7">
      <c r="B170" s="545"/>
      <c r="C170" s="432" t="s">
        <v>1003</v>
      </c>
      <c r="D170" s="357" t="s">
        <v>323</v>
      </c>
      <c r="E170" s="374" t="s">
        <v>326</v>
      </c>
      <c r="F170" s="358" t="s">
        <v>325</v>
      </c>
    </row>
    <row r="171" spans="2:6" ht="38.25" x14ac:dyDescent="0.5">
      <c r="B171" s="538" t="s">
        <v>130</v>
      </c>
      <c r="C171" s="538"/>
      <c r="D171" s="538"/>
      <c r="E171" s="538"/>
      <c r="F171" s="538"/>
    </row>
    <row r="172" spans="2:6" ht="73.5" x14ac:dyDescent="0.7">
      <c r="B172" s="546" t="s">
        <v>115</v>
      </c>
      <c r="C172" s="468" t="s">
        <v>1013</v>
      </c>
      <c r="D172" s="357" t="s">
        <v>369</v>
      </c>
      <c r="E172" s="374" t="s">
        <v>69</v>
      </c>
      <c r="F172" s="358" t="s">
        <v>278</v>
      </c>
    </row>
    <row r="173" spans="2:6" ht="110.25" x14ac:dyDescent="0.7">
      <c r="B173" s="546"/>
      <c r="C173" s="468" t="s">
        <v>476</v>
      </c>
      <c r="D173" s="357" t="s">
        <v>276</v>
      </c>
      <c r="E173" s="374" t="s">
        <v>68</v>
      </c>
      <c r="F173" s="358" t="s">
        <v>279</v>
      </c>
    </row>
    <row r="174" spans="2:6" ht="110.25" x14ac:dyDescent="0.7">
      <c r="B174" s="546"/>
      <c r="C174" s="431" t="s">
        <v>1004</v>
      </c>
      <c r="D174" s="357" t="s">
        <v>277</v>
      </c>
      <c r="E174" s="374" t="s">
        <v>117</v>
      </c>
      <c r="F174" s="358" t="s">
        <v>280</v>
      </c>
    </row>
    <row r="175" spans="2:6" ht="73.5" x14ac:dyDescent="0.7">
      <c r="B175" s="546"/>
      <c r="C175" s="468" t="s">
        <v>478</v>
      </c>
      <c r="D175" s="357" t="s">
        <v>370</v>
      </c>
      <c r="E175" s="374" t="s">
        <v>116</v>
      </c>
      <c r="F175" s="358" t="s">
        <v>281</v>
      </c>
    </row>
    <row r="176" spans="2:6" ht="110.25" x14ac:dyDescent="0.7">
      <c r="B176" s="546"/>
      <c r="C176" s="362" t="s">
        <v>477</v>
      </c>
      <c r="D176" s="357" t="s">
        <v>481</v>
      </c>
      <c r="E176" s="372" t="s">
        <v>763</v>
      </c>
      <c r="F176" s="355"/>
    </row>
    <row r="177" spans="2:6" ht="147" x14ac:dyDescent="0.7">
      <c r="B177" s="546"/>
      <c r="C177" s="362" t="s">
        <v>482</v>
      </c>
      <c r="D177" s="357" t="s">
        <v>498</v>
      </c>
      <c r="E177" s="374" t="s">
        <v>764</v>
      </c>
      <c r="F177" s="355"/>
    </row>
    <row r="178" spans="2:6" ht="147" x14ac:dyDescent="0.7">
      <c r="B178" s="534" t="s">
        <v>1005</v>
      </c>
      <c r="C178" s="469" t="s">
        <v>1014</v>
      </c>
      <c r="D178" s="357" t="s">
        <v>282</v>
      </c>
      <c r="E178" s="374" t="s">
        <v>628</v>
      </c>
      <c r="F178" s="358" t="s">
        <v>281</v>
      </c>
    </row>
    <row r="179" spans="2:6" ht="220.5" x14ac:dyDescent="0.7">
      <c r="B179" s="534"/>
      <c r="C179" s="431" t="s">
        <v>479</v>
      </c>
      <c r="D179" s="357" t="s">
        <v>283</v>
      </c>
      <c r="E179" s="374" t="s">
        <v>629</v>
      </c>
      <c r="F179" s="358" t="s">
        <v>281</v>
      </c>
    </row>
    <row r="180" spans="2:6" ht="73.5" x14ac:dyDescent="0.7">
      <c r="B180" s="534"/>
      <c r="C180" s="431" t="s">
        <v>484</v>
      </c>
      <c r="D180" s="357" t="s">
        <v>486</v>
      </c>
      <c r="E180" s="372" t="s">
        <v>765</v>
      </c>
      <c r="F180" s="355" t="s">
        <v>766</v>
      </c>
    </row>
    <row r="181" spans="2:6" ht="110.25" x14ac:dyDescent="0.7">
      <c r="B181" s="534"/>
      <c r="C181" s="431" t="s">
        <v>485</v>
      </c>
      <c r="D181" s="357" t="s">
        <v>487</v>
      </c>
      <c r="E181" s="372" t="s">
        <v>767</v>
      </c>
      <c r="F181" s="355" t="s">
        <v>766</v>
      </c>
    </row>
    <row r="182" spans="2:6" ht="147" x14ac:dyDescent="0.7">
      <c r="B182" s="544" t="s">
        <v>488</v>
      </c>
      <c r="C182" s="431" t="s">
        <v>342</v>
      </c>
      <c r="D182" s="357" t="s">
        <v>371</v>
      </c>
      <c r="E182" s="374" t="s">
        <v>118</v>
      </c>
      <c r="F182" s="358" t="s">
        <v>768</v>
      </c>
    </row>
    <row r="183" spans="2:6" ht="73.5" x14ac:dyDescent="0.7">
      <c r="B183" s="544"/>
      <c r="C183" s="431" t="s">
        <v>1015</v>
      </c>
      <c r="D183" s="357" t="s">
        <v>372</v>
      </c>
      <c r="E183" s="372" t="s">
        <v>769</v>
      </c>
      <c r="F183" s="355" t="s">
        <v>770</v>
      </c>
    </row>
    <row r="184" spans="2:6" ht="38.25" x14ac:dyDescent="0.7">
      <c r="B184" s="544"/>
      <c r="C184" s="466" t="s">
        <v>649</v>
      </c>
      <c r="D184" s="357" t="s">
        <v>650</v>
      </c>
      <c r="E184" s="374" t="s">
        <v>771</v>
      </c>
      <c r="F184" s="358" t="s">
        <v>768</v>
      </c>
    </row>
    <row r="185" spans="2:6" ht="73.5" x14ac:dyDescent="0.7">
      <c r="B185" s="544"/>
      <c r="C185" s="466" t="s">
        <v>1016</v>
      </c>
      <c r="D185" s="357" t="s">
        <v>651</v>
      </c>
      <c r="E185" s="372" t="s">
        <v>772</v>
      </c>
      <c r="F185" s="358" t="s">
        <v>770</v>
      </c>
    </row>
    <row r="186" spans="2:6" ht="110.25" x14ac:dyDescent="0.7">
      <c r="B186" s="544" t="s">
        <v>493</v>
      </c>
      <c r="C186" s="431" t="s">
        <v>480</v>
      </c>
      <c r="D186" s="357" t="s">
        <v>284</v>
      </c>
      <c r="E186" s="374" t="s">
        <v>119</v>
      </c>
      <c r="F186" s="358" t="s">
        <v>285</v>
      </c>
    </row>
    <row r="187" spans="2:6" ht="183.75" x14ac:dyDescent="0.7">
      <c r="B187" s="544"/>
      <c r="C187" s="466" t="s">
        <v>1017</v>
      </c>
      <c r="D187" s="357" t="s">
        <v>286</v>
      </c>
      <c r="E187" s="374" t="s">
        <v>630</v>
      </c>
      <c r="F187" s="358" t="s">
        <v>285</v>
      </c>
    </row>
    <row r="188" spans="2:6" ht="110.25" x14ac:dyDescent="0.7">
      <c r="B188" s="544"/>
      <c r="C188" s="466" t="s">
        <v>489</v>
      </c>
      <c r="D188" s="357" t="s">
        <v>494</v>
      </c>
      <c r="E188" s="372" t="s">
        <v>773</v>
      </c>
      <c r="F188" s="358" t="s">
        <v>774</v>
      </c>
    </row>
    <row r="189" spans="2:6" ht="110.25" x14ac:dyDescent="0.7">
      <c r="B189" s="544"/>
      <c r="C189" s="431" t="s">
        <v>490</v>
      </c>
      <c r="D189" s="357" t="s">
        <v>495</v>
      </c>
      <c r="E189" s="372" t="s">
        <v>775</v>
      </c>
      <c r="F189" s="355" t="s">
        <v>776</v>
      </c>
    </row>
    <row r="190" spans="2:6" ht="73.5" x14ac:dyDescent="0.7">
      <c r="B190" s="544"/>
      <c r="C190" s="431" t="s">
        <v>491</v>
      </c>
      <c r="D190" s="357" t="s">
        <v>496</v>
      </c>
      <c r="E190" s="372" t="s">
        <v>777</v>
      </c>
      <c r="F190" s="355" t="s">
        <v>778</v>
      </c>
    </row>
    <row r="191" spans="2:6" ht="73.5" x14ac:dyDescent="0.7">
      <c r="B191" s="544"/>
      <c r="C191" s="431" t="s">
        <v>492</v>
      </c>
      <c r="D191" s="357" t="s">
        <v>497</v>
      </c>
      <c r="E191" s="372" t="s">
        <v>779</v>
      </c>
      <c r="F191" s="355" t="s">
        <v>778</v>
      </c>
    </row>
    <row r="192" spans="2:6" ht="110.25" x14ac:dyDescent="0.7">
      <c r="B192" s="546" t="s">
        <v>124</v>
      </c>
      <c r="C192" s="431" t="s">
        <v>864</v>
      </c>
      <c r="D192" s="357" t="s">
        <v>287</v>
      </c>
      <c r="E192" s="374" t="s">
        <v>135</v>
      </c>
      <c r="F192" s="358" t="s">
        <v>289</v>
      </c>
    </row>
    <row r="193" spans="2:6" ht="110.25" x14ac:dyDescent="0.7">
      <c r="B193" s="546"/>
      <c r="C193" s="431" t="s">
        <v>343</v>
      </c>
      <c r="D193" s="357" t="s">
        <v>288</v>
      </c>
      <c r="E193" s="374" t="s">
        <v>631</v>
      </c>
      <c r="F193" s="358" t="s">
        <v>289</v>
      </c>
    </row>
    <row r="194" spans="2:6" ht="73.5" x14ac:dyDescent="0.7">
      <c r="B194" s="546" t="s">
        <v>513</v>
      </c>
      <c r="C194" s="431" t="s">
        <v>520</v>
      </c>
      <c r="D194" s="357" t="s">
        <v>530</v>
      </c>
      <c r="E194" s="372" t="s">
        <v>780</v>
      </c>
      <c r="F194" s="355" t="s">
        <v>781</v>
      </c>
    </row>
    <row r="195" spans="2:6" ht="73.5" x14ac:dyDescent="0.7">
      <c r="B195" s="546"/>
      <c r="C195" s="431" t="s">
        <v>515</v>
      </c>
      <c r="D195" s="357" t="s">
        <v>531</v>
      </c>
      <c r="E195" s="372" t="s">
        <v>782</v>
      </c>
      <c r="F195" s="355" t="s">
        <v>781</v>
      </c>
    </row>
    <row r="196" spans="2:6" ht="73.5" x14ac:dyDescent="0.7">
      <c r="B196" s="546"/>
      <c r="C196" s="362" t="s">
        <v>516</v>
      </c>
      <c r="D196" s="357" t="s">
        <v>532</v>
      </c>
      <c r="E196" s="372" t="s">
        <v>783</v>
      </c>
      <c r="F196" s="355"/>
    </row>
    <row r="197" spans="2:6" ht="73.5" x14ac:dyDescent="0.7">
      <c r="B197" s="546" t="s">
        <v>517</v>
      </c>
      <c r="C197" s="431" t="s">
        <v>521</v>
      </c>
      <c r="D197" s="357" t="s">
        <v>533</v>
      </c>
      <c r="E197" s="372" t="s">
        <v>784</v>
      </c>
      <c r="F197" s="355" t="s">
        <v>785</v>
      </c>
    </row>
    <row r="198" spans="2:6" ht="73.5" x14ac:dyDescent="0.7">
      <c r="B198" s="546"/>
      <c r="C198" s="431" t="s">
        <v>518</v>
      </c>
      <c r="D198" s="357" t="s">
        <v>534</v>
      </c>
      <c r="E198" s="372" t="s">
        <v>786</v>
      </c>
      <c r="F198" s="355" t="s">
        <v>785</v>
      </c>
    </row>
    <row r="199" spans="2:6" ht="73.5" x14ac:dyDescent="0.7">
      <c r="B199" s="546"/>
      <c r="C199" s="362" t="s">
        <v>519</v>
      </c>
      <c r="D199" s="357" t="s">
        <v>535</v>
      </c>
      <c r="E199" s="372" t="s">
        <v>787</v>
      </c>
      <c r="F199" s="355"/>
    </row>
    <row r="200" spans="2:6" ht="73.5" x14ac:dyDescent="0.7">
      <c r="B200" s="546" t="s">
        <v>514</v>
      </c>
      <c r="C200" s="431" t="s">
        <v>951</v>
      </c>
      <c r="D200" s="357" t="s">
        <v>536</v>
      </c>
      <c r="E200" s="372" t="s">
        <v>788</v>
      </c>
      <c r="F200" s="355" t="s">
        <v>789</v>
      </c>
    </row>
    <row r="201" spans="2:6" ht="73.5" x14ac:dyDescent="0.7">
      <c r="B201" s="546"/>
      <c r="C201" s="431" t="s">
        <v>952</v>
      </c>
      <c r="D201" s="357" t="s">
        <v>537</v>
      </c>
      <c r="E201" s="372" t="s">
        <v>790</v>
      </c>
      <c r="F201" s="355" t="s">
        <v>789</v>
      </c>
    </row>
    <row r="202" spans="2:6" ht="73.5" x14ac:dyDescent="0.7">
      <c r="B202" s="546"/>
      <c r="C202" s="470" t="s">
        <v>973</v>
      </c>
      <c r="D202" s="357" t="s">
        <v>538</v>
      </c>
      <c r="E202" s="372" t="s">
        <v>791</v>
      </c>
      <c r="F202" s="355"/>
    </row>
    <row r="203" spans="2:6" ht="38.25" x14ac:dyDescent="0.5">
      <c r="B203" s="538" t="s">
        <v>129</v>
      </c>
      <c r="C203" s="538"/>
      <c r="D203" s="538"/>
      <c r="E203" s="538"/>
      <c r="F203" s="538"/>
    </row>
    <row r="204" spans="2:6" ht="147" x14ac:dyDescent="0.7">
      <c r="B204" s="544" t="s">
        <v>483</v>
      </c>
      <c r="C204" s="431" t="s">
        <v>499</v>
      </c>
      <c r="D204" s="357" t="s">
        <v>373</v>
      </c>
      <c r="E204" s="374" t="s">
        <v>70</v>
      </c>
      <c r="F204" s="358" t="s">
        <v>792</v>
      </c>
    </row>
    <row r="205" spans="2:6" ht="73.5" x14ac:dyDescent="0.7">
      <c r="B205" s="544"/>
      <c r="C205" s="431" t="s">
        <v>500</v>
      </c>
      <c r="D205" s="357" t="s">
        <v>374</v>
      </c>
      <c r="E205" s="374" t="s">
        <v>71</v>
      </c>
      <c r="F205" s="358" t="s">
        <v>792</v>
      </c>
    </row>
    <row r="206" spans="2:6" ht="38.25" x14ac:dyDescent="0.7">
      <c r="B206" s="544"/>
      <c r="C206" s="362" t="s">
        <v>501</v>
      </c>
      <c r="D206" s="357" t="s">
        <v>508</v>
      </c>
      <c r="E206" s="372"/>
      <c r="F206" s="355"/>
    </row>
    <row r="207" spans="2:6" ht="110.25" x14ac:dyDescent="0.7">
      <c r="B207" s="534" t="s">
        <v>865</v>
      </c>
      <c r="C207" s="431" t="s">
        <v>502</v>
      </c>
      <c r="D207" s="357" t="s">
        <v>509</v>
      </c>
      <c r="E207" s="372" t="s">
        <v>793</v>
      </c>
      <c r="F207" s="358" t="s">
        <v>792</v>
      </c>
    </row>
    <row r="208" spans="2:6" ht="73.5" x14ac:dyDescent="0.7">
      <c r="B208" s="534"/>
      <c r="C208" s="431" t="s">
        <v>503</v>
      </c>
      <c r="D208" s="357" t="s">
        <v>510</v>
      </c>
      <c r="E208" s="372" t="s">
        <v>794</v>
      </c>
      <c r="F208" s="358" t="s">
        <v>792</v>
      </c>
    </row>
    <row r="209" spans="1:6" ht="73.5" x14ac:dyDescent="0.7">
      <c r="B209" s="547" t="s">
        <v>488</v>
      </c>
      <c r="C209" s="471" t="s">
        <v>504</v>
      </c>
      <c r="D209" s="528" t="s">
        <v>375</v>
      </c>
      <c r="E209" s="376" t="s">
        <v>140</v>
      </c>
      <c r="F209" s="366" t="s">
        <v>296</v>
      </c>
    </row>
    <row r="210" spans="1:6" ht="73.5" x14ac:dyDescent="0.7">
      <c r="B210" s="547"/>
      <c r="C210" s="471" t="s">
        <v>647</v>
      </c>
      <c r="D210" s="528" t="s">
        <v>648</v>
      </c>
      <c r="E210" s="376" t="s">
        <v>795</v>
      </c>
      <c r="F210" s="366" t="s">
        <v>296</v>
      </c>
    </row>
    <row r="211" spans="1:6" ht="73.5" x14ac:dyDescent="0.7">
      <c r="B211" s="544" t="s">
        <v>493</v>
      </c>
      <c r="C211" s="431" t="s">
        <v>506</v>
      </c>
      <c r="D211" s="357" t="s">
        <v>376</v>
      </c>
      <c r="E211" s="374" t="s">
        <v>796</v>
      </c>
      <c r="F211" s="358" t="s">
        <v>797</v>
      </c>
    </row>
    <row r="212" spans="1:6" ht="73.5" x14ac:dyDescent="0.7">
      <c r="B212" s="544"/>
      <c r="C212" s="431" t="s">
        <v>507</v>
      </c>
      <c r="D212" s="357" t="s">
        <v>511</v>
      </c>
      <c r="E212" s="372" t="s">
        <v>798</v>
      </c>
      <c r="F212" s="358" t="s">
        <v>797</v>
      </c>
    </row>
    <row r="213" spans="1:6" ht="73.5" x14ac:dyDescent="0.7">
      <c r="B213" s="544"/>
      <c r="C213" s="431" t="s">
        <v>505</v>
      </c>
      <c r="D213" s="357" t="s">
        <v>512</v>
      </c>
      <c r="E213" s="372" t="s">
        <v>799</v>
      </c>
      <c r="F213" s="358" t="s">
        <v>800</v>
      </c>
    </row>
    <row r="214" spans="1:6" ht="73.5" x14ac:dyDescent="0.7">
      <c r="B214" s="356" t="s">
        <v>290</v>
      </c>
      <c r="C214" s="431" t="s">
        <v>866</v>
      </c>
      <c r="D214" s="357" t="s">
        <v>377</v>
      </c>
      <c r="E214" s="374" t="s">
        <v>291</v>
      </c>
      <c r="F214" s="358" t="s">
        <v>292</v>
      </c>
    </row>
    <row r="215" spans="1:6" ht="110.25" x14ac:dyDescent="0.7">
      <c r="B215" s="544" t="s">
        <v>867</v>
      </c>
      <c r="C215" s="431" t="s">
        <v>293</v>
      </c>
      <c r="D215" s="357" t="s">
        <v>378</v>
      </c>
      <c r="E215" s="374" t="s">
        <v>294</v>
      </c>
      <c r="F215" s="358" t="s">
        <v>295</v>
      </c>
    </row>
    <row r="216" spans="1:6" s="122" customFormat="1" ht="183.75" x14ac:dyDescent="0.7">
      <c r="A216" s="253"/>
      <c r="B216" s="544"/>
      <c r="C216" s="431" t="s">
        <v>344</v>
      </c>
      <c r="D216" s="357" t="s">
        <v>379</v>
      </c>
      <c r="E216" s="374" t="s">
        <v>141</v>
      </c>
      <c r="F216" s="358" t="s">
        <v>296</v>
      </c>
    </row>
    <row r="217" spans="1:6" ht="183.75" x14ac:dyDescent="0.7">
      <c r="B217" s="544"/>
      <c r="C217" s="431" t="s">
        <v>868</v>
      </c>
      <c r="D217" s="357" t="s">
        <v>380</v>
      </c>
      <c r="E217" s="374" t="s">
        <v>142</v>
      </c>
      <c r="F217" s="358" t="s">
        <v>297</v>
      </c>
    </row>
    <row r="218" spans="1:6" ht="38.25" x14ac:dyDescent="0.5">
      <c r="B218" s="538" t="s">
        <v>131</v>
      </c>
      <c r="C218" s="538"/>
      <c r="D218" s="538"/>
      <c r="E218" s="538"/>
      <c r="F218" s="538"/>
    </row>
    <row r="219" spans="1:6" ht="73.5" x14ac:dyDescent="0.7">
      <c r="B219" s="356" t="s">
        <v>298</v>
      </c>
      <c r="C219" s="472" t="s">
        <v>1006</v>
      </c>
      <c r="D219" s="357" t="s">
        <v>299</v>
      </c>
      <c r="E219" s="374" t="s">
        <v>801</v>
      </c>
      <c r="F219" s="358" t="s">
        <v>802</v>
      </c>
    </row>
    <row r="220" spans="1:6" ht="110.25" x14ac:dyDescent="0.7">
      <c r="B220" s="534" t="s">
        <v>578</v>
      </c>
      <c r="C220" s="466" t="s">
        <v>396</v>
      </c>
      <c r="D220" s="357" t="s">
        <v>572</v>
      </c>
      <c r="E220" s="372" t="s">
        <v>803</v>
      </c>
      <c r="F220" s="358" t="s">
        <v>802</v>
      </c>
    </row>
    <row r="221" spans="1:6" ht="73.5" x14ac:dyDescent="0.7">
      <c r="B221" s="534"/>
      <c r="C221" s="466" t="s">
        <v>391</v>
      </c>
      <c r="D221" s="357" t="s">
        <v>573</v>
      </c>
      <c r="E221" s="372" t="s">
        <v>804</v>
      </c>
      <c r="F221" s="358" t="s">
        <v>802</v>
      </c>
    </row>
    <row r="222" spans="1:6" ht="73.5" x14ac:dyDescent="0.7">
      <c r="B222" s="534"/>
      <c r="C222" s="431" t="s">
        <v>392</v>
      </c>
      <c r="D222" s="357" t="s">
        <v>574</v>
      </c>
      <c r="E222" s="372" t="s">
        <v>805</v>
      </c>
      <c r="F222" s="358" t="s">
        <v>802</v>
      </c>
    </row>
    <row r="223" spans="1:6" ht="73.5" x14ac:dyDescent="0.7">
      <c r="B223" s="534"/>
      <c r="C223" s="431" t="s">
        <v>393</v>
      </c>
      <c r="D223" s="357" t="s">
        <v>575</v>
      </c>
      <c r="E223" s="372" t="s">
        <v>806</v>
      </c>
      <c r="F223" s="358" t="s">
        <v>802</v>
      </c>
    </row>
    <row r="224" spans="1:6" ht="73.5" x14ac:dyDescent="0.7">
      <c r="B224" s="534"/>
      <c r="C224" s="431" t="s">
        <v>394</v>
      </c>
      <c r="D224" s="357" t="s">
        <v>576</v>
      </c>
      <c r="E224" s="372" t="s">
        <v>807</v>
      </c>
      <c r="F224" s="358" t="s">
        <v>802</v>
      </c>
    </row>
    <row r="225" spans="2:6" ht="110.25" x14ac:dyDescent="0.7">
      <c r="B225" s="534"/>
      <c r="C225" s="431" t="s">
        <v>395</v>
      </c>
      <c r="D225" s="357" t="s">
        <v>577</v>
      </c>
      <c r="E225" s="372" t="s">
        <v>808</v>
      </c>
      <c r="F225" s="358" t="s">
        <v>802</v>
      </c>
    </row>
    <row r="226" spans="2:6" ht="74.25" thickBot="1" x14ac:dyDescent="0.75">
      <c r="B226" s="356" t="s">
        <v>579</v>
      </c>
      <c r="C226" s="473" t="s">
        <v>1009</v>
      </c>
      <c r="D226" s="357" t="s">
        <v>300</v>
      </c>
      <c r="E226" s="374" t="s">
        <v>72</v>
      </c>
      <c r="F226" s="358" t="s">
        <v>802</v>
      </c>
    </row>
    <row r="227" spans="2:6" s="250" customFormat="1" ht="110.25" x14ac:dyDescent="0.7">
      <c r="B227" s="488" t="s">
        <v>1061</v>
      </c>
      <c r="C227" s="502" t="s">
        <v>1062</v>
      </c>
      <c r="D227" s="529" t="s">
        <v>1063</v>
      </c>
      <c r="E227" s="374" t="s">
        <v>1072</v>
      </c>
      <c r="F227" s="358" t="s">
        <v>1073</v>
      </c>
    </row>
    <row r="228" spans="2:6" ht="73.5" x14ac:dyDescent="0.7">
      <c r="B228" s="534" t="s">
        <v>580</v>
      </c>
      <c r="C228" s="431" t="s">
        <v>1066</v>
      </c>
      <c r="D228" s="357" t="s">
        <v>561</v>
      </c>
      <c r="E228" s="372" t="s">
        <v>1067</v>
      </c>
      <c r="F228" s="355" t="s">
        <v>809</v>
      </c>
    </row>
    <row r="229" spans="2:6" ht="38.25" x14ac:dyDescent="0.7">
      <c r="B229" s="534"/>
      <c r="C229" s="472" t="s">
        <v>1007</v>
      </c>
      <c r="D229" s="357" t="s">
        <v>302</v>
      </c>
      <c r="E229" s="374" t="s">
        <v>301</v>
      </c>
      <c r="F229" s="358" t="s">
        <v>303</v>
      </c>
    </row>
    <row r="230" spans="2:6" ht="73.5" x14ac:dyDescent="0.7">
      <c r="B230" s="534" t="s">
        <v>441</v>
      </c>
      <c r="C230" s="431" t="s">
        <v>396</v>
      </c>
      <c r="D230" s="357" t="s">
        <v>410</v>
      </c>
      <c r="E230" s="374" t="s">
        <v>427</v>
      </c>
      <c r="F230" s="358" t="s">
        <v>303</v>
      </c>
    </row>
    <row r="231" spans="2:6" ht="73.5" x14ac:dyDescent="0.7">
      <c r="B231" s="534"/>
      <c r="C231" s="431" t="s">
        <v>391</v>
      </c>
      <c r="D231" s="357" t="s">
        <v>411</v>
      </c>
      <c r="E231" s="374" t="s">
        <v>428</v>
      </c>
      <c r="F231" s="358" t="s">
        <v>303</v>
      </c>
    </row>
    <row r="232" spans="2:6" ht="73.5" x14ac:dyDescent="0.7">
      <c r="B232" s="534"/>
      <c r="C232" s="431" t="s">
        <v>392</v>
      </c>
      <c r="D232" s="357" t="s">
        <v>412</v>
      </c>
      <c r="E232" s="374" t="s">
        <v>429</v>
      </c>
      <c r="F232" s="358" t="s">
        <v>303</v>
      </c>
    </row>
    <row r="233" spans="2:6" ht="73.5" x14ac:dyDescent="0.7">
      <c r="B233" s="534"/>
      <c r="C233" s="431" t="s">
        <v>393</v>
      </c>
      <c r="D233" s="357" t="s">
        <v>413</v>
      </c>
      <c r="E233" s="374" t="s">
        <v>430</v>
      </c>
      <c r="F233" s="358" t="s">
        <v>303</v>
      </c>
    </row>
    <row r="234" spans="2:6" ht="73.5" x14ac:dyDescent="0.7">
      <c r="B234" s="534"/>
      <c r="C234" s="431" t="s">
        <v>394</v>
      </c>
      <c r="D234" s="357" t="s">
        <v>414</v>
      </c>
      <c r="E234" s="374" t="s">
        <v>431</v>
      </c>
      <c r="F234" s="358" t="s">
        <v>303</v>
      </c>
    </row>
    <row r="235" spans="2:6" ht="73.5" x14ac:dyDescent="0.7">
      <c r="B235" s="534"/>
      <c r="C235" s="431" t="s">
        <v>395</v>
      </c>
      <c r="D235" s="357" t="s">
        <v>415</v>
      </c>
      <c r="E235" s="374" t="s">
        <v>432</v>
      </c>
      <c r="F235" s="358" t="s">
        <v>303</v>
      </c>
    </row>
    <row r="236" spans="2:6" ht="38.25" x14ac:dyDescent="0.7">
      <c r="B236" s="534" t="s">
        <v>442</v>
      </c>
      <c r="C236" s="431" t="s">
        <v>445</v>
      </c>
      <c r="D236" s="357" t="s">
        <v>421</v>
      </c>
      <c r="E236" s="374" t="s">
        <v>433</v>
      </c>
      <c r="F236" s="358" t="s">
        <v>439</v>
      </c>
    </row>
    <row r="237" spans="2:6" ht="38.25" x14ac:dyDescent="0.7">
      <c r="B237" s="534"/>
      <c r="C237" s="466" t="s">
        <v>416</v>
      </c>
      <c r="D237" s="357" t="s">
        <v>422</v>
      </c>
      <c r="E237" s="374" t="s">
        <v>434</v>
      </c>
      <c r="F237" s="358" t="s">
        <v>439</v>
      </c>
    </row>
    <row r="238" spans="2:6" ht="38.25" x14ac:dyDescent="0.7">
      <c r="B238" s="534"/>
      <c r="C238" s="466" t="s">
        <v>417</v>
      </c>
      <c r="D238" s="357" t="s">
        <v>423</v>
      </c>
      <c r="E238" s="374" t="s">
        <v>435</v>
      </c>
      <c r="F238" s="358" t="s">
        <v>439</v>
      </c>
    </row>
    <row r="239" spans="2:6" ht="38.25" x14ac:dyDescent="0.7">
      <c r="B239" s="534"/>
      <c r="C239" s="431" t="s">
        <v>418</v>
      </c>
      <c r="D239" s="357" t="s">
        <v>424</v>
      </c>
      <c r="E239" s="374" t="s">
        <v>436</v>
      </c>
      <c r="F239" s="358" t="s">
        <v>439</v>
      </c>
    </row>
    <row r="240" spans="2:6" ht="38.25" x14ac:dyDescent="0.7">
      <c r="B240" s="534"/>
      <c r="C240" s="431" t="s">
        <v>419</v>
      </c>
      <c r="D240" s="357" t="s">
        <v>425</v>
      </c>
      <c r="E240" s="374" t="s">
        <v>437</v>
      </c>
      <c r="F240" s="358" t="s">
        <v>439</v>
      </c>
    </row>
    <row r="241" spans="2:6" ht="38.25" x14ac:dyDescent="0.7">
      <c r="B241" s="534"/>
      <c r="C241" s="431" t="s">
        <v>420</v>
      </c>
      <c r="D241" s="357" t="s">
        <v>426</v>
      </c>
      <c r="E241" s="374" t="s">
        <v>438</v>
      </c>
      <c r="F241" s="358" t="s">
        <v>439</v>
      </c>
    </row>
    <row r="242" spans="2:6" ht="38.25" x14ac:dyDescent="0.7">
      <c r="B242" s="534"/>
      <c r="C242" s="360" t="s">
        <v>440</v>
      </c>
      <c r="D242" s="357" t="s">
        <v>444</v>
      </c>
      <c r="E242" s="372"/>
      <c r="F242" s="355"/>
    </row>
    <row r="243" spans="2:6" ht="73.5" x14ac:dyDescent="0.7">
      <c r="B243" s="534"/>
      <c r="C243" s="431" t="s">
        <v>462</v>
      </c>
      <c r="D243" s="357" t="s">
        <v>446</v>
      </c>
      <c r="E243" s="374" t="s">
        <v>460</v>
      </c>
      <c r="F243" s="358" t="s">
        <v>439</v>
      </c>
    </row>
    <row r="244" spans="2:6" ht="110.25" x14ac:dyDescent="0.7">
      <c r="B244" s="543" t="s">
        <v>613</v>
      </c>
      <c r="C244" s="431" t="s">
        <v>605</v>
      </c>
      <c r="D244" s="357" t="s">
        <v>558</v>
      </c>
      <c r="E244" s="372" t="s">
        <v>811</v>
      </c>
      <c r="F244" s="355" t="s">
        <v>812</v>
      </c>
    </row>
    <row r="245" spans="2:6" ht="110.25" x14ac:dyDescent="0.7">
      <c r="B245" s="543"/>
      <c r="C245" s="431" t="s">
        <v>606</v>
      </c>
      <c r="D245" s="357" t="s">
        <v>559</v>
      </c>
      <c r="E245" s="372" t="s">
        <v>813</v>
      </c>
      <c r="F245" s="355" t="s">
        <v>812</v>
      </c>
    </row>
    <row r="246" spans="2:6" ht="76.5" x14ac:dyDescent="0.7">
      <c r="B246" s="543"/>
      <c r="C246" s="360" t="s">
        <v>852</v>
      </c>
      <c r="D246" s="357" t="s">
        <v>557</v>
      </c>
      <c r="E246" s="372"/>
      <c r="F246" s="368"/>
    </row>
    <row r="247" spans="2:6" ht="110.25" x14ac:dyDescent="0.7">
      <c r="B247" s="543"/>
      <c r="C247" s="431" t="s">
        <v>607</v>
      </c>
      <c r="D247" s="357" t="s">
        <v>560</v>
      </c>
      <c r="E247" s="372" t="s">
        <v>814</v>
      </c>
      <c r="F247" s="355" t="s">
        <v>812</v>
      </c>
    </row>
    <row r="248" spans="2:6" ht="110.25" x14ac:dyDescent="0.7">
      <c r="B248" s="543"/>
      <c r="C248" s="431" t="s">
        <v>608</v>
      </c>
      <c r="D248" s="357" t="s">
        <v>601</v>
      </c>
      <c r="E248" s="372" t="s">
        <v>815</v>
      </c>
      <c r="F248" s="355" t="s">
        <v>812</v>
      </c>
    </row>
    <row r="249" spans="2:6" ht="110.25" x14ac:dyDescent="0.7">
      <c r="B249" s="543"/>
      <c r="C249" s="360" t="s">
        <v>853</v>
      </c>
      <c r="D249" s="357" t="s">
        <v>304</v>
      </c>
      <c r="E249" s="374" t="s">
        <v>810</v>
      </c>
      <c r="F249" s="358" t="s">
        <v>303</v>
      </c>
    </row>
    <row r="250" spans="2:6" ht="75" x14ac:dyDescent="0.7">
      <c r="B250" s="543"/>
      <c r="C250" s="431" t="s">
        <v>1018</v>
      </c>
      <c r="D250" s="357" t="s">
        <v>602</v>
      </c>
      <c r="E250" s="372" t="s">
        <v>816</v>
      </c>
      <c r="F250" s="355" t="s">
        <v>817</v>
      </c>
    </row>
    <row r="251" spans="2:6" ht="75" x14ac:dyDescent="0.7">
      <c r="B251" s="543"/>
      <c r="C251" s="431" t="s">
        <v>1019</v>
      </c>
      <c r="D251" s="357" t="s">
        <v>603</v>
      </c>
      <c r="E251" s="372" t="s">
        <v>818</v>
      </c>
      <c r="F251" s="355" t="s">
        <v>819</v>
      </c>
    </row>
    <row r="252" spans="2:6" ht="75" x14ac:dyDescent="0.7">
      <c r="B252" s="543"/>
      <c r="C252" s="431" t="s">
        <v>1020</v>
      </c>
      <c r="D252" s="357" t="s">
        <v>604</v>
      </c>
      <c r="E252" s="372" t="s">
        <v>820</v>
      </c>
      <c r="F252" s="355" t="s">
        <v>821</v>
      </c>
    </row>
    <row r="253" spans="2:6" ht="76.5" x14ac:dyDescent="0.5">
      <c r="B253" s="543"/>
      <c r="C253" s="360" t="s">
        <v>854</v>
      </c>
      <c r="D253" s="357" t="s">
        <v>611</v>
      </c>
      <c r="E253" s="377" t="s">
        <v>863</v>
      </c>
      <c r="F253" s="367">
        <f t="shared" ref="F253" si="0">SUM(F250:F252)</f>
        <v>0</v>
      </c>
    </row>
    <row r="254" spans="2:6" ht="110.25" x14ac:dyDescent="0.7">
      <c r="B254" s="543"/>
      <c r="C254" s="431" t="s">
        <v>609</v>
      </c>
      <c r="D254" s="357" t="s">
        <v>612</v>
      </c>
      <c r="E254" s="372" t="s">
        <v>822</v>
      </c>
      <c r="F254" s="355" t="s">
        <v>823</v>
      </c>
    </row>
    <row r="255" spans="2:6" ht="76.5" x14ac:dyDescent="0.7">
      <c r="B255" s="543"/>
      <c r="C255" s="360" t="s">
        <v>855</v>
      </c>
      <c r="D255" s="357" t="s">
        <v>615</v>
      </c>
      <c r="E255" s="372" t="s">
        <v>824</v>
      </c>
      <c r="F255" s="355" t="s">
        <v>825</v>
      </c>
    </row>
    <row r="256" spans="2:6" ht="73.5" x14ac:dyDescent="0.7">
      <c r="B256" s="543"/>
      <c r="C256" s="431" t="s">
        <v>826</v>
      </c>
      <c r="D256" s="357" t="s">
        <v>616</v>
      </c>
      <c r="E256" s="372" t="s">
        <v>827</v>
      </c>
      <c r="F256" s="355" t="s">
        <v>828</v>
      </c>
    </row>
    <row r="257" spans="2:6" ht="73.5" x14ac:dyDescent="0.7">
      <c r="B257" s="543"/>
      <c r="C257" s="431" t="s">
        <v>829</v>
      </c>
      <c r="D257" s="357" t="s">
        <v>617</v>
      </c>
      <c r="E257" s="372" t="s">
        <v>830</v>
      </c>
      <c r="F257" s="355" t="s">
        <v>828</v>
      </c>
    </row>
    <row r="258" spans="2:6" ht="38.25" x14ac:dyDescent="0.7">
      <c r="B258" s="544" t="s">
        <v>614</v>
      </c>
      <c r="C258" s="360" t="s">
        <v>522</v>
      </c>
      <c r="D258" s="357" t="s">
        <v>618</v>
      </c>
      <c r="E258" s="372" t="s">
        <v>725</v>
      </c>
      <c r="F258" s="355" t="s">
        <v>831</v>
      </c>
    </row>
    <row r="259" spans="2:6" ht="38.25" x14ac:dyDescent="0.7">
      <c r="B259" s="544"/>
      <c r="C259" s="474" t="s">
        <v>1040</v>
      </c>
      <c r="D259" s="357" t="s">
        <v>618</v>
      </c>
      <c r="E259" s="372"/>
      <c r="F259" s="355"/>
    </row>
    <row r="260" spans="2:6" ht="38.25" x14ac:dyDescent="0.7">
      <c r="B260" s="544"/>
      <c r="C260" s="431" t="s">
        <v>600</v>
      </c>
      <c r="D260" s="357" t="s">
        <v>619</v>
      </c>
      <c r="E260" s="356" t="s">
        <v>832</v>
      </c>
      <c r="F260" s="355" t="s">
        <v>833</v>
      </c>
    </row>
    <row r="261" spans="2:6" ht="75" x14ac:dyDescent="0.7">
      <c r="B261" s="544"/>
      <c r="C261" s="431" t="s">
        <v>1018</v>
      </c>
      <c r="D261" s="357" t="s">
        <v>620</v>
      </c>
      <c r="E261" s="372" t="s">
        <v>834</v>
      </c>
      <c r="F261" s="355" t="s">
        <v>817</v>
      </c>
    </row>
    <row r="262" spans="2:6" ht="75" x14ac:dyDescent="0.7">
      <c r="B262" s="544"/>
      <c r="C262" s="431" t="s">
        <v>1019</v>
      </c>
      <c r="D262" s="357" t="s">
        <v>621</v>
      </c>
      <c r="E262" s="372" t="s">
        <v>835</v>
      </c>
      <c r="F262" s="355" t="s">
        <v>819</v>
      </c>
    </row>
    <row r="263" spans="2:6" ht="75" x14ac:dyDescent="0.7">
      <c r="B263" s="544"/>
      <c r="C263" s="431" t="s">
        <v>1020</v>
      </c>
      <c r="D263" s="357" t="s">
        <v>622</v>
      </c>
      <c r="E263" s="372" t="s">
        <v>836</v>
      </c>
      <c r="F263" s="355" t="s">
        <v>821</v>
      </c>
    </row>
    <row r="264" spans="2:6" ht="110.25" x14ac:dyDescent="0.7">
      <c r="B264" s="544"/>
      <c r="C264" s="431" t="s">
        <v>609</v>
      </c>
      <c r="D264" s="357" t="s">
        <v>623</v>
      </c>
      <c r="E264" s="372" t="s">
        <v>837</v>
      </c>
      <c r="F264" s="355" t="s">
        <v>823</v>
      </c>
    </row>
    <row r="265" spans="2:6" ht="76.5" x14ac:dyDescent="0.7">
      <c r="B265" s="544"/>
      <c r="C265" s="360" t="s">
        <v>1047</v>
      </c>
      <c r="D265" s="357" t="s">
        <v>624</v>
      </c>
      <c r="E265" s="372" t="s">
        <v>838</v>
      </c>
      <c r="F265" s="355" t="s">
        <v>825</v>
      </c>
    </row>
    <row r="266" spans="2:6" ht="38.25" x14ac:dyDescent="0.5">
      <c r="B266" s="539" t="s">
        <v>133</v>
      </c>
      <c r="C266" s="540"/>
      <c r="D266" s="540"/>
      <c r="E266" s="540"/>
      <c r="F266" s="541"/>
    </row>
    <row r="267" spans="2:6" ht="110.25" x14ac:dyDescent="0.7">
      <c r="B267" s="545" t="s">
        <v>390</v>
      </c>
      <c r="C267" s="431" t="s">
        <v>396</v>
      </c>
      <c r="D267" s="359" t="s">
        <v>397</v>
      </c>
      <c r="E267" s="374" t="s">
        <v>403</v>
      </c>
      <c r="F267" s="358" t="s">
        <v>409</v>
      </c>
    </row>
    <row r="268" spans="2:6" ht="110.25" x14ac:dyDescent="0.7">
      <c r="B268" s="545"/>
      <c r="C268" s="431" t="s">
        <v>391</v>
      </c>
      <c r="D268" s="359" t="s">
        <v>398</v>
      </c>
      <c r="E268" s="374" t="s">
        <v>404</v>
      </c>
      <c r="F268" s="358" t="s">
        <v>409</v>
      </c>
    </row>
    <row r="269" spans="2:6" ht="110.25" x14ac:dyDescent="0.7">
      <c r="B269" s="545"/>
      <c r="C269" s="431" t="s">
        <v>392</v>
      </c>
      <c r="D269" s="359" t="s">
        <v>399</v>
      </c>
      <c r="E269" s="374" t="s">
        <v>405</v>
      </c>
      <c r="F269" s="358" t="s">
        <v>409</v>
      </c>
    </row>
    <row r="270" spans="2:6" ht="110.25" x14ac:dyDescent="0.7">
      <c r="B270" s="545"/>
      <c r="C270" s="431" t="s">
        <v>393</v>
      </c>
      <c r="D270" s="359" t="s">
        <v>400</v>
      </c>
      <c r="E270" s="374" t="s">
        <v>406</v>
      </c>
      <c r="F270" s="358" t="s">
        <v>409</v>
      </c>
    </row>
    <row r="271" spans="2:6" ht="110.25" x14ac:dyDescent="0.7">
      <c r="B271" s="545"/>
      <c r="C271" s="431" t="s">
        <v>394</v>
      </c>
      <c r="D271" s="359" t="s">
        <v>401</v>
      </c>
      <c r="E271" s="374" t="s">
        <v>407</v>
      </c>
      <c r="F271" s="358" t="s">
        <v>409</v>
      </c>
    </row>
    <row r="272" spans="2:6" ht="147" x14ac:dyDescent="0.7">
      <c r="B272" s="545"/>
      <c r="C272" s="431" t="s">
        <v>395</v>
      </c>
      <c r="D272" s="359" t="s">
        <v>402</v>
      </c>
      <c r="E272" s="374" t="s">
        <v>408</v>
      </c>
      <c r="F272" s="358" t="s">
        <v>409</v>
      </c>
    </row>
    <row r="273" spans="2:6" ht="110.25" x14ac:dyDescent="0.7">
      <c r="B273" s="534" t="s">
        <v>27</v>
      </c>
      <c r="C273" s="431" t="s">
        <v>345</v>
      </c>
      <c r="D273" s="357" t="s">
        <v>305</v>
      </c>
      <c r="E273" s="374" t="s">
        <v>73</v>
      </c>
      <c r="F273" s="358" t="s">
        <v>306</v>
      </c>
    </row>
    <row r="274" spans="2:6" ht="73.5" x14ac:dyDescent="0.7">
      <c r="B274" s="534"/>
      <c r="C274" s="431" t="s">
        <v>599</v>
      </c>
      <c r="D274" s="357" t="s">
        <v>450</v>
      </c>
      <c r="E274" s="374" t="s">
        <v>456</v>
      </c>
      <c r="F274" s="358" t="s">
        <v>458</v>
      </c>
    </row>
    <row r="275" spans="2:6" ht="73.5" x14ac:dyDescent="0.7">
      <c r="B275" s="534"/>
      <c r="C275" s="431" t="s">
        <v>454</v>
      </c>
      <c r="D275" s="357" t="s">
        <v>451</v>
      </c>
      <c r="E275" s="374" t="s">
        <v>457</v>
      </c>
      <c r="F275" s="358" t="s">
        <v>458</v>
      </c>
    </row>
    <row r="276" spans="2:6" ht="409.5" x14ac:dyDescent="0.7">
      <c r="B276" s="534"/>
      <c r="C276" s="431" t="s">
        <v>447</v>
      </c>
      <c r="D276" s="357" t="s">
        <v>452</v>
      </c>
      <c r="E276" s="374" t="s">
        <v>448</v>
      </c>
      <c r="F276" s="358" t="s">
        <v>315</v>
      </c>
    </row>
    <row r="277" spans="2:6" ht="147" x14ac:dyDescent="0.7">
      <c r="B277" s="534"/>
      <c r="C277" s="431" t="s">
        <v>449</v>
      </c>
      <c r="D277" s="357" t="s">
        <v>453</v>
      </c>
      <c r="E277" s="374" t="s">
        <v>455</v>
      </c>
      <c r="F277" s="358" t="s">
        <v>459</v>
      </c>
    </row>
    <row r="278" spans="2:6" ht="38.25" x14ac:dyDescent="0.7">
      <c r="B278" s="534"/>
      <c r="C278" s="475" t="s">
        <v>461</v>
      </c>
      <c r="D278" s="530" t="s">
        <v>307</v>
      </c>
      <c r="E278" s="372"/>
      <c r="F278" s="355"/>
    </row>
    <row r="279" spans="2:6" ht="73.5" x14ac:dyDescent="0.7">
      <c r="B279" s="534" t="s">
        <v>1008</v>
      </c>
      <c r="C279" s="431" t="s">
        <v>317</v>
      </c>
      <c r="D279" s="357" t="s">
        <v>308</v>
      </c>
      <c r="E279" s="374" t="s">
        <v>80</v>
      </c>
      <c r="F279" s="358" t="s">
        <v>316</v>
      </c>
    </row>
    <row r="280" spans="2:6" ht="73.5" x14ac:dyDescent="0.7">
      <c r="B280" s="534"/>
      <c r="C280" s="431" t="s">
        <v>553</v>
      </c>
      <c r="D280" s="357" t="s">
        <v>309</v>
      </c>
      <c r="E280" s="374" t="s">
        <v>79</v>
      </c>
      <c r="F280" s="358" t="s">
        <v>316</v>
      </c>
    </row>
    <row r="281" spans="2:6" ht="38.25" x14ac:dyDescent="0.7">
      <c r="B281" s="534"/>
      <c r="C281" s="431" t="s">
        <v>346</v>
      </c>
      <c r="D281" s="357" t="s">
        <v>310</v>
      </c>
      <c r="E281" s="374" t="s">
        <v>78</v>
      </c>
      <c r="F281" s="358" t="s">
        <v>316</v>
      </c>
    </row>
    <row r="282" spans="2:6" ht="147" x14ac:dyDescent="0.7">
      <c r="B282" s="534"/>
      <c r="C282" s="431" t="s">
        <v>318</v>
      </c>
      <c r="D282" s="357" t="s">
        <v>311</v>
      </c>
      <c r="E282" s="374" t="s">
        <v>74</v>
      </c>
      <c r="F282" s="358"/>
    </row>
    <row r="283" spans="2:6" ht="73.5" x14ac:dyDescent="0.7">
      <c r="B283" s="534"/>
      <c r="C283" s="431" t="s">
        <v>554</v>
      </c>
      <c r="D283" s="357" t="s">
        <v>312</v>
      </c>
      <c r="E283" s="374" t="s">
        <v>75</v>
      </c>
      <c r="F283" s="358" t="s">
        <v>316</v>
      </c>
    </row>
    <row r="284" spans="2:6" ht="73.5" x14ac:dyDescent="0.7">
      <c r="B284" s="534"/>
      <c r="C284" s="431" t="s">
        <v>319</v>
      </c>
      <c r="D284" s="357" t="s">
        <v>313</v>
      </c>
      <c r="E284" s="374" t="s">
        <v>76</v>
      </c>
      <c r="F284" s="358" t="s">
        <v>316</v>
      </c>
    </row>
    <row r="285" spans="2:6" ht="38.25" x14ac:dyDescent="0.7">
      <c r="B285" s="534"/>
      <c r="C285" s="431" t="s">
        <v>320</v>
      </c>
      <c r="D285" s="357" t="s">
        <v>314</v>
      </c>
      <c r="E285" s="374" t="s">
        <v>77</v>
      </c>
      <c r="F285" s="358" t="s">
        <v>316</v>
      </c>
    </row>
    <row r="286" spans="2:6" ht="38.25" x14ac:dyDescent="0.5">
      <c r="B286" s="539" t="s">
        <v>581</v>
      </c>
      <c r="C286" s="540"/>
      <c r="D286" s="540"/>
      <c r="E286" s="540"/>
      <c r="F286" s="541"/>
    </row>
    <row r="287" spans="2:6" ht="73.5" x14ac:dyDescent="0.7">
      <c r="B287" s="542" t="s">
        <v>525</v>
      </c>
      <c r="C287" s="431" t="s">
        <v>526</v>
      </c>
      <c r="D287" s="357" t="s">
        <v>529</v>
      </c>
      <c r="E287" s="372" t="s">
        <v>839</v>
      </c>
      <c r="F287" s="355" t="s">
        <v>840</v>
      </c>
    </row>
    <row r="288" spans="2:6" ht="73.5" x14ac:dyDescent="0.7">
      <c r="B288" s="542"/>
      <c r="C288" s="432" t="s">
        <v>552</v>
      </c>
      <c r="D288" s="357" t="s">
        <v>539</v>
      </c>
      <c r="E288" s="372" t="s">
        <v>841</v>
      </c>
      <c r="F288" s="355" t="s">
        <v>842</v>
      </c>
    </row>
    <row r="289" spans="2:39" ht="38.25" x14ac:dyDescent="0.7">
      <c r="B289" s="542"/>
      <c r="C289" s="470" t="s">
        <v>527</v>
      </c>
      <c r="D289" s="357" t="s">
        <v>540</v>
      </c>
      <c r="E289" s="372" t="s">
        <v>843</v>
      </c>
      <c r="F289" s="355"/>
    </row>
    <row r="290" spans="2:39" ht="38.25" x14ac:dyDescent="0.7">
      <c r="B290" s="542"/>
      <c r="C290" s="432" t="s">
        <v>549</v>
      </c>
      <c r="D290" s="357" t="s">
        <v>541</v>
      </c>
      <c r="E290" s="361" t="s">
        <v>844</v>
      </c>
      <c r="F290" s="355" t="s">
        <v>842</v>
      </c>
    </row>
    <row r="291" spans="2:39" ht="76.5" x14ac:dyDescent="0.7">
      <c r="B291" s="542"/>
      <c r="C291" s="470" t="s">
        <v>528</v>
      </c>
      <c r="D291" s="357" t="s">
        <v>542</v>
      </c>
      <c r="E291" s="372" t="s">
        <v>845</v>
      </c>
      <c r="F291" s="355"/>
    </row>
    <row r="292" spans="2:39" ht="73.5" x14ac:dyDescent="0.7">
      <c r="B292" s="542"/>
      <c r="C292" s="432" t="s">
        <v>551</v>
      </c>
      <c r="D292" s="357" t="s">
        <v>543</v>
      </c>
      <c r="E292" s="372" t="s">
        <v>846</v>
      </c>
      <c r="F292" s="355" t="s">
        <v>842</v>
      </c>
    </row>
    <row r="293" spans="2:39" ht="76.5" x14ac:dyDescent="0.7">
      <c r="B293" s="542"/>
      <c r="C293" s="470" t="s">
        <v>544</v>
      </c>
      <c r="D293" s="357" t="s">
        <v>545</v>
      </c>
      <c r="E293" s="372" t="s">
        <v>847</v>
      </c>
      <c r="F293" s="355"/>
    </row>
    <row r="294" spans="2:39" ht="73.5" x14ac:dyDescent="0.7">
      <c r="B294" s="542"/>
      <c r="C294" s="432" t="s">
        <v>548</v>
      </c>
      <c r="D294" s="357" t="s">
        <v>546</v>
      </c>
      <c r="E294" s="372" t="s">
        <v>848</v>
      </c>
      <c r="F294" s="355" t="s">
        <v>849</v>
      </c>
    </row>
    <row r="295" spans="2:39" ht="73.5" x14ac:dyDescent="0.7">
      <c r="B295" s="542"/>
      <c r="C295" s="432" t="s">
        <v>550</v>
      </c>
      <c r="D295" s="357" t="s">
        <v>547</v>
      </c>
      <c r="E295" s="372" t="s">
        <v>850</v>
      </c>
      <c r="F295" s="355" t="s">
        <v>849</v>
      </c>
    </row>
    <row r="296" spans="2:39" ht="76.5" x14ac:dyDescent="0.7">
      <c r="B296" s="542"/>
      <c r="C296" s="470" t="s">
        <v>556</v>
      </c>
      <c r="D296" s="357" t="s">
        <v>555</v>
      </c>
      <c r="E296" s="372" t="s">
        <v>851</v>
      </c>
      <c r="F296" s="355"/>
    </row>
    <row r="297" spans="2:39" ht="36" thickBot="1" x14ac:dyDescent="0.55000000000000004">
      <c r="B297" s="518" t="s">
        <v>1058</v>
      </c>
      <c r="C297" s="518"/>
      <c r="D297" s="531"/>
      <c r="E297" s="518"/>
      <c r="F297" s="519"/>
      <c r="G297" s="520"/>
      <c r="H297" s="520"/>
      <c r="I297" s="520"/>
      <c r="J297" s="520"/>
      <c r="K297" s="520"/>
      <c r="L297" s="520"/>
      <c r="M297" s="520"/>
      <c r="N297" s="520"/>
      <c r="O297" s="520"/>
      <c r="P297" s="520"/>
      <c r="Q297" s="520"/>
      <c r="R297" s="520"/>
      <c r="S297" s="520"/>
      <c r="T297" s="520"/>
      <c r="U297" s="520"/>
      <c r="V297" s="520"/>
      <c r="W297" s="520"/>
      <c r="X297" s="520"/>
      <c r="Y297" s="520"/>
      <c r="Z297" s="520"/>
      <c r="AA297" s="520"/>
      <c r="AB297" s="520"/>
      <c r="AC297" s="520"/>
      <c r="AD297" s="520"/>
      <c r="AE297" s="520"/>
      <c r="AF297" s="520"/>
      <c r="AG297" s="520"/>
      <c r="AH297" s="525"/>
      <c r="AI297" s="525"/>
      <c r="AJ297" s="525"/>
      <c r="AK297" s="525"/>
      <c r="AL297" s="525"/>
      <c r="AM297" s="525"/>
    </row>
    <row r="298" spans="2:39" ht="73.5" x14ac:dyDescent="0.7">
      <c r="B298" s="526" t="s">
        <v>1060</v>
      </c>
      <c r="C298" s="486" t="s">
        <v>1059</v>
      </c>
      <c r="D298" s="357" t="s">
        <v>1057</v>
      </c>
      <c r="E298" s="372" t="s">
        <v>1070</v>
      </c>
      <c r="F298" s="355" t="s">
        <v>1071</v>
      </c>
      <c r="G298" s="521"/>
      <c r="H298" s="521"/>
      <c r="I298" s="521"/>
      <c r="J298" s="521"/>
      <c r="K298" s="522"/>
      <c r="L298" s="522"/>
      <c r="M298" s="522"/>
      <c r="N298" s="522"/>
      <c r="O298" s="522"/>
      <c r="P298" s="522"/>
      <c r="Q298" s="522"/>
      <c r="R298" s="522"/>
      <c r="S298" s="522"/>
      <c r="T298" s="522"/>
      <c r="U298" s="522"/>
      <c r="V298" s="522"/>
      <c r="W298" s="522"/>
      <c r="X298" s="522"/>
      <c r="Y298" s="522"/>
      <c r="Z298" s="522"/>
      <c r="AA298" s="522"/>
      <c r="AB298" s="522"/>
      <c r="AC298" s="522"/>
      <c r="AD298" s="522"/>
      <c r="AE298" s="522"/>
      <c r="AF298" s="523"/>
      <c r="AG298" s="524"/>
      <c r="AH298" s="525"/>
      <c r="AI298" s="525"/>
      <c r="AJ298" s="525"/>
      <c r="AK298" s="525"/>
      <c r="AL298" s="525"/>
      <c r="AM298" s="525"/>
    </row>
  </sheetData>
  <autoFilter ref="B2:F296" xr:uid="{B4420F47-1321-421B-B7C8-E50E9A19F5B4}"/>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7:B112"/>
    <mergeCell ref="B113:B118"/>
    <mergeCell ref="B85:B86"/>
    <mergeCell ref="B38:B39"/>
    <mergeCell ref="B40:B41"/>
    <mergeCell ref="B44:F44"/>
    <mergeCell ref="B45:B49"/>
    <mergeCell ref="B52:F52"/>
    <mergeCell ref="B53:B56"/>
    <mergeCell ref="B58:B63"/>
    <mergeCell ref="B64:B68"/>
    <mergeCell ref="B69:B74"/>
    <mergeCell ref="B75:B77"/>
    <mergeCell ref="B78:B84"/>
    <mergeCell ref="B50:B51"/>
    <mergeCell ref="B197:B199"/>
    <mergeCell ref="B158:B159"/>
    <mergeCell ref="B160:B166"/>
    <mergeCell ref="B167:B170"/>
    <mergeCell ref="B171:F171"/>
    <mergeCell ref="B172:B177"/>
    <mergeCell ref="B178:B181"/>
    <mergeCell ref="B182:B185"/>
    <mergeCell ref="B186:B191"/>
    <mergeCell ref="B192:B193"/>
    <mergeCell ref="B194:B196"/>
    <mergeCell ref="B236:B243"/>
    <mergeCell ref="B200:B202"/>
    <mergeCell ref="B203:F203"/>
    <mergeCell ref="B204:B206"/>
    <mergeCell ref="B207:B208"/>
    <mergeCell ref="B209:B210"/>
    <mergeCell ref="B211:B213"/>
    <mergeCell ref="B215:B217"/>
    <mergeCell ref="B218:F218"/>
    <mergeCell ref="B220:B225"/>
    <mergeCell ref="B228:B229"/>
    <mergeCell ref="B230:B235"/>
    <mergeCell ref="B286:F286"/>
    <mergeCell ref="B287:B296"/>
    <mergeCell ref="B244:B257"/>
    <mergeCell ref="B258:B265"/>
    <mergeCell ref="B266:F266"/>
    <mergeCell ref="B267:B272"/>
    <mergeCell ref="B273:B278"/>
    <mergeCell ref="B279:B285"/>
    <mergeCell ref="B156:B157"/>
    <mergeCell ref="B1:E1"/>
    <mergeCell ref="B129:B137"/>
    <mergeCell ref="B138:B146"/>
    <mergeCell ref="B147:B155"/>
    <mergeCell ref="B120:B128"/>
    <mergeCell ref="B119:F119"/>
    <mergeCell ref="B87:F87"/>
    <mergeCell ref="B88:B89"/>
    <mergeCell ref="B90:B91"/>
    <mergeCell ref="B92:B93"/>
    <mergeCell ref="B94:B95"/>
    <mergeCell ref="B96:B97"/>
    <mergeCell ref="B98:B99"/>
    <mergeCell ref="B100:F100"/>
    <mergeCell ref="B101:B106"/>
  </mergeCells>
  <phoneticPr fontId="3" type="noConversion"/>
  <conditionalFormatting sqref="C202">
    <cfRule type="cellIs" dxfId="940" priority="8" operator="equal">
      <formula>0</formula>
    </cfRule>
  </conditionalFormatting>
  <conditionalFormatting sqref="F120">
    <cfRule type="cellIs" dxfId="939" priority="15" operator="equal">
      <formula>0</formula>
    </cfRule>
  </conditionalFormatting>
  <conditionalFormatting sqref="D120:D155">
    <cfRule type="duplicateValues" dxfId="938" priority="10"/>
  </conditionalFormatting>
  <conditionalFormatting sqref="D120:D155">
    <cfRule type="duplicateValues" dxfId="937" priority="11"/>
  </conditionalFormatting>
  <conditionalFormatting sqref="D120:D155">
    <cfRule type="duplicateValues" dxfId="936" priority="9"/>
  </conditionalFormatting>
  <conditionalFormatting sqref="K298:AA298">
    <cfRule type="expression" dxfId="935" priority="5">
      <formula>K298&gt;K296</formula>
    </cfRule>
  </conditionalFormatting>
  <conditionalFormatting sqref="AF298">
    <cfRule type="notContainsBlanks" dxfId="934" priority="7">
      <formula>LEN(TRIM(AF298))&gt;0</formula>
    </cfRule>
  </conditionalFormatting>
  <conditionalFormatting sqref="K298:AA298">
    <cfRule type="expression" dxfId="933" priority="3">
      <formula>K296&gt;K298</formula>
    </cfRule>
  </conditionalFormatting>
  <conditionalFormatting sqref="AB298:AE298">
    <cfRule type="expression" dxfId="932" priority="2">
      <formula>AB298&gt;AB296</formula>
    </cfRule>
  </conditionalFormatting>
  <conditionalFormatting sqref="AB298:AE298">
    <cfRule type="expression" dxfId="931" priority="1">
      <formula>AB296&gt;AB298</formula>
    </cfRule>
  </conditionalFormatting>
  <dataValidations disablePrompts="1" count="2">
    <dataValidation type="whole" allowBlank="1" showInputMessage="1" showErrorMessage="1" errorTitle="Non-Numeric or abnormal value" error="Enter Numbers only between 0 and 99999" sqref="E120:F121 E253:F253 E9:F13 G298:AB298" xr:uid="{A98F9822-88B5-4A5E-BF36-2A1A3402C309}">
      <formula1>0</formula1>
      <formula2>99999</formula2>
    </dataValidation>
    <dataValidation allowBlank="1" showInputMessage="1" showErrorMessage="1" errorTitle="Non-Numeric or abnormal value" error="Enter Numbers only between 0 and 99999" sqref="E122:F155 E8:F8" xr:uid="{0C938D0D-C930-4B9D-8A4D-CE6361B6E653}"/>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H382"/>
  <sheetViews>
    <sheetView showGridLines="0" tabSelected="1" showRuler="0" zoomScale="49" zoomScaleNormal="49" zoomScaleSheetLayoutView="68" zoomScalePageLayoutView="21" workbookViewId="0">
      <pane xSplit="2" ySplit="6" topLeftCell="C7" activePane="bottomRight" state="frozen"/>
      <selection pane="topRight" activeCell="C1" sqref="C1"/>
      <selection pane="bottomLeft" activeCell="A7" sqref="A7"/>
      <selection pane="bottomRight" activeCell="N10" sqref="N10"/>
    </sheetView>
  </sheetViews>
  <sheetFormatPr defaultColWidth="9.140625" defaultRowHeight="30.75" x14ac:dyDescent="0.55000000000000004"/>
  <cols>
    <col min="1" max="1" width="37" style="422" customWidth="1" collapsed="1"/>
    <col min="2" max="2" width="83.5703125" style="210" customWidth="1" collapsed="1"/>
    <col min="3" max="3" width="11" style="1" bestFit="1" customWidth="1" collapsed="1"/>
    <col min="4" max="28" width="7.5703125" style="2" customWidth="1" collapsed="1"/>
    <col min="29" max="29" width="9.7109375" style="9" hidden="1" customWidth="1" collapsed="1"/>
    <col min="30" max="30" width="31.85546875" style="183" customWidth="1" collapsed="1"/>
    <col min="31" max="31" width="31.5703125" style="2" hidden="1" customWidth="1" collapsed="1"/>
    <col min="32" max="32" width="36.7109375" style="2" bestFit="1" customWidth="1" collapsed="1"/>
    <col min="33" max="34" width="9.140625" style="310" collapsed="1"/>
    <col min="35" max="16384" width="9.140625" style="2" collapsed="1"/>
  </cols>
  <sheetData>
    <row r="1" spans="1:34" s="5" customFormat="1" ht="51" customHeight="1" thickBot="1" x14ac:dyDescent="0.6">
      <c r="A1" s="414" t="s">
        <v>383</v>
      </c>
      <c r="B1" s="751" t="s">
        <v>464</v>
      </c>
      <c r="C1" s="752"/>
      <c r="D1" s="705" t="s">
        <v>143</v>
      </c>
      <c r="E1" s="706"/>
      <c r="F1" s="707" t="s">
        <v>465</v>
      </c>
      <c r="G1" s="708"/>
      <c r="H1" s="705" t="s">
        <v>382</v>
      </c>
      <c r="I1" s="706"/>
      <c r="J1" s="706"/>
      <c r="K1" s="707" t="s">
        <v>466</v>
      </c>
      <c r="L1" s="707"/>
      <c r="M1" s="707"/>
      <c r="N1" s="707"/>
      <c r="O1" s="707"/>
      <c r="P1" s="707"/>
      <c r="Q1" s="707"/>
      <c r="R1" s="706" t="s">
        <v>389</v>
      </c>
      <c r="S1" s="706"/>
      <c r="T1" s="707" t="s">
        <v>467</v>
      </c>
      <c r="U1" s="707"/>
      <c r="V1" s="708"/>
      <c r="W1" s="705" t="s">
        <v>384</v>
      </c>
      <c r="X1" s="706"/>
      <c r="Y1" s="105" t="s">
        <v>468</v>
      </c>
      <c r="Z1" s="106" t="s">
        <v>385</v>
      </c>
      <c r="AA1" s="707">
        <v>2020</v>
      </c>
      <c r="AB1" s="708"/>
      <c r="AC1" s="748" t="s">
        <v>386</v>
      </c>
      <c r="AD1" s="749"/>
      <c r="AE1" s="749"/>
      <c r="AF1" s="749"/>
      <c r="AG1" s="403">
        <v>0</v>
      </c>
      <c r="AH1" s="307"/>
    </row>
    <row r="2" spans="1:34" s="3" customFormat="1" ht="30" hidden="1" x14ac:dyDescent="0.65">
      <c r="A2" s="750" t="s">
        <v>123</v>
      </c>
      <c r="B2" s="750"/>
      <c r="C2" s="750"/>
      <c r="D2" s="750"/>
      <c r="E2" s="750"/>
      <c r="F2" s="750"/>
      <c r="G2" s="750"/>
      <c r="H2" s="750"/>
      <c r="I2" s="750"/>
      <c r="J2" s="750"/>
      <c r="K2" s="750"/>
      <c r="L2" s="750"/>
      <c r="M2" s="750"/>
      <c r="N2" s="750"/>
      <c r="O2" s="750"/>
      <c r="P2" s="750"/>
      <c r="Q2" s="750"/>
      <c r="R2" s="750"/>
      <c r="S2" s="750"/>
      <c r="T2" s="750"/>
      <c r="U2" s="750"/>
      <c r="V2" s="750"/>
      <c r="W2" s="750"/>
      <c r="X2" s="750"/>
      <c r="Y2" s="750"/>
      <c r="Z2" s="750"/>
      <c r="AA2" s="750"/>
      <c r="AB2" s="750"/>
      <c r="AC2" s="750"/>
      <c r="AD2" s="181"/>
      <c r="AG2" s="403">
        <v>1</v>
      </c>
      <c r="AH2" s="308"/>
    </row>
    <row r="3" spans="1:34" s="3" customFormat="1" ht="32.25" hidden="1" x14ac:dyDescent="0.65">
      <c r="A3" s="415" t="s">
        <v>723</v>
      </c>
      <c r="B3" s="208"/>
      <c r="C3" s="6"/>
      <c r="D3" s="10" t="s">
        <v>860</v>
      </c>
      <c r="E3" s="11">
        <v>1</v>
      </c>
      <c r="F3" s="12" t="s">
        <v>861</v>
      </c>
      <c r="G3" s="13">
        <v>1</v>
      </c>
      <c r="H3" s="12" t="s">
        <v>862</v>
      </c>
      <c r="I3" s="13">
        <v>1</v>
      </c>
      <c r="AC3" s="111"/>
      <c r="AD3" s="182"/>
      <c r="AG3" s="403">
        <v>2</v>
      </c>
      <c r="AH3" s="308"/>
    </row>
    <row r="4" spans="1:34" s="14" customFormat="1" ht="39.75" customHeight="1" thickBot="1" x14ac:dyDescent="0.9">
      <c r="A4" s="740" t="s">
        <v>1065</v>
      </c>
      <c r="B4" s="741"/>
      <c r="C4" s="741"/>
      <c r="D4" s="717" t="s">
        <v>1049</v>
      </c>
      <c r="E4" s="717"/>
      <c r="F4" s="718"/>
      <c r="G4" s="718"/>
      <c r="H4" s="718"/>
      <c r="I4" s="718"/>
      <c r="J4" s="718"/>
      <c r="K4" s="718"/>
      <c r="L4" s="718"/>
      <c r="M4" s="718"/>
      <c r="N4" s="718"/>
      <c r="O4" s="718"/>
      <c r="P4" s="718"/>
      <c r="Q4" s="718"/>
      <c r="R4" s="718"/>
      <c r="S4" s="718"/>
      <c r="T4" s="718"/>
      <c r="U4" s="718"/>
      <c r="V4" s="718"/>
      <c r="W4" s="721" t="s">
        <v>1050</v>
      </c>
      <c r="X4" s="721"/>
      <c r="Y4" s="721"/>
      <c r="Z4" s="721"/>
      <c r="AA4" s="721"/>
      <c r="AB4" s="721"/>
      <c r="AC4" s="721"/>
      <c r="AD4" s="721"/>
      <c r="AE4" s="721"/>
      <c r="AF4" s="721"/>
      <c r="AG4" s="403">
        <v>3</v>
      </c>
      <c r="AH4" s="309"/>
    </row>
    <row r="5" spans="1:34" s="7" customFormat="1" ht="26.25" customHeight="1" x14ac:dyDescent="0.5">
      <c r="A5" s="661" t="s">
        <v>37</v>
      </c>
      <c r="B5" s="687" t="s">
        <v>347</v>
      </c>
      <c r="C5" s="666" t="s">
        <v>328</v>
      </c>
      <c r="D5" s="649" t="s">
        <v>0</v>
      </c>
      <c r="E5" s="649"/>
      <c r="F5" s="649" t="s">
        <v>1</v>
      </c>
      <c r="G5" s="649"/>
      <c r="H5" s="649" t="s">
        <v>2</v>
      </c>
      <c r="I5" s="649"/>
      <c r="J5" s="649" t="s">
        <v>3</v>
      </c>
      <c r="K5" s="649"/>
      <c r="L5" s="649" t="s">
        <v>4</v>
      </c>
      <c r="M5" s="649"/>
      <c r="N5" s="649" t="s">
        <v>5</v>
      </c>
      <c r="O5" s="649"/>
      <c r="P5" s="649" t="s">
        <v>6</v>
      </c>
      <c r="Q5" s="649"/>
      <c r="R5" s="649" t="s">
        <v>7</v>
      </c>
      <c r="S5" s="649"/>
      <c r="T5" s="649" t="s">
        <v>8</v>
      </c>
      <c r="U5" s="649"/>
      <c r="V5" s="649" t="s">
        <v>23</v>
      </c>
      <c r="W5" s="649"/>
      <c r="X5" s="649" t="s">
        <v>24</v>
      </c>
      <c r="Y5" s="649"/>
      <c r="Z5" s="649" t="s">
        <v>9</v>
      </c>
      <c r="AA5" s="703"/>
      <c r="AB5" s="744" t="s">
        <v>19</v>
      </c>
      <c r="AC5" s="746" t="s">
        <v>381</v>
      </c>
      <c r="AD5" s="427" t="s">
        <v>381</v>
      </c>
      <c r="AE5" s="766" t="s">
        <v>388</v>
      </c>
      <c r="AF5" s="428" t="s">
        <v>1031</v>
      </c>
      <c r="AG5" s="404">
        <v>4</v>
      </c>
      <c r="AH5" s="310"/>
    </row>
    <row r="6" spans="1:34" s="7" customFormat="1" ht="27" customHeight="1" thickBot="1" x14ac:dyDescent="0.55000000000000004">
      <c r="A6" s="662"/>
      <c r="B6" s="713"/>
      <c r="C6" s="667"/>
      <c r="D6" s="78" t="s">
        <v>10</v>
      </c>
      <c r="E6" s="78" t="s">
        <v>11</v>
      </c>
      <c r="F6" s="78" t="s">
        <v>10</v>
      </c>
      <c r="G6" s="78" t="s">
        <v>11</v>
      </c>
      <c r="H6" s="78" t="s">
        <v>10</v>
      </c>
      <c r="I6" s="78" t="s">
        <v>11</v>
      </c>
      <c r="J6" s="78" t="s">
        <v>10</v>
      </c>
      <c r="K6" s="78" t="s">
        <v>11</v>
      </c>
      <c r="L6" s="78" t="s">
        <v>10</v>
      </c>
      <c r="M6" s="78" t="s">
        <v>11</v>
      </c>
      <c r="N6" s="78" t="s">
        <v>10</v>
      </c>
      <c r="O6" s="78" t="s">
        <v>11</v>
      </c>
      <c r="P6" s="78" t="s">
        <v>10</v>
      </c>
      <c r="Q6" s="78" t="s">
        <v>11</v>
      </c>
      <c r="R6" s="78" t="s">
        <v>10</v>
      </c>
      <c r="S6" s="78" t="s">
        <v>11</v>
      </c>
      <c r="T6" s="78" t="s">
        <v>10</v>
      </c>
      <c r="U6" s="78" t="s">
        <v>11</v>
      </c>
      <c r="V6" s="78" t="s">
        <v>10</v>
      </c>
      <c r="W6" s="78" t="s">
        <v>11</v>
      </c>
      <c r="X6" s="78" t="s">
        <v>10</v>
      </c>
      <c r="Y6" s="78" t="s">
        <v>11</v>
      </c>
      <c r="Z6" s="78" t="s">
        <v>10</v>
      </c>
      <c r="AA6" s="78" t="s">
        <v>11</v>
      </c>
      <c r="AB6" s="745"/>
      <c r="AC6" s="747"/>
      <c r="AD6" s="429" t="str">
        <f>IF(LEN(A331)-LEN(SUBSTITUTE(A331,"*",""))&gt;0," Total Errors are "&amp;(LEN(A331)-LEN(SUBSTITUTE(A331,"*",""))),"")</f>
        <v/>
      </c>
      <c r="AE6" s="767"/>
      <c r="AF6" s="430" t="str">
        <f>IF(LEN(A353)-LEN(SUBSTITUTE(A353,"*",""))&gt;0," Total Warnings are "&amp;(LEN(A353)-LEN(SUBSTITUTE(A353,"*",""))),"")</f>
        <v/>
      </c>
      <c r="AG6" s="404">
        <v>5</v>
      </c>
      <c r="AH6" s="310"/>
    </row>
    <row r="7" spans="1:34" ht="36" thickBot="1" x14ac:dyDescent="0.55000000000000004">
      <c r="A7" s="709" t="s">
        <v>471</v>
      </c>
      <c r="B7" s="710"/>
      <c r="C7" s="710"/>
      <c r="D7" s="710"/>
      <c r="E7" s="710"/>
      <c r="F7" s="710"/>
      <c r="G7" s="710"/>
      <c r="H7" s="710"/>
      <c r="I7" s="710"/>
      <c r="J7" s="710"/>
      <c r="K7" s="710"/>
      <c r="L7" s="710"/>
      <c r="M7" s="710"/>
      <c r="N7" s="710"/>
      <c r="O7" s="710"/>
      <c r="P7" s="710"/>
      <c r="Q7" s="710"/>
      <c r="R7" s="710"/>
      <c r="S7" s="710"/>
      <c r="T7" s="710"/>
      <c r="U7" s="710"/>
      <c r="V7" s="710"/>
      <c r="W7" s="710"/>
      <c r="X7" s="710"/>
      <c r="Y7" s="710"/>
      <c r="Z7" s="710"/>
      <c r="AA7" s="710"/>
      <c r="AB7" s="710"/>
      <c r="AC7" s="710"/>
      <c r="AD7" s="711"/>
      <c r="AE7" s="710"/>
      <c r="AF7" s="712"/>
      <c r="AG7" s="404">
        <v>6</v>
      </c>
    </row>
    <row r="8" spans="1:34" ht="31.15" customHeight="1" x14ac:dyDescent="0.5">
      <c r="A8" s="768" t="s">
        <v>875</v>
      </c>
      <c r="B8" s="290" t="s">
        <v>652</v>
      </c>
      <c r="C8" s="508" t="s">
        <v>473</v>
      </c>
      <c r="D8" s="438"/>
      <c r="E8" s="439"/>
      <c r="F8" s="439"/>
      <c r="G8" s="439"/>
      <c r="H8" s="439"/>
      <c r="I8" s="439"/>
      <c r="J8" s="439"/>
      <c r="K8" s="439"/>
      <c r="L8" s="439"/>
      <c r="M8" s="439"/>
      <c r="N8" s="439"/>
      <c r="O8" s="439"/>
      <c r="P8" s="439"/>
      <c r="Q8" s="439"/>
      <c r="R8" s="439"/>
      <c r="S8" s="439"/>
      <c r="T8" s="439"/>
      <c r="U8" s="439"/>
      <c r="V8" s="439"/>
      <c r="W8" s="439"/>
      <c r="X8" s="439"/>
      <c r="Y8" s="439"/>
      <c r="Z8" s="439"/>
      <c r="AA8" s="450"/>
      <c r="AB8" s="436"/>
      <c r="AC8" s="79" t="str">
        <f>CONCATENATE(IF(AB9&gt;AB8," * No Screened in OPD "&amp;$AB$20&amp;" is more than Number Seen at OPD "&amp;CHAR(10),""))</f>
        <v/>
      </c>
      <c r="AD8" s="782" t="str">
        <f>CONCATENATE(AC8,AC9,AC10,AC11,AC12,AC13,AC15,AC16,AC17,AC18,AC14)</f>
        <v/>
      </c>
      <c r="AE8" s="80"/>
      <c r="AF8" s="785" t="str">
        <f>CONCATENATE(AE8,AE9,AE10,AE11,AE12,AE13,AE14,AE15,AE16,AE17,AE18)</f>
        <v/>
      </c>
      <c r="AG8" s="404">
        <v>7</v>
      </c>
    </row>
    <row r="9" spans="1:34" x14ac:dyDescent="0.5">
      <c r="A9" s="769"/>
      <c r="B9" s="315" t="s">
        <v>653</v>
      </c>
      <c r="C9" s="433" t="s">
        <v>474</v>
      </c>
      <c r="D9" s="532"/>
      <c r="E9" s="532"/>
      <c r="F9" s="532"/>
      <c r="G9" s="532"/>
      <c r="H9" s="532"/>
      <c r="I9" s="532"/>
      <c r="J9" s="532"/>
      <c r="K9" s="532"/>
      <c r="L9" s="532"/>
      <c r="M9" s="532"/>
      <c r="N9" s="532"/>
      <c r="O9" s="532"/>
      <c r="P9" s="532"/>
      <c r="Q9" s="532"/>
      <c r="R9" s="532"/>
      <c r="S9" s="532"/>
      <c r="T9" s="532"/>
      <c r="U9" s="532"/>
      <c r="V9" s="532"/>
      <c r="W9" s="532"/>
      <c r="X9" s="532"/>
      <c r="Y9" s="532"/>
      <c r="Z9" s="532"/>
      <c r="AA9" s="532"/>
      <c r="AB9" s="224">
        <f t="shared" ref="AB9:AB10" si="0">SUM(D9:AA9)</f>
        <v>0</v>
      </c>
      <c r="AC9" s="79" t="str">
        <f>CONCATENATE(IF(AB10&gt;AB9," * No Eligible for HTS Testing "&amp;$AB$20&amp;" is more than No Screened for HTS Eligibility "&amp;CHAR(10),""))</f>
        <v/>
      </c>
      <c r="AD9" s="783"/>
      <c r="AE9" s="80"/>
      <c r="AF9" s="786"/>
      <c r="AG9" s="404">
        <v>8</v>
      </c>
    </row>
    <row r="10" spans="1:34" ht="31.5" thickBot="1" x14ac:dyDescent="0.55000000000000004">
      <c r="A10" s="770"/>
      <c r="B10" s="292" t="s">
        <v>472</v>
      </c>
      <c r="C10" s="434" t="s">
        <v>475</v>
      </c>
      <c r="D10" s="533"/>
      <c r="E10" s="533"/>
      <c r="F10" s="533"/>
      <c r="G10" s="533"/>
      <c r="H10" s="533"/>
      <c r="I10" s="533"/>
      <c r="J10" s="533"/>
      <c r="K10" s="533"/>
      <c r="L10" s="533"/>
      <c r="M10" s="533"/>
      <c r="N10" s="533"/>
      <c r="O10" s="533"/>
      <c r="P10" s="533"/>
      <c r="Q10" s="533"/>
      <c r="R10" s="533"/>
      <c r="S10" s="533"/>
      <c r="T10" s="533"/>
      <c r="U10" s="533"/>
      <c r="V10" s="533"/>
      <c r="W10" s="533"/>
      <c r="X10" s="533"/>
      <c r="Y10" s="533"/>
      <c r="Z10" s="533"/>
      <c r="AA10" s="533"/>
      <c r="AB10" s="224">
        <f t="shared" si="0"/>
        <v>0</v>
      </c>
      <c r="AC10" s="198"/>
      <c r="AD10" s="783"/>
      <c r="AE10" s="80"/>
      <c r="AF10" s="786"/>
      <c r="AG10" s="404">
        <v>9</v>
      </c>
    </row>
    <row r="11" spans="1:34" ht="31.5" thickBot="1" x14ac:dyDescent="0.55000000000000004">
      <c r="A11" s="781" t="s">
        <v>876</v>
      </c>
      <c r="B11" s="290" t="s">
        <v>885</v>
      </c>
      <c r="C11" s="507" t="s">
        <v>878</v>
      </c>
      <c r="D11" s="446"/>
      <c r="E11" s="447"/>
      <c r="F11" s="447"/>
      <c r="G11" s="447"/>
      <c r="H11" s="447"/>
      <c r="I11" s="447"/>
      <c r="J11" s="447"/>
      <c r="K11" s="447"/>
      <c r="L11" s="447"/>
      <c r="M11" s="447"/>
      <c r="N11" s="447"/>
      <c r="O11" s="447"/>
      <c r="P11" s="447"/>
      <c r="Q11" s="447"/>
      <c r="R11" s="447"/>
      <c r="S11" s="447"/>
      <c r="T11" s="447"/>
      <c r="U11" s="447"/>
      <c r="V11" s="447"/>
      <c r="W11" s="447"/>
      <c r="X11" s="447"/>
      <c r="Y11" s="447"/>
      <c r="Z11" s="447"/>
      <c r="AA11" s="448"/>
      <c r="AB11" s="449"/>
      <c r="AC11" s="79"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83"/>
      <c r="AE11" s="80"/>
      <c r="AF11" s="786"/>
      <c r="AG11" s="404">
        <v>10</v>
      </c>
    </row>
    <row r="12" spans="1:34" hidden="1" x14ac:dyDescent="0.5">
      <c r="A12" s="769"/>
      <c r="B12" s="315" t="s">
        <v>653</v>
      </c>
      <c r="C12" s="200" t="s">
        <v>879</v>
      </c>
      <c r="D12" s="441"/>
      <c r="E12" s="435"/>
      <c r="F12" s="435"/>
      <c r="G12" s="435"/>
      <c r="H12" s="435"/>
      <c r="I12" s="435"/>
      <c r="J12" s="435"/>
      <c r="K12" s="435"/>
      <c r="L12" s="435"/>
      <c r="M12" s="435"/>
      <c r="N12" s="435"/>
      <c r="O12" s="435"/>
      <c r="P12" s="435"/>
      <c r="Q12" s="435"/>
      <c r="R12" s="435"/>
      <c r="S12" s="435"/>
      <c r="T12" s="435"/>
      <c r="U12" s="435"/>
      <c r="V12" s="435"/>
      <c r="W12" s="435"/>
      <c r="X12" s="435"/>
      <c r="Y12" s="435"/>
      <c r="Z12" s="435"/>
      <c r="AA12" s="442"/>
      <c r="AB12" s="340">
        <f t="shared" ref="AB12:AB17" si="1">SUM(D12:AA12)</f>
        <v>0</v>
      </c>
      <c r="AC12" s="79"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83"/>
      <c r="AE12" s="80"/>
      <c r="AF12" s="786"/>
      <c r="AG12" s="404">
        <v>11</v>
      </c>
    </row>
    <row r="13" spans="1:34" ht="31.5" hidden="1" thickBot="1" x14ac:dyDescent="0.55000000000000004">
      <c r="A13" s="770"/>
      <c r="B13" s="292" t="s">
        <v>472</v>
      </c>
      <c r="C13" s="201" t="s">
        <v>880</v>
      </c>
      <c r="D13" s="443"/>
      <c r="E13" s="444"/>
      <c r="F13" s="444"/>
      <c r="G13" s="444"/>
      <c r="H13" s="444"/>
      <c r="I13" s="444"/>
      <c r="J13" s="444"/>
      <c r="K13" s="444"/>
      <c r="L13" s="444"/>
      <c r="M13" s="444"/>
      <c r="N13" s="444"/>
      <c r="O13" s="444"/>
      <c r="P13" s="444"/>
      <c r="Q13" s="444"/>
      <c r="R13" s="444"/>
      <c r="S13" s="444"/>
      <c r="T13" s="444"/>
      <c r="U13" s="444"/>
      <c r="V13" s="444"/>
      <c r="W13" s="444"/>
      <c r="X13" s="444"/>
      <c r="Y13" s="444"/>
      <c r="Z13" s="444"/>
      <c r="AA13" s="445"/>
      <c r="AB13" s="437">
        <f t="shared" si="1"/>
        <v>0</v>
      </c>
      <c r="AC13" s="198"/>
      <c r="AD13" s="783"/>
      <c r="AE13" s="80"/>
      <c r="AF13" s="786"/>
      <c r="AG13" s="404">
        <v>12</v>
      </c>
    </row>
    <row r="14" spans="1:34" s="211" customFormat="1" ht="33" hidden="1" thickBot="1" x14ac:dyDescent="0.55000000000000004">
      <c r="A14" s="416" t="s">
        <v>943</v>
      </c>
      <c r="B14" s="319" t="s">
        <v>888</v>
      </c>
      <c r="C14" s="317" t="s">
        <v>881</v>
      </c>
      <c r="D14" s="350">
        <f t="shared" ref="D14:E14" si="2">D13+D10</f>
        <v>0</v>
      </c>
      <c r="E14" s="350">
        <f t="shared" si="2"/>
        <v>0</v>
      </c>
      <c r="F14" s="350">
        <f>F13+F10</f>
        <v>0</v>
      </c>
      <c r="G14" s="350">
        <f t="shared" ref="G14:AA14" si="3">G13+G10</f>
        <v>0</v>
      </c>
      <c r="H14" s="350">
        <f t="shared" si="3"/>
        <v>0</v>
      </c>
      <c r="I14" s="350">
        <f t="shared" si="3"/>
        <v>0</v>
      </c>
      <c r="J14" s="350">
        <f t="shared" si="3"/>
        <v>0</v>
      </c>
      <c r="K14" s="350">
        <f t="shared" si="3"/>
        <v>0</v>
      </c>
      <c r="L14" s="350">
        <f t="shared" si="3"/>
        <v>0</v>
      </c>
      <c r="M14" s="350">
        <f t="shared" si="3"/>
        <v>0</v>
      </c>
      <c r="N14" s="350">
        <f t="shared" si="3"/>
        <v>0</v>
      </c>
      <c r="O14" s="350">
        <f t="shared" si="3"/>
        <v>0</v>
      </c>
      <c r="P14" s="350">
        <f t="shared" si="3"/>
        <v>0</v>
      </c>
      <c r="Q14" s="350">
        <f t="shared" si="3"/>
        <v>0</v>
      </c>
      <c r="R14" s="350">
        <f t="shared" si="3"/>
        <v>0</v>
      </c>
      <c r="S14" s="350">
        <f t="shared" si="3"/>
        <v>0</v>
      </c>
      <c r="T14" s="350">
        <f t="shared" si="3"/>
        <v>0</v>
      </c>
      <c r="U14" s="350">
        <f t="shared" si="3"/>
        <v>0</v>
      </c>
      <c r="V14" s="350">
        <f t="shared" si="3"/>
        <v>0</v>
      </c>
      <c r="W14" s="350">
        <f t="shared" si="3"/>
        <v>0</v>
      </c>
      <c r="X14" s="350">
        <f t="shared" si="3"/>
        <v>0</v>
      </c>
      <c r="Y14" s="350">
        <f t="shared" si="3"/>
        <v>0</v>
      </c>
      <c r="Z14" s="350">
        <f t="shared" si="3"/>
        <v>0</v>
      </c>
      <c r="AA14" s="350">
        <f t="shared" si="3"/>
        <v>0</v>
      </c>
      <c r="AB14" s="326">
        <f t="shared" si="1"/>
        <v>0</v>
      </c>
      <c r="AC14" s="233"/>
      <c r="AD14" s="783"/>
      <c r="AE14" s="235" t="str">
        <f>CONCATENATE(IF(AB49-AB33&gt;AB14," * Total Tested ( excluding PMTCT &amp; IPD ) "&amp;$AB$21&amp;" is more than Eligible for Testing in OPD"&amp;CHAR(10),""))</f>
        <v/>
      </c>
      <c r="AF14" s="786"/>
      <c r="AG14" s="404">
        <v>13</v>
      </c>
      <c r="AH14" s="311"/>
    </row>
    <row r="15" spans="1:34" hidden="1" x14ac:dyDescent="0.5">
      <c r="A15" s="768" t="s">
        <v>877</v>
      </c>
      <c r="B15" s="290" t="s">
        <v>886</v>
      </c>
      <c r="C15" s="202" t="s">
        <v>882</v>
      </c>
      <c r="D15" s="438"/>
      <c r="E15" s="439"/>
      <c r="F15" s="439"/>
      <c r="G15" s="439"/>
      <c r="H15" s="439"/>
      <c r="I15" s="439"/>
      <c r="J15" s="439"/>
      <c r="K15" s="439"/>
      <c r="L15" s="439"/>
      <c r="M15" s="439"/>
      <c r="N15" s="439"/>
      <c r="O15" s="439"/>
      <c r="P15" s="439"/>
      <c r="Q15" s="439"/>
      <c r="R15" s="439"/>
      <c r="S15" s="439"/>
      <c r="T15" s="439"/>
      <c r="U15" s="439"/>
      <c r="V15" s="439"/>
      <c r="W15" s="439"/>
      <c r="X15" s="439"/>
      <c r="Y15" s="439"/>
      <c r="Z15" s="439"/>
      <c r="AA15" s="440"/>
      <c r="AB15" s="223">
        <f t="shared" si="1"/>
        <v>0</v>
      </c>
      <c r="AC15" s="79"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83"/>
      <c r="AE15" s="80"/>
      <c r="AF15" s="786"/>
      <c r="AG15" s="404">
        <v>14</v>
      </c>
    </row>
    <row r="16" spans="1:34" hidden="1" x14ac:dyDescent="0.5">
      <c r="A16" s="769"/>
      <c r="B16" s="291" t="s">
        <v>653</v>
      </c>
      <c r="C16" s="200" t="s">
        <v>883</v>
      </c>
      <c r="D16" s="441"/>
      <c r="E16" s="435"/>
      <c r="F16" s="435"/>
      <c r="G16" s="435"/>
      <c r="H16" s="435"/>
      <c r="I16" s="435"/>
      <c r="J16" s="435"/>
      <c r="K16" s="435"/>
      <c r="L16" s="435"/>
      <c r="M16" s="435"/>
      <c r="N16" s="435"/>
      <c r="O16" s="435"/>
      <c r="P16" s="435"/>
      <c r="Q16" s="435"/>
      <c r="R16" s="435"/>
      <c r="S16" s="435"/>
      <c r="T16" s="435"/>
      <c r="U16" s="435"/>
      <c r="V16" s="435"/>
      <c r="W16" s="435"/>
      <c r="X16" s="435"/>
      <c r="Y16" s="435"/>
      <c r="Z16" s="435"/>
      <c r="AA16" s="442"/>
      <c r="AB16" s="238">
        <f t="shared" si="1"/>
        <v>0</v>
      </c>
      <c r="AC16" s="79"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83"/>
      <c r="AE16" s="80"/>
      <c r="AF16" s="786"/>
      <c r="AG16" s="404">
        <v>15</v>
      </c>
    </row>
    <row r="17" spans="1:34" ht="31.5" hidden="1" thickBot="1" x14ac:dyDescent="0.55000000000000004">
      <c r="A17" s="770"/>
      <c r="B17" s="292" t="s">
        <v>472</v>
      </c>
      <c r="C17" s="201" t="s">
        <v>884</v>
      </c>
      <c r="D17" s="443"/>
      <c r="E17" s="444"/>
      <c r="F17" s="444"/>
      <c r="G17" s="444"/>
      <c r="H17" s="444"/>
      <c r="I17" s="444"/>
      <c r="J17" s="444"/>
      <c r="K17" s="444"/>
      <c r="L17" s="444"/>
      <c r="M17" s="444"/>
      <c r="N17" s="444"/>
      <c r="O17" s="444"/>
      <c r="P17" s="444"/>
      <c r="Q17" s="444"/>
      <c r="R17" s="444"/>
      <c r="S17" s="444"/>
      <c r="T17" s="444"/>
      <c r="U17" s="444"/>
      <c r="V17" s="444"/>
      <c r="W17" s="444"/>
      <c r="X17" s="444"/>
      <c r="Y17" s="444"/>
      <c r="Z17" s="444"/>
      <c r="AA17" s="445"/>
      <c r="AB17" s="349">
        <f t="shared" si="1"/>
        <v>0</v>
      </c>
      <c r="AC17" s="198"/>
      <c r="AD17" s="783"/>
      <c r="AE17" s="80"/>
      <c r="AF17" s="786"/>
      <c r="AG17" s="404">
        <v>16</v>
      </c>
    </row>
    <row r="18" spans="1:34" ht="33" thickBot="1" x14ac:dyDescent="0.55000000000000004">
      <c r="A18" s="417"/>
      <c r="B18" s="319" t="s">
        <v>1041</v>
      </c>
      <c r="C18" s="509" t="s">
        <v>887</v>
      </c>
      <c r="D18" s="324">
        <f t="shared" ref="D18:E18" si="4">D17+D13+D10</f>
        <v>0</v>
      </c>
      <c r="E18" s="324">
        <f t="shared" si="4"/>
        <v>0</v>
      </c>
      <c r="F18" s="324">
        <f>F17+F13+F10</f>
        <v>0</v>
      </c>
      <c r="G18" s="324">
        <f t="shared" ref="G18:AB18" si="5">G17+G13+G10</f>
        <v>0</v>
      </c>
      <c r="H18" s="324">
        <f t="shared" si="5"/>
        <v>0</v>
      </c>
      <c r="I18" s="324">
        <f t="shared" si="5"/>
        <v>0</v>
      </c>
      <c r="J18" s="324">
        <f t="shared" si="5"/>
        <v>0</v>
      </c>
      <c r="K18" s="324">
        <f t="shared" si="5"/>
        <v>0</v>
      </c>
      <c r="L18" s="324">
        <f t="shared" si="5"/>
        <v>0</v>
      </c>
      <c r="M18" s="324">
        <f t="shared" si="5"/>
        <v>0</v>
      </c>
      <c r="N18" s="324">
        <f t="shared" si="5"/>
        <v>0</v>
      </c>
      <c r="O18" s="324">
        <f t="shared" si="5"/>
        <v>0</v>
      </c>
      <c r="P18" s="324">
        <f t="shared" si="5"/>
        <v>0</v>
      </c>
      <c r="Q18" s="324">
        <f t="shared" si="5"/>
        <v>0</v>
      </c>
      <c r="R18" s="324">
        <f t="shared" si="5"/>
        <v>0</v>
      </c>
      <c r="S18" s="324">
        <f t="shared" si="5"/>
        <v>0</v>
      </c>
      <c r="T18" s="324">
        <f t="shared" si="5"/>
        <v>0</v>
      </c>
      <c r="U18" s="324">
        <f t="shared" si="5"/>
        <v>0</v>
      </c>
      <c r="V18" s="324">
        <f t="shared" si="5"/>
        <v>0</v>
      </c>
      <c r="W18" s="324">
        <f t="shared" si="5"/>
        <v>0</v>
      </c>
      <c r="X18" s="324">
        <f t="shared" si="5"/>
        <v>0</v>
      </c>
      <c r="Y18" s="324">
        <f t="shared" si="5"/>
        <v>0</v>
      </c>
      <c r="Z18" s="324">
        <f t="shared" si="5"/>
        <v>0</v>
      </c>
      <c r="AA18" s="324">
        <f t="shared" si="5"/>
        <v>0</v>
      </c>
      <c r="AB18" s="324">
        <f t="shared" si="5"/>
        <v>0</v>
      </c>
      <c r="AC18" s="198"/>
      <c r="AD18" s="784"/>
      <c r="AE18" s="80"/>
      <c r="AF18" s="787"/>
      <c r="AG18" s="404">
        <v>17</v>
      </c>
    </row>
    <row r="19" spans="1:34" ht="36" thickBot="1" x14ac:dyDescent="0.55000000000000004">
      <c r="A19" s="760" t="s">
        <v>12</v>
      </c>
      <c r="B19" s="761"/>
      <c r="C19" s="761"/>
      <c r="D19" s="761"/>
      <c r="E19" s="761"/>
      <c r="F19" s="761"/>
      <c r="G19" s="761"/>
      <c r="H19" s="761"/>
      <c r="I19" s="761"/>
      <c r="J19" s="761"/>
      <c r="K19" s="761"/>
      <c r="L19" s="761"/>
      <c r="M19" s="761"/>
      <c r="N19" s="761"/>
      <c r="O19" s="761"/>
      <c r="P19" s="761"/>
      <c r="Q19" s="761"/>
      <c r="R19" s="761"/>
      <c r="S19" s="761"/>
      <c r="T19" s="761"/>
      <c r="U19" s="761"/>
      <c r="V19" s="761"/>
      <c r="W19" s="761"/>
      <c r="X19" s="761"/>
      <c r="Y19" s="761"/>
      <c r="Z19" s="761"/>
      <c r="AA19" s="761"/>
      <c r="AB19" s="761"/>
      <c r="AC19" s="761"/>
      <c r="AD19" s="711"/>
      <c r="AE19" s="761"/>
      <c r="AF19" s="712"/>
      <c r="AG19" s="404">
        <v>18</v>
      </c>
    </row>
    <row r="20" spans="1:34" s="7" customFormat="1" ht="26.25" customHeight="1" x14ac:dyDescent="0.5">
      <c r="A20" s="661" t="s">
        <v>37</v>
      </c>
      <c r="B20" s="687" t="s">
        <v>347</v>
      </c>
      <c r="C20" s="666" t="s">
        <v>328</v>
      </c>
      <c r="D20" s="703" t="s">
        <v>0</v>
      </c>
      <c r="E20" s="703"/>
      <c r="F20" s="703" t="s">
        <v>1</v>
      </c>
      <c r="G20" s="703"/>
      <c r="H20" s="703" t="s">
        <v>2</v>
      </c>
      <c r="I20" s="703"/>
      <c r="J20" s="703" t="s">
        <v>3</v>
      </c>
      <c r="K20" s="703"/>
      <c r="L20" s="703" t="s">
        <v>4</v>
      </c>
      <c r="M20" s="703"/>
      <c r="N20" s="703" t="s">
        <v>5</v>
      </c>
      <c r="O20" s="703"/>
      <c r="P20" s="703" t="s">
        <v>6</v>
      </c>
      <c r="Q20" s="703"/>
      <c r="R20" s="703" t="s">
        <v>7</v>
      </c>
      <c r="S20" s="703"/>
      <c r="T20" s="703" t="s">
        <v>8</v>
      </c>
      <c r="U20" s="703"/>
      <c r="V20" s="703" t="s">
        <v>23</v>
      </c>
      <c r="W20" s="703"/>
      <c r="X20" s="703" t="s">
        <v>24</v>
      </c>
      <c r="Y20" s="703"/>
      <c r="Z20" s="703" t="s">
        <v>9</v>
      </c>
      <c r="AA20" s="703"/>
      <c r="AB20" s="744" t="s">
        <v>19</v>
      </c>
      <c r="AC20" s="746" t="s">
        <v>381</v>
      </c>
      <c r="AD20" s="694" t="s">
        <v>387</v>
      </c>
      <c r="AE20" s="766" t="s">
        <v>388</v>
      </c>
      <c r="AF20" s="758" t="s">
        <v>388</v>
      </c>
      <c r="AG20" s="404">
        <v>19</v>
      </c>
      <c r="AH20" s="310"/>
    </row>
    <row r="21" spans="1:34" s="7" customFormat="1" ht="27" customHeight="1" thickBot="1" x14ac:dyDescent="0.55000000000000004">
      <c r="A21" s="662"/>
      <c r="B21" s="713"/>
      <c r="C21" s="667"/>
      <c r="D21" s="78" t="s">
        <v>10</v>
      </c>
      <c r="E21" s="78" t="s">
        <v>11</v>
      </c>
      <c r="F21" s="78" t="s">
        <v>10</v>
      </c>
      <c r="G21" s="78" t="s">
        <v>11</v>
      </c>
      <c r="H21" s="78" t="s">
        <v>10</v>
      </c>
      <c r="I21" s="78" t="s">
        <v>11</v>
      </c>
      <c r="J21" s="78" t="s">
        <v>10</v>
      </c>
      <c r="K21" s="78" t="s">
        <v>11</v>
      </c>
      <c r="L21" s="78" t="s">
        <v>10</v>
      </c>
      <c r="M21" s="78" t="s">
        <v>11</v>
      </c>
      <c r="N21" s="78" t="s">
        <v>10</v>
      </c>
      <c r="O21" s="78" t="s">
        <v>11</v>
      </c>
      <c r="P21" s="78" t="s">
        <v>10</v>
      </c>
      <c r="Q21" s="78" t="s">
        <v>11</v>
      </c>
      <c r="R21" s="78" t="s">
        <v>10</v>
      </c>
      <c r="S21" s="78" t="s">
        <v>11</v>
      </c>
      <c r="T21" s="78" t="s">
        <v>10</v>
      </c>
      <c r="U21" s="78" t="s">
        <v>11</v>
      </c>
      <c r="V21" s="78" t="s">
        <v>10</v>
      </c>
      <c r="W21" s="78" t="s">
        <v>11</v>
      </c>
      <c r="X21" s="78" t="s">
        <v>10</v>
      </c>
      <c r="Y21" s="78" t="s">
        <v>11</v>
      </c>
      <c r="Z21" s="78" t="s">
        <v>10</v>
      </c>
      <c r="AA21" s="78" t="s">
        <v>11</v>
      </c>
      <c r="AB21" s="745"/>
      <c r="AC21" s="747"/>
      <c r="AD21" s="645"/>
      <c r="AE21" s="767"/>
      <c r="AF21" s="759"/>
      <c r="AG21" s="404">
        <v>20</v>
      </c>
      <c r="AH21" s="310"/>
    </row>
    <row r="22" spans="1:34" x14ac:dyDescent="0.5">
      <c r="A22" s="736" t="s">
        <v>121</v>
      </c>
      <c r="B22" s="255" t="s">
        <v>642</v>
      </c>
      <c r="C22" s="129" t="s">
        <v>144</v>
      </c>
      <c r="D22" s="123"/>
      <c r="E22" s="31"/>
      <c r="F22" s="30"/>
      <c r="G22" s="30"/>
      <c r="H22" s="30"/>
      <c r="I22" s="95"/>
      <c r="J22" s="30"/>
      <c r="K22" s="30"/>
      <c r="L22" s="30"/>
      <c r="M22" s="30"/>
      <c r="N22" s="30"/>
      <c r="O22" s="30"/>
      <c r="P22" s="30"/>
      <c r="Q22" s="30"/>
      <c r="R22" s="30"/>
      <c r="S22" s="30"/>
      <c r="T22" s="30"/>
      <c r="U22" s="30"/>
      <c r="V22" s="30"/>
      <c r="W22" s="30"/>
      <c r="X22" s="30"/>
      <c r="Y22" s="30"/>
      <c r="Z22" s="30"/>
      <c r="AA22" s="30"/>
      <c r="AB22" s="86">
        <f t="shared" ref="AB22:AB26" si="6">SUM(D22:AA22)</f>
        <v>0</v>
      </c>
      <c r="AC22" s="75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46" t="str">
        <f>CONCATENATE(AC22,AC24,AC25,AC26,AC28,AC29,AC30,AC31,AC33,AC35,AC37,AC39,AC41,AC43,AC45,AC47,AC49)</f>
        <v/>
      </c>
      <c r="AE22" s="96"/>
      <c r="AF22" s="757" t="str">
        <f>CONCATENATE(AE22,AE23,AE24,AE25,AE26,AE27,AE28,AE29,AE30,AE31,AE32,AE33,AE34,AE35,AE36,AE37,AE38,AE39,AE40,AE41,AE42,AE43,AE44,AE45,AE46,AE47,AE48,AE49,AE50)</f>
        <v/>
      </c>
      <c r="AG22" s="404">
        <v>21</v>
      </c>
    </row>
    <row r="23" spans="1:34" x14ac:dyDescent="0.5">
      <c r="A23" s="686"/>
      <c r="B23" s="256" t="s">
        <v>643</v>
      </c>
      <c r="C23" s="130" t="s">
        <v>146</v>
      </c>
      <c r="D23" s="124"/>
      <c r="E23" s="18"/>
      <c r="F23" s="19"/>
      <c r="G23" s="19"/>
      <c r="H23" s="19"/>
      <c r="I23" s="19"/>
      <c r="J23" s="19"/>
      <c r="K23" s="19"/>
      <c r="L23" s="19"/>
      <c r="M23" s="19"/>
      <c r="N23" s="19"/>
      <c r="O23" s="19"/>
      <c r="P23" s="19"/>
      <c r="Q23" s="19"/>
      <c r="R23" s="19"/>
      <c r="S23" s="19"/>
      <c r="T23" s="19"/>
      <c r="U23" s="19"/>
      <c r="V23" s="19"/>
      <c r="W23" s="19"/>
      <c r="X23" s="19"/>
      <c r="Y23" s="19"/>
      <c r="Z23" s="19"/>
      <c r="AA23" s="19"/>
      <c r="AB23" s="36">
        <f t="shared" si="6"/>
        <v>0</v>
      </c>
      <c r="AC23" s="743"/>
      <c r="AD23" s="647"/>
      <c r="AE23" s="80"/>
      <c r="AF23" s="755"/>
      <c r="AG23" s="404">
        <v>22</v>
      </c>
    </row>
    <row r="24" spans="1:34" s="9" customFormat="1" x14ac:dyDescent="0.5">
      <c r="A24" s="686"/>
      <c r="B24" s="256" t="s">
        <v>147</v>
      </c>
      <c r="C24" s="130" t="s">
        <v>348</v>
      </c>
      <c r="D24" s="124"/>
      <c r="E24" s="18"/>
      <c r="F24" s="19"/>
      <c r="G24" s="19"/>
      <c r="H24" s="19"/>
      <c r="I24" s="19"/>
      <c r="J24" s="19"/>
      <c r="K24" s="19"/>
      <c r="L24" s="19"/>
      <c r="M24" s="19"/>
      <c r="N24" s="19"/>
      <c r="O24" s="19"/>
      <c r="P24" s="19"/>
      <c r="Q24" s="19"/>
      <c r="R24" s="19"/>
      <c r="S24" s="19"/>
      <c r="T24" s="19"/>
      <c r="U24" s="19"/>
      <c r="V24" s="19"/>
      <c r="W24" s="19"/>
      <c r="X24" s="19"/>
      <c r="Y24" s="19"/>
      <c r="Z24" s="19"/>
      <c r="AA24" s="19"/>
      <c r="AB24" s="36">
        <f t="shared" si="6"/>
        <v>0</v>
      </c>
      <c r="AC24" s="89"/>
      <c r="AD24" s="647"/>
      <c r="AE24" s="81"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55"/>
      <c r="AG24" s="404">
        <v>23</v>
      </c>
      <c r="AH24" s="311"/>
    </row>
    <row r="25" spans="1:34" s="8" customFormat="1" x14ac:dyDescent="0.5">
      <c r="A25" s="686"/>
      <c r="B25" s="256" t="s">
        <v>148</v>
      </c>
      <c r="C25" s="131" t="s">
        <v>149</v>
      </c>
      <c r="D25" s="124"/>
      <c r="E25" s="18"/>
      <c r="F25" s="19"/>
      <c r="G25" s="19"/>
      <c r="H25" s="19"/>
      <c r="I25" s="19"/>
      <c r="J25" s="19"/>
      <c r="K25" s="19"/>
      <c r="L25" s="19"/>
      <c r="M25" s="19"/>
      <c r="N25" s="19"/>
      <c r="O25" s="19"/>
      <c r="P25" s="19"/>
      <c r="Q25" s="19"/>
      <c r="R25" s="19"/>
      <c r="S25" s="19"/>
      <c r="T25" s="19"/>
      <c r="U25" s="19"/>
      <c r="V25" s="19"/>
      <c r="W25" s="19"/>
      <c r="X25" s="19"/>
      <c r="Y25" s="19"/>
      <c r="Z25" s="19"/>
      <c r="AA25" s="19"/>
      <c r="AB25" s="36">
        <f t="shared" si="6"/>
        <v>0</v>
      </c>
      <c r="AC25" s="89"/>
      <c r="AD25" s="647"/>
      <c r="AE25" s="80"/>
      <c r="AF25" s="755"/>
      <c r="AG25" s="404">
        <v>24</v>
      </c>
      <c r="AH25" s="312"/>
    </row>
    <row r="26" spans="1:34" s="8" customFormat="1" x14ac:dyDescent="0.5">
      <c r="A26" s="686"/>
      <c r="B26" s="256" t="s">
        <v>161</v>
      </c>
      <c r="C26" s="131" t="s">
        <v>150</v>
      </c>
      <c r="D26" s="124"/>
      <c r="E26" s="18"/>
      <c r="F26" s="19"/>
      <c r="G26" s="19"/>
      <c r="H26" s="19"/>
      <c r="I26" s="19"/>
      <c r="J26" s="19"/>
      <c r="K26" s="19"/>
      <c r="L26" s="19"/>
      <c r="M26" s="19"/>
      <c r="N26" s="19"/>
      <c r="O26" s="19"/>
      <c r="P26" s="19"/>
      <c r="Q26" s="19"/>
      <c r="R26" s="19"/>
      <c r="S26" s="19"/>
      <c r="T26" s="19"/>
      <c r="U26" s="19"/>
      <c r="V26" s="19"/>
      <c r="W26" s="19"/>
      <c r="X26" s="19"/>
      <c r="Y26" s="19"/>
      <c r="Z26" s="19"/>
      <c r="AA26" s="19"/>
      <c r="AB26" s="36">
        <f t="shared" si="6"/>
        <v>0</v>
      </c>
      <c r="AC26" s="743"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47"/>
      <c r="AE26" s="80" t="str">
        <f>CONCATENATE(IF(AND(IFERROR((AB27*100)/AB26,0)&gt;10,AB27&gt;5)," * This facility has a high positivity rate for Index Testing. Kindly confirm if this is the true reflection"&amp;CHAR(10),""),"")</f>
        <v/>
      </c>
      <c r="AF26" s="755"/>
      <c r="AG26" s="404">
        <v>25</v>
      </c>
      <c r="AH26" s="312"/>
    </row>
    <row r="27" spans="1:34" s="8" customFormat="1" ht="32.25" x14ac:dyDescent="0.5">
      <c r="A27" s="686"/>
      <c r="B27" s="261" t="s">
        <v>153</v>
      </c>
      <c r="C27" s="132" t="s">
        <v>152</v>
      </c>
      <c r="D27" s="124"/>
      <c r="E27" s="18"/>
      <c r="F27" s="20"/>
      <c r="G27" s="20"/>
      <c r="H27" s="20"/>
      <c r="I27" s="20"/>
      <c r="J27" s="20"/>
      <c r="K27" s="20"/>
      <c r="L27" s="20"/>
      <c r="M27" s="20"/>
      <c r="N27" s="20"/>
      <c r="O27" s="20"/>
      <c r="P27" s="20"/>
      <c r="Q27" s="20"/>
      <c r="R27" s="20"/>
      <c r="S27" s="20"/>
      <c r="T27" s="20"/>
      <c r="U27" s="20"/>
      <c r="V27" s="20"/>
      <c r="W27" s="20"/>
      <c r="X27" s="20"/>
      <c r="Y27" s="20"/>
      <c r="Z27" s="20"/>
      <c r="AA27" s="20"/>
      <c r="AB27" s="40">
        <f>SUM(D27:AA27)</f>
        <v>0</v>
      </c>
      <c r="AC27" s="743"/>
      <c r="AD27" s="647"/>
      <c r="AE27" s="80"/>
      <c r="AF27" s="755"/>
      <c r="AG27" s="404">
        <v>26</v>
      </c>
      <c r="AH27" s="312"/>
    </row>
    <row r="28" spans="1:34" s="8" customFormat="1" x14ac:dyDescent="0.5">
      <c r="A28" s="686"/>
      <c r="B28" s="256" t="s">
        <v>154</v>
      </c>
      <c r="C28" s="131" t="s">
        <v>155</v>
      </c>
      <c r="D28" s="124"/>
      <c r="E28" s="18"/>
      <c r="F28" s="19"/>
      <c r="G28" s="19"/>
      <c r="H28" s="19"/>
      <c r="I28" s="19"/>
      <c r="J28" s="19"/>
      <c r="K28" s="19"/>
      <c r="L28" s="19"/>
      <c r="M28" s="19"/>
      <c r="N28" s="19"/>
      <c r="O28" s="19"/>
      <c r="P28" s="19"/>
      <c r="Q28" s="19"/>
      <c r="R28" s="19"/>
      <c r="S28" s="19"/>
      <c r="T28" s="19"/>
      <c r="U28" s="19"/>
      <c r="V28" s="19"/>
      <c r="W28" s="19"/>
      <c r="X28" s="19"/>
      <c r="Y28" s="19"/>
      <c r="Z28" s="19"/>
      <c r="AA28" s="19"/>
      <c r="AB28" s="36">
        <f t="shared" ref="AB28:AB50" si="7">SUM(D28:AA28)</f>
        <v>0</v>
      </c>
      <c r="AC28" s="89"/>
      <c r="AD28" s="647"/>
      <c r="AE28" s="80"/>
      <c r="AF28" s="755"/>
      <c r="AG28" s="404">
        <v>27</v>
      </c>
      <c r="AH28" s="312"/>
    </row>
    <row r="29" spans="1:34" s="8" customFormat="1" x14ac:dyDescent="0.5">
      <c r="A29" s="686"/>
      <c r="B29" s="256" t="s">
        <v>654</v>
      </c>
      <c r="C29" s="131" t="s">
        <v>156</v>
      </c>
      <c r="D29" s="127"/>
      <c r="E29" s="21"/>
      <c r="F29" s="19"/>
      <c r="G29" s="19"/>
      <c r="H29" s="19"/>
      <c r="I29" s="19"/>
      <c r="J29" s="19"/>
      <c r="K29" s="19"/>
      <c r="L29" s="19"/>
      <c r="M29" s="19"/>
      <c r="N29" s="19"/>
      <c r="O29" s="19"/>
      <c r="P29" s="19"/>
      <c r="Q29" s="19"/>
      <c r="R29" s="19"/>
      <c r="S29" s="19"/>
      <c r="T29" s="19"/>
      <c r="U29" s="19"/>
      <c r="V29" s="19"/>
      <c r="W29" s="19"/>
      <c r="X29" s="19"/>
      <c r="Y29" s="19"/>
      <c r="Z29" s="19"/>
      <c r="AA29" s="19"/>
      <c r="AB29" s="36">
        <f t="shared" si="7"/>
        <v>0</v>
      </c>
      <c r="AC29" s="89"/>
      <c r="AD29" s="647"/>
      <c r="AE29" s="80"/>
      <c r="AF29" s="755"/>
      <c r="AG29" s="404">
        <v>28</v>
      </c>
      <c r="AH29" s="312"/>
    </row>
    <row r="30" spans="1:34" s="8" customFormat="1" ht="31.5" thickBot="1" x14ac:dyDescent="0.55000000000000004">
      <c r="A30" s="660"/>
      <c r="B30" s="262" t="s">
        <v>157</v>
      </c>
      <c r="C30" s="133" t="s">
        <v>158</v>
      </c>
      <c r="D30" s="128"/>
      <c r="E30" s="41"/>
      <c r="F30" s="38"/>
      <c r="G30" s="38"/>
      <c r="H30" s="38"/>
      <c r="I30" s="38"/>
      <c r="J30" s="38"/>
      <c r="K30" s="38"/>
      <c r="L30" s="38"/>
      <c r="M30" s="38"/>
      <c r="N30" s="38"/>
      <c r="O30" s="38"/>
      <c r="P30" s="38"/>
      <c r="Q30" s="38"/>
      <c r="R30" s="38"/>
      <c r="S30" s="38"/>
      <c r="T30" s="38"/>
      <c r="U30" s="38"/>
      <c r="V30" s="38"/>
      <c r="W30" s="38"/>
      <c r="X30" s="38"/>
      <c r="Y30" s="38"/>
      <c r="Z30" s="38"/>
      <c r="AA30" s="38"/>
      <c r="AB30" s="39">
        <f t="shared" si="7"/>
        <v>0</v>
      </c>
      <c r="AC30" s="89"/>
      <c r="AD30" s="647"/>
      <c r="AE30" s="80"/>
      <c r="AF30" s="755"/>
      <c r="AG30" s="404">
        <v>29</v>
      </c>
      <c r="AH30" s="312"/>
    </row>
    <row r="31" spans="1:34" s="8" customFormat="1" x14ac:dyDescent="0.5">
      <c r="A31" s="659" t="s">
        <v>13</v>
      </c>
      <c r="B31" s="264" t="s">
        <v>161</v>
      </c>
      <c r="C31" s="129" t="s">
        <v>160</v>
      </c>
      <c r="D31" s="134"/>
      <c r="E31" s="42"/>
      <c r="F31" s="34"/>
      <c r="G31" s="34"/>
      <c r="H31" s="34"/>
      <c r="I31" s="34"/>
      <c r="J31" s="34"/>
      <c r="K31" s="34"/>
      <c r="L31" s="34"/>
      <c r="M31" s="34"/>
      <c r="N31" s="34"/>
      <c r="O31" s="34"/>
      <c r="P31" s="34"/>
      <c r="Q31" s="34"/>
      <c r="R31" s="34"/>
      <c r="S31" s="34"/>
      <c r="T31" s="34"/>
      <c r="U31" s="34"/>
      <c r="V31" s="34"/>
      <c r="W31" s="34"/>
      <c r="X31" s="34"/>
      <c r="Y31" s="34"/>
      <c r="Z31" s="34"/>
      <c r="AA31" s="34"/>
      <c r="AB31" s="35">
        <f t="shared" si="7"/>
        <v>0</v>
      </c>
      <c r="AC31" s="743"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47"/>
      <c r="AE31" s="80" t="str">
        <f>CONCATENATE(IF(AND(IFERROR((AB32*100)/AB31,0)&gt;10,AB32&gt;5)," * This facility has a high positivity rate for Index Testing. Kindly confirm if this is the true reflection"&amp;CHAR(10),""),"")</f>
        <v/>
      </c>
      <c r="AF31" s="755"/>
      <c r="AG31" s="404">
        <v>30</v>
      </c>
      <c r="AH31" s="312"/>
    </row>
    <row r="32" spans="1:34" s="8" customFormat="1" ht="33" thickBot="1" x14ac:dyDescent="0.55000000000000004">
      <c r="A32" s="660"/>
      <c r="B32" s="265" t="s">
        <v>153</v>
      </c>
      <c r="C32" s="133" t="s">
        <v>162</v>
      </c>
      <c r="D32" s="135"/>
      <c r="E32" s="43"/>
      <c r="F32" s="189"/>
      <c r="G32" s="189"/>
      <c r="H32" s="189"/>
      <c r="I32" s="189"/>
      <c r="J32" s="189"/>
      <c r="K32" s="189"/>
      <c r="L32" s="189"/>
      <c r="M32" s="189"/>
      <c r="N32" s="189"/>
      <c r="O32" s="189"/>
      <c r="P32" s="189"/>
      <c r="Q32" s="189"/>
      <c r="R32" s="189"/>
      <c r="S32" s="189"/>
      <c r="T32" s="189"/>
      <c r="U32" s="189"/>
      <c r="V32" s="189"/>
      <c r="W32" s="189"/>
      <c r="X32" s="189"/>
      <c r="Y32" s="189"/>
      <c r="Z32" s="189"/>
      <c r="AA32" s="189"/>
      <c r="AB32" s="45">
        <f t="shared" si="7"/>
        <v>0</v>
      </c>
      <c r="AC32" s="743"/>
      <c r="AD32" s="647"/>
      <c r="AE32" s="80"/>
      <c r="AF32" s="755"/>
      <c r="AG32" s="404">
        <v>31</v>
      </c>
      <c r="AH32" s="312"/>
    </row>
    <row r="33" spans="1:34" s="8" customFormat="1" x14ac:dyDescent="0.5">
      <c r="A33" s="659" t="s">
        <v>14</v>
      </c>
      <c r="B33" s="264" t="s">
        <v>161</v>
      </c>
      <c r="C33" s="129" t="s">
        <v>163</v>
      </c>
      <c r="D33" s="136"/>
      <c r="E33" s="33"/>
      <c r="F33" s="34"/>
      <c r="G33" s="34"/>
      <c r="H33" s="34"/>
      <c r="I33" s="34"/>
      <c r="J33" s="34"/>
      <c r="K33" s="34"/>
      <c r="L33" s="34"/>
      <c r="M33" s="34"/>
      <c r="N33" s="34"/>
      <c r="O33" s="34"/>
      <c r="P33" s="34"/>
      <c r="Q33" s="34"/>
      <c r="R33" s="34"/>
      <c r="S33" s="34"/>
      <c r="T33" s="34"/>
      <c r="U33" s="34"/>
      <c r="V33" s="34"/>
      <c r="W33" s="34"/>
      <c r="X33" s="34"/>
      <c r="Y33" s="34"/>
      <c r="Z33" s="34"/>
      <c r="AA33" s="34"/>
      <c r="AB33" s="35">
        <f t="shared" si="7"/>
        <v>0</v>
      </c>
      <c r="AC33" s="743"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47"/>
      <c r="AE33" s="80" t="str">
        <f>CONCATENATE(IF(AND(IFERROR((AB34*100)/AB33,0)&gt;10,AB34&gt;5)," * This facility has a high positivity rate for Index Testing. Kindly confirm if this is the true reflection"&amp;CHAR(10),""),"")</f>
        <v/>
      </c>
      <c r="AF33" s="755"/>
      <c r="AG33" s="404">
        <v>32</v>
      </c>
      <c r="AH33" s="312"/>
    </row>
    <row r="34" spans="1:34" s="8" customFormat="1" ht="33" thickBot="1" x14ac:dyDescent="0.55000000000000004">
      <c r="A34" s="660"/>
      <c r="B34" s="265" t="s">
        <v>153</v>
      </c>
      <c r="C34" s="133" t="s">
        <v>164</v>
      </c>
      <c r="D34" s="137"/>
      <c r="E34" s="46"/>
      <c r="F34" s="189"/>
      <c r="G34" s="189"/>
      <c r="H34" s="189"/>
      <c r="I34" s="189"/>
      <c r="J34" s="189"/>
      <c r="K34" s="189"/>
      <c r="L34" s="189"/>
      <c r="M34" s="189"/>
      <c r="N34" s="189"/>
      <c r="O34" s="189"/>
      <c r="P34" s="189"/>
      <c r="Q34" s="189"/>
      <c r="R34" s="189"/>
      <c r="S34" s="189"/>
      <c r="T34" s="189"/>
      <c r="U34" s="189"/>
      <c r="V34" s="189"/>
      <c r="W34" s="189"/>
      <c r="X34" s="189"/>
      <c r="Y34" s="189"/>
      <c r="Z34" s="189"/>
      <c r="AA34" s="189"/>
      <c r="AB34" s="45">
        <f t="shared" si="7"/>
        <v>0</v>
      </c>
      <c r="AC34" s="743"/>
      <c r="AD34" s="647"/>
      <c r="AE34" s="80"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55"/>
      <c r="AG34" s="404">
        <v>33</v>
      </c>
      <c r="AH34" s="312"/>
    </row>
    <row r="35" spans="1:34" x14ac:dyDescent="0.5">
      <c r="A35" s="659" t="s">
        <v>15</v>
      </c>
      <c r="B35" s="264" t="s">
        <v>161</v>
      </c>
      <c r="C35" s="129" t="s">
        <v>165</v>
      </c>
      <c r="D35" s="136"/>
      <c r="E35" s="33"/>
      <c r="F35" s="34"/>
      <c r="G35" s="34"/>
      <c r="H35" s="33"/>
      <c r="I35" s="33"/>
      <c r="J35" s="33"/>
      <c r="K35" s="33"/>
      <c r="L35" s="33"/>
      <c r="M35" s="33"/>
      <c r="N35" s="33"/>
      <c r="O35" s="33"/>
      <c r="P35" s="33"/>
      <c r="Q35" s="33"/>
      <c r="R35" s="33"/>
      <c r="S35" s="33"/>
      <c r="T35" s="33"/>
      <c r="U35" s="33"/>
      <c r="V35" s="33"/>
      <c r="W35" s="33"/>
      <c r="X35" s="33"/>
      <c r="Y35" s="33"/>
      <c r="Z35" s="33"/>
      <c r="AA35" s="33"/>
      <c r="AB35" s="35">
        <f t="shared" si="7"/>
        <v>0</v>
      </c>
      <c r="AC35" s="743"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47"/>
      <c r="AE35" s="80" t="str">
        <f>CONCATENATE(IF(AND(IFERROR((AB36*100)/AB35,0)&gt;10,AB36&gt;5)," * This facility has a high positivity rate for Index Testing. Kindly confirm if this is the true reflection"&amp;CHAR(10),""),"")</f>
        <v/>
      </c>
      <c r="AF35" s="755"/>
      <c r="AG35" s="404">
        <v>34</v>
      </c>
    </row>
    <row r="36" spans="1:34" ht="33" thickBot="1" x14ac:dyDescent="0.55000000000000004">
      <c r="A36" s="660"/>
      <c r="B36" s="265" t="s">
        <v>153</v>
      </c>
      <c r="C36" s="133" t="s">
        <v>166</v>
      </c>
      <c r="D36" s="137"/>
      <c r="E36" s="46"/>
      <c r="F36" s="189"/>
      <c r="G36" s="189"/>
      <c r="H36" s="37"/>
      <c r="I36" s="37"/>
      <c r="J36" s="37"/>
      <c r="K36" s="37"/>
      <c r="L36" s="37"/>
      <c r="M36" s="37"/>
      <c r="N36" s="37"/>
      <c r="O36" s="37"/>
      <c r="P36" s="37"/>
      <c r="Q36" s="37"/>
      <c r="R36" s="37"/>
      <c r="S36" s="37"/>
      <c r="T36" s="37"/>
      <c r="U36" s="37"/>
      <c r="V36" s="37"/>
      <c r="W36" s="37"/>
      <c r="X36" s="37"/>
      <c r="Y36" s="37"/>
      <c r="Z36" s="37"/>
      <c r="AA36" s="37"/>
      <c r="AB36" s="45">
        <f t="shared" si="7"/>
        <v>0</v>
      </c>
      <c r="AC36" s="743"/>
      <c r="AD36" s="647"/>
      <c r="AE36" s="80"/>
      <c r="AF36" s="755"/>
      <c r="AG36" s="404">
        <v>35</v>
      </c>
    </row>
    <row r="37" spans="1:34" x14ac:dyDescent="0.5">
      <c r="A37" s="659" t="s">
        <v>443</v>
      </c>
      <c r="B37" s="264" t="s">
        <v>161</v>
      </c>
      <c r="C37" s="129" t="s">
        <v>167</v>
      </c>
      <c r="D37" s="136"/>
      <c r="E37" s="33"/>
      <c r="F37" s="34"/>
      <c r="G37" s="34"/>
      <c r="H37" s="33"/>
      <c r="I37" s="33"/>
      <c r="J37" s="33"/>
      <c r="K37" s="33"/>
      <c r="L37" s="33"/>
      <c r="M37" s="33"/>
      <c r="N37" s="33"/>
      <c r="O37" s="33"/>
      <c r="P37" s="33"/>
      <c r="Q37" s="33"/>
      <c r="R37" s="33"/>
      <c r="S37" s="33"/>
      <c r="T37" s="33"/>
      <c r="U37" s="33"/>
      <c r="V37" s="33"/>
      <c r="W37" s="33"/>
      <c r="X37" s="33"/>
      <c r="Y37" s="33"/>
      <c r="Z37" s="33"/>
      <c r="AA37" s="33"/>
      <c r="AB37" s="35">
        <f t="shared" si="7"/>
        <v>0</v>
      </c>
      <c r="AC37" s="743"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47"/>
      <c r="AE37" s="80" t="str">
        <f>CONCATENATE(IF(AND(IFERROR((AB38*100)/AB37,0)&gt;10,AB38&gt;5)," * This facility has a high positivity rate for Index Testing. Kindly confirm if this is the true reflection"&amp;CHAR(10),""),"")</f>
        <v/>
      </c>
      <c r="AF37" s="755"/>
      <c r="AG37" s="404">
        <v>36</v>
      </c>
    </row>
    <row r="38" spans="1:34" ht="33" thickBot="1" x14ac:dyDescent="0.55000000000000004">
      <c r="A38" s="660"/>
      <c r="B38" s="265" t="s">
        <v>153</v>
      </c>
      <c r="C38" s="133" t="s">
        <v>168</v>
      </c>
      <c r="D38" s="138"/>
      <c r="E38" s="37"/>
      <c r="F38" s="189"/>
      <c r="G38" s="189"/>
      <c r="H38" s="37"/>
      <c r="I38" s="37"/>
      <c r="J38" s="37"/>
      <c r="K38" s="37"/>
      <c r="L38" s="37"/>
      <c r="M38" s="37"/>
      <c r="N38" s="37"/>
      <c r="O38" s="37"/>
      <c r="P38" s="37"/>
      <c r="Q38" s="37"/>
      <c r="R38" s="37"/>
      <c r="S38" s="37"/>
      <c r="T38" s="37"/>
      <c r="U38" s="37"/>
      <c r="V38" s="37"/>
      <c r="W38" s="37"/>
      <c r="X38" s="37"/>
      <c r="Y38" s="37"/>
      <c r="Z38" s="37"/>
      <c r="AA38" s="37"/>
      <c r="AB38" s="45">
        <f t="shared" si="7"/>
        <v>0</v>
      </c>
      <c r="AC38" s="743"/>
      <c r="AD38" s="647"/>
      <c r="AE38" s="80"/>
      <c r="AF38" s="755"/>
      <c r="AG38" s="404">
        <v>37</v>
      </c>
    </row>
    <row r="39" spans="1:34" x14ac:dyDescent="0.5">
      <c r="A39" s="659" t="s">
        <v>16</v>
      </c>
      <c r="B39" s="264" t="s">
        <v>161</v>
      </c>
      <c r="C39" s="129" t="s">
        <v>169</v>
      </c>
      <c r="D39" s="134"/>
      <c r="E39" s="42"/>
      <c r="F39" s="34"/>
      <c r="G39" s="34"/>
      <c r="H39" s="34"/>
      <c r="I39" s="34"/>
      <c r="J39" s="34"/>
      <c r="K39" s="34"/>
      <c r="L39" s="34"/>
      <c r="M39" s="34"/>
      <c r="N39" s="34"/>
      <c r="O39" s="34"/>
      <c r="P39" s="34"/>
      <c r="Q39" s="34"/>
      <c r="R39" s="34"/>
      <c r="S39" s="34"/>
      <c r="T39" s="34"/>
      <c r="U39" s="34"/>
      <c r="V39" s="34"/>
      <c r="W39" s="34"/>
      <c r="X39" s="34"/>
      <c r="Y39" s="34"/>
      <c r="Z39" s="34"/>
      <c r="AA39" s="34"/>
      <c r="AB39" s="35">
        <f t="shared" si="7"/>
        <v>0</v>
      </c>
      <c r="AC39" s="743"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47"/>
      <c r="AE39" s="80" t="str">
        <f>CONCATENATE(IF(AND(IFERROR((AB40*100)/AB39,0)&gt;10,AB40&gt;5)," * This facility has a high positivity rate for Index Testing. Kindly confirm if this is the true reflection"&amp;CHAR(10),""),"")</f>
        <v/>
      </c>
      <c r="AF39" s="755"/>
      <c r="AG39" s="404">
        <v>38</v>
      </c>
    </row>
    <row r="40" spans="1:34" ht="33" thickBot="1" x14ac:dyDescent="0.55000000000000004">
      <c r="A40" s="660"/>
      <c r="B40" s="265" t="s">
        <v>153</v>
      </c>
      <c r="C40" s="133" t="s">
        <v>170</v>
      </c>
      <c r="D40" s="128"/>
      <c r="E40" s="41"/>
      <c r="F40" s="189"/>
      <c r="G40" s="189"/>
      <c r="H40" s="189"/>
      <c r="I40" s="189"/>
      <c r="J40" s="189"/>
      <c r="K40" s="189"/>
      <c r="L40" s="189"/>
      <c r="M40" s="189"/>
      <c r="N40" s="189"/>
      <c r="O40" s="189"/>
      <c r="P40" s="189"/>
      <c r="Q40" s="189"/>
      <c r="R40" s="189"/>
      <c r="S40" s="189"/>
      <c r="T40" s="189"/>
      <c r="U40" s="189"/>
      <c r="V40" s="189"/>
      <c r="W40" s="189"/>
      <c r="X40" s="189"/>
      <c r="Y40" s="189"/>
      <c r="Z40" s="189"/>
      <c r="AA40" s="189"/>
      <c r="AB40" s="45">
        <f t="shared" si="7"/>
        <v>0</v>
      </c>
      <c r="AC40" s="743"/>
      <c r="AD40" s="647"/>
      <c r="AE40" s="80"/>
      <c r="AF40" s="755"/>
      <c r="AG40" s="404">
        <v>39</v>
      </c>
    </row>
    <row r="41" spans="1:34" x14ac:dyDescent="0.5">
      <c r="A41" s="659" t="s">
        <v>17</v>
      </c>
      <c r="B41" s="264" t="s">
        <v>161</v>
      </c>
      <c r="C41" s="129" t="s">
        <v>349</v>
      </c>
      <c r="D41" s="134"/>
      <c r="E41" s="42"/>
      <c r="F41" s="34"/>
      <c r="G41" s="34"/>
      <c r="H41" s="34"/>
      <c r="I41" s="34"/>
      <c r="J41" s="34"/>
      <c r="K41" s="34"/>
      <c r="L41" s="34"/>
      <c r="M41" s="34"/>
      <c r="N41" s="34"/>
      <c r="O41" s="34"/>
      <c r="P41" s="34"/>
      <c r="Q41" s="34"/>
      <c r="R41" s="34"/>
      <c r="S41" s="34"/>
      <c r="T41" s="34"/>
      <c r="U41" s="34"/>
      <c r="V41" s="34"/>
      <c r="W41" s="34"/>
      <c r="X41" s="34"/>
      <c r="Y41" s="34"/>
      <c r="Z41" s="34"/>
      <c r="AA41" s="34"/>
      <c r="AB41" s="35">
        <f t="shared" si="7"/>
        <v>0</v>
      </c>
      <c r="AC41" s="743"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47"/>
      <c r="AE41" s="80" t="str">
        <f>CONCATENATE(IF(AND(IFERROR((AB42*100)/AB41,0)&gt;10,AB42&gt;5)," * This facility has a high positivity rate for Index Testing. Kindly confirm if this is the true reflection"&amp;CHAR(10),""),"")</f>
        <v/>
      </c>
      <c r="AF41" s="755"/>
      <c r="AG41" s="404">
        <v>40</v>
      </c>
    </row>
    <row r="42" spans="1:34" ht="33" thickBot="1" x14ac:dyDescent="0.55000000000000004">
      <c r="A42" s="660"/>
      <c r="B42" s="265" t="s">
        <v>153</v>
      </c>
      <c r="C42" s="133" t="s">
        <v>171</v>
      </c>
      <c r="D42" s="128"/>
      <c r="E42" s="41"/>
      <c r="F42" s="189"/>
      <c r="G42" s="189"/>
      <c r="H42" s="189"/>
      <c r="I42" s="189"/>
      <c r="J42" s="189"/>
      <c r="K42" s="189"/>
      <c r="L42" s="189"/>
      <c r="M42" s="189"/>
      <c r="N42" s="189"/>
      <c r="O42" s="189"/>
      <c r="P42" s="189"/>
      <c r="Q42" s="189"/>
      <c r="R42" s="189"/>
      <c r="S42" s="189"/>
      <c r="T42" s="189"/>
      <c r="U42" s="189"/>
      <c r="V42" s="189"/>
      <c r="W42" s="189"/>
      <c r="X42" s="189"/>
      <c r="Y42" s="189"/>
      <c r="Z42" s="189"/>
      <c r="AA42" s="189"/>
      <c r="AB42" s="45">
        <f t="shared" si="7"/>
        <v>0</v>
      </c>
      <c r="AC42" s="743"/>
      <c r="AD42" s="647"/>
      <c r="AE42" s="80"/>
      <c r="AF42" s="755"/>
      <c r="AG42" s="404">
        <v>41</v>
      </c>
    </row>
    <row r="43" spans="1:34" x14ac:dyDescent="0.5">
      <c r="A43" s="659" t="s">
        <v>22</v>
      </c>
      <c r="B43" s="264" t="s">
        <v>161</v>
      </c>
      <c r="C43" s="129" t="s">
        <v>172</v>
      </c>
      <c r="D43" s="136"/>
      <c r="E43" s="33"/>
      <c r="F43" s="34"/>
      <c r="G43" s="34"/>
      <c r="H43" s="34"/>
      <c r="I43" s="34"/>
      <c r="J43" s="34"/>
      <c r="K43" s="34"/>
      <c r="L43" s="34"/>
      <c r="M43" s="34"/>
      <c r="N43" s="34"/>
      <c r="O43" s="34"/>
      <c r="P43" s="34"/>
      <c r="Q43" s="34"/>
      <c r="R43" s="34"/>
      <c r="S43" s="34"/>
      <c r="T43" s="34"/>
      <c r="U43" s="34"/>
      <c r="V43" s="34"/>
      <c r="W43" s="34"/>
      <c r="X43" s="34"/>
      <c r="Y43" s="34"/>
      <c r="Z43" s="34"/>
      <c r="AA43" s="34"/>
      <c r="AB43" s="35">
        <f t="shared" si="7"/>
        <v>0</v>
      </c>
      <c r="AC43" s="743"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47"/>
      <c r="AE43" s="80" t="str">
        <f>CONCATENATE(IF(AND(IFERROR((AB44*100)/AB43,0)&gt;10,AB44&gt;5)," * This facility has a high positivity rate for Index Testing. Kindly confirm if this is the true reflection"&amp;CHAR(10),""),"")</f>
        <v/>
      </c>
      <c r="AF43" s="755"/>
      <c r="AG43" s="404">
        <v>42</v>
      </c>
    </row>
    <row r="44" spans="1:34" ht="33" thickBot="1" x14ac:dyDescent="0.55000000000000004">
      <c r="A44" s="660"/>
      <c r="B44" s="265" t="s">
        <v>153</v>
      </c>
      <c r="C44" s="133" t="s">
        <v>173</v>
      </c>
      <c r="D44" s="138"/>
      <c r="E44" s="37"/>
      <c r="F44" s="189"/>
      <c r="G44" s="189"/>
      <c r="H44" s="189"/>
      <c r="I44" s="189"/>
      <c r="J44" s="189"/>
      <c r="K44" s="189"/>
      <c r="L44" s="189"/>
      <c r="M44" s="189"/>
      <c r="N44" s="189"/>
      <c r="O44" s="189"/>
      <c r="P44" s="189"/>
      <c r="Q44" s="189"/>
      <c r="R44" s="189"/>
      <c r="S44" s="189"/>
      <c r="T44" s="189"/>
      <c r="U44" s="189"/>
      <c r="V44" s="189"/>
      <c r="W44" s="189"/>
      <c r="X44" s="189"/>
      <c r="Y44" s="189"/>
      <c r="Z44" s="189"/>
      <c r="AA44" s="189"/>
      <c r="AB44" s="45">
        <f t="shared" si="7"/>
        <v>0</v>
      </c>
      <c r="AC44" s="743"/>
      <c r="AD44" s="647"/>
      <c r="AE44" s="80"/>
      <c r="AF44" s="755"/>
      <c r="AG44" s="404">
        <v>43</v>
      </c>
    </row>
    <row r="45" spans="1:34" x14ac:dyDescent="0.5">
      <c r="A45" s="659" t="s">
        <v>18</v>
      </c>
      <c r="B45" s="264" t="s">
        <v>161</v>
      </c>
      <c r="C45" s="129" t="s">
        <v>174</v>
      </c>
      <c r="D45" s="134"/>
      <c r="E45" s="42"/>
      <c r="F45" s="33"/>
      <c r="G45" s="33"/>
      <c r="H45" s="33"/>
      <c r="I45" s="33"/>
      <c r="J45" s="33"/>
      <c r="K45" s="33"/>
      <c r="L45" s="34"/>
      <c r="M45" s="34"/>
      <c r="N45" s="34"/>
      <c r="O45" s="34"/>
      <c r="P45" s="34"/>
      <c r="Q45" s="34"/>
      <c r="R45" s="34"/>
      <c r="S45" s="34"/>
      <c r="T45" s="34"/>
      <c r="U45" s="34"/>
      <c r="V45" s="34"/>
      <c r="W45" s="34"/>
      <c r="X45" s="34"/>
      <c r="Y45" s="34"/>
      <c r="Z45" s="34"/>
      <c r="AA45" s="34"/>
      <c r="AB45" s="35">
        <f t="shared" si="7"/>
        <v>0</v>
      </c>
      <c r="AC45" s="743"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47"/>
      <c r="AE45" s="80" t="str">
        <f>CONCATENATE(IF(AND(IFERROR((AB46*100)/AB45,0)&gt;10,AB46&gt;5)," * This facility has a high positivity rate for Index Testing. Kindly confirm if this is the true reflection"&amp;CHAR(10),""),"")</f>
        <v/>
      </c>
      <c r="AF45" s="755"/>
      <c r="AG45" s="404">
        <v>44</v>
      </c>
    </row>
    <row r="46" spans="1:34" ht="33" thickBot="1" x14ac:dyDescent="0.55000000000000004">
      <c r="A46" s="660"/>
      <c r="B46" s="265" t="s">
        <v>153</v>
      </c>
      <c r="C46" s="133" t="s">
        <v>175</v>
      </c>
      <c r="D46" s="128"/>
      <c r="E46" s="41"/>
      <c r="F46" s="37"/>
      <c r="G46" s="37"/>
      <c r="H46" s="37"/>
      <c r="I46" s="37"/>
      <c r="J46" s="37"/>
      <c r="K46" s="37"/>
      <c r="L46" s="44"/>
      <c r="M46" s="44"/>
      <c r="N46" s="44"/>
      <c r="O46" s="44"/>
      <c r="P46" s="44"/>
      <c r="Q46" s="44"/>
      <c r="R46" s="44"/>
      <c r="S46" s="44"/>
      <c r="T46" s="44"/>
      <c r="U46" s="44"/>
      <c r="V46" s="44"/>
      <c r="W46" s="44"/>
      <c r="X46" s="44"/>
      <c r="Y46" s="44"/>
      <c r="Z46" s="44"/>
      <c r="AA46" s="44"/>
      <c r="AB46" s="45">
        <f t="shared" si="7"/>
        <v>0</v>
      </c>
      <c r="AC46" s="743"/>
      <c r="AD46" s="647"/>
      <c r="AE46" s="80"/>
      <c r="AF46" s="755"/>
      <c r="AG46" s="404">
        <v>45</v>
      </c>
    </row>
    <row r="47" spans="1:34" x14ac:dyDescent="0.5">
      <c r="A47" s="659" t="s">
        <v>113</v>
      </c>
      <c r="B47" s="264" t="s">
        <v>161</v>
      </c>
      <c r="C47" s="129" t="s">
        <v>350</v>
      </c>
      <c r="D47" s="134"/>
      <c r="E47" s="42"/>
      <c r="F47" s="33"/>
      <c r="G47" s="33"/>
      <c r="H47" s="33"/>
      <c r="I47" s="33"/>
      <c r="J47" s="33"/>
      <c r="K47" s="33"/>
      <c r="L47" s="34"/>
      <c r="M47" s="33"/>
      <c r="N47" s="34"/>
      <c r="O47" s="33"/>
      <c r="P47" s="34"/>
      <c r="Q47" s="33"/>
      <c r="R47" s="34"/>
      <c r="S47" s="33"/>
      <c r="T47" s="34"/>
      <c r="U47" s="33"/>
      <c r="V47" s="34"/>
      <c r="W47" s="33"/>
      <c r="X47" s="34"/>
      <c r="Y47" s="33"/>
      <c r="Z47" s="34"/>
      <c r="AA47" s="33"/>
      <c r="AB47" s="35">
        <f t="shared" si="7"/>
        <v>0</v>
      </c>
      <c r="AC47" s="743"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47"/>
      <c r="AE47" s="80" t="str">
        <f>CONCATENATE(IF(AND(IFERROR((AB48*100)/AB47,0)&gt;10,AB48&gt;5)," * This facility has a high positivity rate for Index Testing. Kindly confirm if this is the true reflection"&amp;CHAR(10),""),"")</f>
        <v/>
      </c>
      <c r="AF47" s="755"/>
      <c r="AG47" s="404">
        <v>46</v>
      </c>
    </row>
    <row r="48" spans="1:34" ht="33" thickBot="1" x14ac:dyDescent="0.55000000000000004">
      <c r="A48" s="660"/>
      <c r="B48" s="265" t="s">
        <v>153</v>
      </c>
      <c r="C48" s="133" t="s">
        <v>176</v>
      </c>
      <c r="D48" s="128"/>
      <c r="E48" s="41"/>
      <c r="F48" s="37"/>
      <c r="G48" s="37"/>
      <c r="H48" s="37"/>
      <c r="I48" s="37"/>
      <c r="J48" s="37"/>
      <c r="K48" s="37"/>
      <c r="L48" s="189"/>
      <c r="M48" s="37"/>
      <c r="N48" s="189"/>
      <c r="O48" s="37"/>
      <c r="P48" s="189"/>
      <c r="Q48" s="37"/>
      <c r="R48" s="189"/>
      <c r="S48" s="37"/>
      <c r="T48" s="189"/>
      <c r="U48" s="37"/>
      <c r="V48" s="189"/>
      <c r="W48" s="37"/>
      <c r="X48" s="189"/>
      <c r="Y48" s="37"/>
      <c r="Z48" s="189"/>
      <c r="AA48" s="37"/>
      <c r="AB48" s="39">
        <f t="shared" si="7"/>
        <v>0</v>
      </c>
      <c r="AC48" s="743"/>
      <c r="AD48" s="647"/>
      <c r="AE48" s="80"/>
      <c r="AF48" s="755"/>
      <c r="AG48" s="404">
        <v>47</v>
      </c>
    </row>
    <row r="49" spans="1:34" s="3" customFormat="1" ht="32.25" x14ac:dyDescent="0.55000000000000004">
      <c r="A49" s="764" t="s">
        <v>132</v>
      </c>
      <c r="B49" s="268" t="s">
        <v>646</v>
      </c>
      <c r="C49" s="129" t="s">
        <v>351</v>
      </c>
      <c r="D49" s="244">
        <f t="shared" ref="D49:AA49" si="8">SUM(D26+D31+D33+D35+D37+D39+D41+D43+D45+D47)</f>
        <v>0</v>
      </c>
      <c r="E49" s="244">
        <f t="shared" si="8"/>
        <v>0</v>
      </c>
      <c r="F49" s="244">
        <f t="shared" si="8"/>
        <v>0</v>
      </c>
      <c r="G49" s="244">
        <f t="shared" si="8"/>
        <v>0</v>
      </c>
      <c r="H49" s="244">
        <f t="shared" si="8"/>
        <v>0</v>
      </c>
      <c r="I49" s="244">
        <f t="shared" si="8"/>
        <v>0</v>
      </c>
      <c r="J49" s="244">
        <f t="shared" si="8"/>
        <v>0</v>
      </c>
      <c r="K49" s="244">
        <f t="shared" si="8"/>
        <v>0</v>
      </c>
      <c r="L49" s="244">
        <f t="shared" si="8"/>
        <v>0</v>
      </c>
      <c r="M49" s="244">
        <f t="shared" si="8"/>
        <v>0</v>
      </c>
      <c r="N49" s="244">
        <f t="shared" si="8"/>
        <v>0</v>
      </c>
      <c r="O49" s="244">
        <f t="shared" si="8"/>
        <v>0</v>
      </c>
      <c r="P49" s="244">
        <f t="shared" si="8"/>
        <v>0</v>
      </c>
      <c r="Q49" s="244">
        <f t="shared" si="8"/>
        <v>0</v>
      </c>
      <c r="R49" s="244">
        <f t="shared" si="8"/>
        <v>0</v>
      </c>
      <c r="S49" s="244">
        <f t="shared" si="8"/>
        <v>0</v>
      </c>
      <c r="T49" s="244">
        <f t="shared" si="8"/>
        <v>0</v>
      </c>
      <c r="U49" s="244">
        <f t="shared" si="8"/>
        <v>0</v>
      </c>
      <c r="V49" s="244">
        <f t="shared" si="8"/>
        <v>0</v>
      </c>
      <c r="W49" s="244">
        <f t="shared" si="8"/>
        <v>0</v>
      </c>
      <c r="X49" s="244">
        <f t="shared" si="8"/>
        <v>0</v>
      </c>
      <c r="Y49" s="244">
        <f t="shared" si="8"/>
        <v>0</v>
      </c>
      <c r="Z49" s="244">
        <f t="shared" si="8"/>
        <v>0</v>
      </c>
      <c r="AA49" s="244">
        <f t="shared" si="8"/>
        <v>0</v>
      </c>
      <c r="AB49" s="112">
        <f t="shared" si="7"/>
        <v>0</v>
      </c>
      <c r="AC49" s="79"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47"/>
      <c r="AE49" s="90" t="str">
        <f>CONCATENATE(IF(AB245&gt;SUM(AB27,AB32,AB34,AB36,AB38,AB40,AB42,AB44,AB46,AB48,AB197,AB201,AB205,AB209)," * This site has more started on ART than positives"&amp;CHAR(10),""),"")</f>
        <v/>
      </c>
      <c r="AF49" s="755"/>
      <c r="AG49" s="404">
        <v>48</v>
      </c>
      <c r="AH49" s="308"/>
    </row>
    <row r="50" spans="1:34" s="111" customFormat="1" ht="36" thickBot="1" x14ac:dyDescent="0.6">
      <c r="A50" s="765"/>
      <c r="B50" s="405" t="s">
        <v>655</v>
      </c>
      <c r="C50" s="140" t="s">
        <v>352</v>
      </c>
      <c r="D50" s="139">
        <f>SUM(D27+D32+D34+D36+D38+D40+D42+D44+D46+D48)</f>
        <v>0</v>
      </c>
      <c r="E50" s="107">
        <f t="shared" ref="E50:Z50" si="9">SUM(E27+E32+E34+E36+E38+E40+E42+E44+E46+E48)</f>
        <v>0</v>
      </c>
      <c r="F50" s="108">
        <f t="shared" si="9"/>
        <v>0</v>
      </c>
      <c r="G50" s="108">
        <f t="shared" si="9"/>
        <v>0</v>
      </c>
      <c r="H50" s="108">
        <f t="shared" si="9"/>
        <v>0</v>
      </c>
      <c r="I50" s="108">
        <f t="shared" si="9"/>
        <v>0</v>
      </c>
      <c r="J50" s="108">
        <f t="shared" si="9"/>
        <v>0</v>
      </c>
      <c r="K50" s="108">
        <f t="shared" si="9"/>
        <v>0</v>
      </c>
      <c r="L50" s="108">
        <f t="shared" si="9"/>
        <v>0</v>
      </c>
      <c r="M50" s="108">
        <f t="shared" si="9"/>
        <v>0</v>
      </c>
      <c r="N50" s="108">
        <f t="shared" si="9"/>
        <v>0</v>
      </c>
      <c r="O50" s="108">
        <f t="shared" si="9"/>
        <v>0</v>
      </c>
      <c r="P50" s="108">
        <f t="shared" si="9"/>
        <v>0</v>
      </c>
      <c r="Q50" s="108">
        <f t="shared" si="9"/>
        <v>0</v>
      </c>
      <c r="R50" s="108">
        <f t="shared" si="9"/>
        <v>0</v>
      </c>
      <c r="S50" s="108">
        <f t="shared" si="9"/>
        <v>0</v>
      </c>
      <c r="T50" s="108">
        <f t="shared" si="9"/>
        <v>0</v>
      </c>
      <c r="U50" s="108">
        <f t="shared" si="9"/>
        <v>0</v>
      </c>
      <c r="V50" s="108">
        <f t="shared" si="9"/>
        <v>0</v>
      </c>
      <c r="W50" s="108">
        <f t="shared" si="9"/>
        <v>0</v>
      </c>
      <c r="X50" s="108">
        <f t="shared" si="9"/>
        <v>0</v>
      </c>
      <c r="Y50" s="108">
        <f t="shared" si="9"/>
        <v>0</v>
      </c>
      <c r="Z50" s="108">
        <f t="shared" si="9"/>
        <v>0</v>
      </c>
      <c r="AA50" s="108">
        <f>SUM(AA27+AA32+AA34+AA36+AA38+AA40+AA42+AA44+AA46+AA48)</f>
        <v>0</v>
      </c>
      <c r="AB50" s="109">
        <f t="shared" si="7"/>
        <v>0</v>
      </c>
      <c r="AC50" s="205"/>
      <c r="AD50" s="648"/>
      <c r="AE50" s="110" t="str">
        <f>CONCATENATE(IF(AND(AB245=0,SUM(AB27,AB32,AB34,AB36,AB38,AB40,AB42,AB44,AB46,AB48,AB197,AB201,AB205,AB209)&gt;0)," * This site has positives but none was started on ART"&amp;CHAR(10),""),"")</f>
        <v/>
      </c>
      <c r="AF50" s="756"/>
      <c r="AG50" s="404">
        <v>49</v>
      </c>
      <c r="AH50" s="313"/>
    </row>
    <row r="51" spans="1:34" ht="36" thickBot="1" x14ac:dyDescent="0.55000000000000004">
      <c r="A51" s="724" t="s">
        <v>112</v>
      </c>
      <c r="B51" s="711"/>
      <c r="C51" s="711"/>
      <c r="D51" s="711"/>
      <c r="E51" s="711"/>
      <c r="F51" s="711"/>
      <c r="G51" s="711"/>
      <c r="H51" s="711"/>
      <c r="I51" s="711"/>
      <c r="J51" s="711"/>
      <c r="K51" s="711"/>
      <c r="L51" s="711"/>
      <c r="M51" s="711"/>
      <c r="N51" s="711"/>
      <c r="O51" s="711"/>
      <c r="P51" s="711"/>
      <c r="Q51" s="711"/>
      <c r="R51" s="711"/>
      <c r="S51" s="711"/>
      <c r="T51" s="711"/>
      <c r="U51" s="711"/>
      <c r="V51" s="711"/>
      <c r="W51" s="711"/>
      <c r="X51" s="711"/>
      <c r="Y51" s="711"/>
      <c r="Z51" s="711"/>
      <c r="AA51" s="711"/>
      <c r="AB51" s="711"/>
      <c r="AC51" s="711"/>
      <c r="AD51" s="711"/>
      <c r="AE51" s="711"/>
      <c r="AF51" s="712"/>
      <c r="AG51" s="404">
        <v>50</v>
      </c>
    </row>
    <row r="52" spans="1:34" ht="26.25" customHeight="1" x14ac:dyDescent="0.5">
      <c r="A52" s="661" t="s">
        <v>37</v>
      </c>
      <c r="B52" s="687" t="s">
        <v>347</v>
      </c>
      <c r="C52" s="666" t="s">
        <v>328</v>
      </c>
      <c r="D52" s="762"/>
      <c r="E52" s="762"/>
      <c r="F52" s="762"/>
      <c r="G52" s="762"/>
      <c r="H52" s="762"/>
      <c r="I52" s="762"/>
      <c r="J52" s="703" t="s">
        <v>3</v>
      </c>
      <c r="K52" s="703"/>
      <c r="L52" s="703" t="s">
        <v>4</v>
      </c>
      <c r="M52" s="703"/>
      <c r="N52" s="703" t="s">
        <v>5</v>
      </c>
      <c r="O52" s="703"/>
      <c r="P52" s="703" t="s">
        <v>6</v>
      </c>
      <c r="Q52" s="703"/>
      <c r="R52" s="703" t="s">
        <v>7</v>
      </c>
      <c r="S52" s="703"/>
      <c r="T52" s="703" t="s">
        <v>8</v>
      </c>
      <c r="U52" s="703"/>
      <c r="V52" s="703" t="s">
        <v>23</v>
      </c>
      <c r="W52" s="703"/>
      <c r="X52" s="703" t="s">
        <v>24</v>
      </c>
      <c r="Y52" s="703"/>
      <c r="Z52" s="703" t="s">
        <v>9</v>
      </c>
      <c r="AA52" s="703"/>
      <c r="AB52" s="671" t="s">
        <v>19</v>
      </c>
      <c r="AC52" s="746" t="s">
        <v>381</v>
      </c>
      <c r="AD52" s="694" t="s">
        <v>387</v>
      </c>
      <c r="AE52" s="701" t="s">
        <v>388</v>
      </c>
      <c r="AF52" s="789" t="s">
        <v>388</v>
      </c>
      <c r="AG52" s="404">
        <v>51</v>
      </c>
    </row>
    <row r="53" spans="1:34" ht="27" customHeight="1" thickBot="1" x14ac:dyDescent="0.55000000000000004">
      <c r="A53" s="662"/>
      <c r="B53" s="713"/>
      <c r="C53" s="667"/>
      <c r="D53" s="763"/>
      <c r="E53" s="763"/>
      <c r="F53" s="763"/>
      <c r="G53" s="763"/>
      <c r="H53" s="763"/>
      <c r="I53" s="763"/>
      <c r="J53" s="29" t="s">
        <v>10</v>
      </c>
      <c r="K53" s="29" t="s">
        <v>11</v>
      </c>
      <c r="L53" s="29" t="s">
        <v>10</v>
      </c>
      <c r="M53" s="29" t="s">
        <v>11</v>
      </c>
      <c r="N53" s="29" t="s">
        <v>10</v>
      </c>
      <c r="O53" s="29" t="s">
        <v>11</v>
      </c>
      <c r="P53" s="29" t="s">
        <v>10</v>
      </c>
      <c r="Q53" s="29" t="s">
        <v>11</v>
      </c>
      <c r="R53" s="29" t="s">
        <v>10</v>
      </c>
      <c r="S53" s="29" t="s">
        <v>11</v>
      </c>
      <c r="T53" s="29" t="s">
        <v>10</v>
      </c>
      <c r="U53" s="29" t="s">
        <v>11</v>
      </c>
      <c r="V53" s="29" t="s">
        <v>10</v>
      </c>
      <c r="W53" s="29" t="s">
        <v>11</v>
      </c>
      <c r="X53" s="29" t="s">
        <v>10</v>
      </c>
      <c r="Y53" s="29" t="s">
        <v>11</v>
      </c>
      <c r="Z53" s="29" t="s">
        <v>10</v>
      </c>
      <c r="AA53" s="29" t="s">
        <v>11</v>
      </c>
      <c r="AB53" s="672"/>
      <c r="AC53" s="778"/>
      <c r="AD53" s="645"/>
      <c r="AE53" s="702"/>
      <c r="AF53" s="726"/>
      <c r="AG53" s="404">
        <v>52</v>
      </c>
    </row>
    <row r="54" spans="1:34" x14ac:dyDescent="0.5">
      <c r="A54" s="659" t="s">
        <v>20</v>
      </c>
      <c r="B54" s="264" t="s">
        <v>656</v>
      </c>
      <c r="C54" s="129" t="s">
        <v>177</v>
      </c>
      <c r="D54" s="136"/>
      <c r="E54" s="33"/>
      <c r="F54" s="33"/>
      <c r="G54" s="33"/>
      <c r="H54" s="33"/>
      <c r="I54" s="33"/>
      <c r="J54" s="34"/>
      <c r="K54" s="34"/>
      <c r="L54" s="34"/>
      <c r="M54" s="34"/>
      <c r="N54" s="34"/>
      <c r="O54" s="34"/>
      <c r="P54" s="34"/>
      <c r="Q54" s="34"/>
      <c r="R54" s="34"/>
      <c r="S54" s="34"/>
      <c r="T54" s="34"/>
      <c r="U54" s="34"/>
      <c r="V54" s="34"/>
      <c r="W54" s="34"/>
      <c r="X54" s="34"/>
      <c r="Y54" s="34"/>
      <c r="Z54" s="34"/>
      <c r="AA54" s="34"/>
      <c r="AB54" s="35">
        <f>SUM(D54:AA54)</f>
        <v>0</v>
      </c>
      <c r="AC54" s="82"/>
      <c r="AD54" s="788" t="str">
        <f>CONCATENATE(AC54,AC55,AC56,AC57,AC58)</f>
        <v/>
      </c>
      <c r="AE54" s="80"/>
      <c r="AF54" s="754" t="str">
        <f>CONCATENATE(AE54,AE55,AE56,AE57,AE58)</f>
        <v/>
      </c>
      <c r="AG54" s="404">
        <v>53</v>
      </c>
    </row>
    <row r="55" spans="1:34" x14ac:dyDescent="0.5">
      <c r="A55" s="686"/>
      <c r="B55" s="256" t="s">
        <v>1055</v>
      </c>
      <c r="C55" s="131" t="s">
        <v>179</v>
      </c>
      <c r="D55" s="124"/>
      <c r="E55" s="18"/>
      <c r="F55" s="18"/>
      <c r="G55" s="18"/>
      <c r="H55" s="18"/>
      <c r="I55" s="18"/>
      <c r="J55" s="481">
        <f>SUM(J56:J58)</f>
        <v>0</v>
      </c>
      <c r="K55" s="481">
        <f t="shared" ref="K55:AA55" si="10">SUM(K56:K58)</f>
        <v>0</v>
      </c>
      <c r="L55" s="481">
        <f t="shared" si="10"/>
        <v>0</v>
      </c>
      <c r="M55" s="481">
        <f t="shared" si="10"/>
        <v>0</v>
      </c>
      <c r="N55" s="481">
        <f t="shared" si="10"/>
        <v>0</v>
      </c>
      <c r="O55" s="481">
        <f t="shared" si="10"/>
        <v>0</v>
      </c>
      <c r="P55" s="481">
        <f t="shared" si="10"/>
        <v>0</v>
      </c>
      <c r="Q55" s="481">
        <f t="shared" si="10"/>
        <v>0</v>
      </c>
      <c r="R55" s="481">
        <f t="shared" si="10"/>
        <v>0</v>
      </c>
      <c r="S55" s="481">
        <f t="shared" si="10"/>
        <v>0</v>
      </c>
      <c r="T55" s="481">
        <f t="shared" si="10"/>
        <v>0</v>
      </c>
      <c r="U55" s="481">
        <f t="shared" si="10"/>
        <v>0</v>
      </c>
      <c r="V55" s="481">
        <f t="shared" si="10"/>
        <v>0</v>
      </c>
      <c r="W55" s="481">
        <f t="shared" si="10"/>
        <v>0</v>
      </c>
      <c r="X55" s="481">
        <f t="shared" si="10"/>
        <v>0</v>
      </c>
      <c r="Y55" s="481">
        <f t="shared" si="10"/>
        <v>0</v>
      </c>
      <c r="Z55" s="481">
        <f t="shared" si="10"/>
        <v>0</v>
      </c>
      <c r="AA55" s="481">
        <f t="shared" si="10"/>
        <v>0</v>
      </c>
      <c r="AB55" s="36">
        <f t="shared" ref="AB55:AB57" si="11">SUM(D55:AA55)</f>
        <v>0</v>
      </c>
      <c r="AC55" s="82"/>
      <c r="AD55" s="647"/>
      <c r="AE55" s="80"/>
      <c r="AF55" s="755"/>
      <c r="AG55" s="404">
        <v>54</v>
      </c>
    </row>
    <row r="56" spans="1:34" x14ac:dyDescent="0.5">
      <c r="A56" s="686"/>
      <c r="B56" s="256" t="s">
        <v>657</v>
      </c>
      <c r="C56" s="131" t="s">
        <v>180</v>
      </c>
      <c r="D56" s="124"/>
      <c r="E56" s="18"/>
      <c r="F56" s="18"/>
      <c r="G56" s="18"/>
      <c r="H56" s="18"/>
      <c r="I56" s="18"/>
      <c r="J56" s="19"/>
      <c r="K56" s="19"/>
      <c r="L56" s="19"/>
      <c r="M56" s="19"/>
      <c r="N56" s="19"/>
      <c r="O56" s="19"/>
      <c r="P56" s="19"/>
      <c r="Q56" s="19"/>
      <c r="R56" s="19"/>
      <c r="S56" s="19"/>
      <c r="T56" s="19"/>
      <c r="U56" s="19"/>
      <c r="V56" s="19"/>
      <c r="W56" s="19"/>
      <c r="X56" s="19"/>
      <c r="Y56" s="19"/>
      <c r="Z56" s="19"/>
      <c r="AA56" s="19"/>
      <c r="AB56" s="36">
        <f t="shared" si="11"/>
        <v>0</v>
      </c>
      <c r="AC56" s="82"/>
      <c r="AD56" s="647"/>
      <c r="AE56" s="80"/>
      <c r="AF56" s="755"/>
      <c r="AG56" s="404">
        <v>55</v>
      </c>
    </row>
    <row r="57" spans="1:34" x14ac:dyDescent="0.5">
      <c r="A57" s="686"/>
      <c r="B57" s="256" t="s">
        <v>658</v>
      </c>
      <c r="C57" s="131" t="s">
        <v>181</v>
      </c>
      <c r="D57" s="124"/>
      <c r="E57" s="18"/>
      <c r="F57" s="18"/>
      <c r="G57" s="18"/>
      <c r="H57" s="18"/>
      <c r="I57" s="18"/>
      <c r="J57" s="19"/>
      <c r="K57" s="19"/>
      <c r="L57" s="19"/>
      <c r="M57" s="19"/>
      <c r="N57" s="19"/>
      <c r="O57" s="19"/>
      <c r="P57" s="19"/>
      <c r="Q57" s="19"/>
      <c r="R57" s="19"/>
      <c r="S57" s="19"/>
      <c r="T57" s="19"/>
      <c r="U57" s="19"/>
      <c r="V57" s="19"/>
      <c r="W57" s="19"/>
      <c r="X57" s="19"/>
      <c r="Y57" s="19"/>
      <c r="Z57" s="19"/>
      <c r="AA57" s="19"/>
      <c r="AB57" s="36">
        <f t="shared" si="11"/>
        <v>0</v>
      </c>
      <c r="AC57" s="82"/>
      <c r="AD57" s="647"/>
      <c r="AE57" s="80"/>
      <c r="AF57" s="755"/>
      <c r="AG57" s="404">
        <v>56</v>
      </c>
    </row>
    <row r="58" spans="1:34" ht="31.5" thickBot="1" x14ac:dyDescent="0.55000000000000004">
      <c r="A58" s="660"/>
      <c r="B58" s="257" t="s">
        <v>659</v>
      </c>
      <c r="C58" s="133" t="s">
        <v>182</v>
      </c>
      <c r="D58" s="323"/>
      <c r="E58" s="225"/>
      <c r="F58" s="225"/>
      <c r="G58" s="49"/>
      <c r="H58" s="49"/>
      <c r="I58" s="49"/>
      <c r="J58" s="50"/>
      <c r="K58" s="50"/>
      <c r="L58" s="50"/>
      <c r="M58" s="50"/>
      <c r="N58" s="50"/>
      <c r="O58" s="50"/>
      <c r="P58" s="50"/>
      <c r="Q58" s="50"/>
      <c r="R58" s="50"/>
      <c r="S58" s="50"/>
      <c r="T58" s="50"/>
      <c r="U58" s="50"/>
      <c r="V58" s="50"/>
      <c r="W58" s="50"/>
      <c r="X58" s="50"/>
      <c r="Y58" s="50"/>
      <c r="Z58" s="50"/>
      <c r="AA58" s="50"/>
      <c r="AB58" s="227">
        <f>SUM(D58:AA58)</f>
        <v>0</v>
      </c>
      <c r="AC58" s="178"/>
      <c r="AD58" s="648"/>
      <c r="AE58" s="94"/>
      <c r="AF58" s="756"/>
      <c r="AG58" s="404">
        <v>57</v>
      </c>
    </row>
    <row r="59" spans="1:34" s="207" customFormat="1" x14ac:dyDescent="0.5">
      <c r="A59" s="488" t="s">
        <v>1064</v>
      </c>
      <c r="B59" s="264" t="s">
        <v>161</v>
      </c>
      <c r="C59" s="141" t="s">
        <v>1068</v>
      </c>
      <c r="D59" s="266"/>
      <c r="E59" s="221"/>
      <c r="F59" s="221"/>
      <c r="G59" s="221"/>
      <c r="H59" s="221"/>
      <c r="I59" s="221"/>
      <c r="J59" s="222"/>
      <c r="K59" s="222"/>
      <c r="L59" s="222"/>
      <c r="M59" s="222"/>
      <c r="N59" s="222"/>
      <c r="O59" s="222"/>
      <c r="P59" s="222"/>
      <c r="Q59" s="222"/>
      <c r="R59" s="222"/>
      <c r="S59" s="222"/>
      <c r="T59" s="222"/>
      <c r="U59" s="222"/>
      <c r="V59" s="222"/>
      <c r="W59" s="222"/>
      <c r="X59" s="222"/>
      <c r="Y59" s="222"/>
      <c r="Z59" s="222"/>
      <c r="AA59" s="222"/>
      <c r="AB59" s="514"/>
      <c r="AC59" s="511"/>
      <c r="AD59" s="516"/>
      <c r="AE59" s="489"/>
      <c r="AF59" s="512"/>
      <c r="AG59" s="404"/>
      <c r="AH59" s="310"/>
    </row>
    <row r="60" spans="1:34" s="207" customFormat="1" ht="33" thickBot="1" x14ac:dyDescent="0.55000000000000004">
      <c r="A60" s="513"/>
      <c r="B60" s="265" t="s">
        <v>153</v>
      </c>
      <c r="C60" s="142" t="s">
        <v>1069</v>
      </c>
      <c r="D60" s="267"/>
      <c r="E60" s="225"/>
      <c r="F60" s="225"/>
      <c r="G60" s="225"/>
      <c r="H60" s="225"/>
      <c r="I60" s="225"/>
      <c r="J60" s="44"/>
      <c r="K60" s="44"/>
      <c r="L60" s="44"/>
      <c r="M60" s="44"/>
      <c r="N60" s="44"/>
      <c r="O60" s="44"/>
      <c r="P60" s="44"/>
      <c r="Q60" s="44"/>
      <c r="R60" s="44"/>
      <c r="S60" s="44"/>
      <c r="T60" s="44"/>
      <c r="U60" s="44"/>
      <c r="V60" s="44"/>
      <c r="W60" s="44"/>
      <c r="X60" s="44"/>
      <c r="Y60" s="44"/>
      <c r="Z60" s="44"/>
      <c r="AA60" s="44"/>
      <c r="AB60" s="515"/>
      <c r="AC60" s="511"/>
      <c r="AD60" s="517"/>
      <c r="AE60" s="489"/>
      <c r="AF60" s="512"/>
      <c r="AG60" s="404"/>
      <c r="AH60" s="310"/>
    </row>
    <row r="61" spans="1:34" ht="36" thickBot="1" x14ac:dyDescent="0.55000000000000004">
      <c r="A61" s="724" t="s">
        <v>125</v>
      </c>
      <c r="B61" s="711"/>
      <c r="C61" s="711"/>
      <c r="D61" s="711"/>
      <c r="E61" s="711"/>
      <c r="F61" s="711"/>
      <c r="G61" s="711"/>
      <c r="H61" s="711"/>
      <c r="I61" s="711"/>
      <c r="J61" s="711"/>
      <c r="K61" s="711"/>
      <c r="L61" s="711"/>
      <c r="M61" s="711"/>
      <c r="N61" s="711"/>
      <c r="O61" s="711"/>
      <c r="P61" s="711"/>
      <c r="Q61" s="711"/>
      <c r="R61" s="711"/>
      <c r="S61" s="711"/>
      <c r="T61" s="711"/>
      <c r="U61" s="711"/>
      <c r="V61" s="711"/>
      <c r="W61" s="711"/>
      <c r="X61" s="711"/>
      <c r="Y61" s="711"/>
      <c r="Z61" s="711"/>
      <c r="AA61" s="711"/>
      <c r="AB61" s="711"/>
      <c r="AC61" s="711"/>
      <c r="AD61" s="711"/>
      <c r="AE61" s="711"/>
      <c r="AF61" s="712"/>
      <c r="AG61" s="404">
        <v>58</v>
      </c>
    </row>
    <row r="62" spans="1:34" ht="26.25" customHeight="1" x14ac:dyDescent="0.5">
      <c r="A62" s="661" t="s">
        <v>37</v>
      </c>
      <c r="B62" s="687" t="s">
        <v>347</v>
      </c>
      <c r="C62" s="666" t="s">
        <v>328</v>
      </c>
      <c r="D62" s="762"/>
      <c r="E62" s="762"/>
      <c r="F62" s="762"/>
      <c r="G62" s="762"/>
      <c r="H62" s="762"/>
      <c r="I62" s="762"/>
      <c r="J62" s="649" t="s">
        <v>3</v>
      </c>
      <c r="K62" s="649"/>
      <c r="L62" s="649" t="s">
        <v>4</v>
      </c>
      <c r="M62" s="649"/>
      <c r="N62" s="649" t="s">
        <v>5</v>
      </c>
      <c r="O62" s="649"/>
      <c r="P62" s="649" t="s">
        <v>6</v>
      </c>
      <c r="Q62" s="649"/>
      <c r="R62" s="649" t="s">
        <v>7</v>
      </c>
      <c r="S62" s="649"/>
      <c r="T62" s="649" t="s">
        <v>8</v>
      </c>
      <c r="U62" s="649"/>
      <c r="V62" s="649" t="s">
        <v>23</v>
      </c>
      <c r="W62" s="649"/>
      <c r="X62" s="649" t="s">
        <v>24</v>
      </c>
      <c r="Y62" s="649"/>
      <c r="Z62" s="649" t="s">
        <v>9</v>
      </c>
      <c r="AA62" s="649"/>
      <c r="AB62" s="719" t="s">
        <v>19</v>
      </c>
      <c r="AC62" s="642" t="s">
        <v>381</v>
      </c>
      <c r="AD62" s="644" t="s">
        <v>387</v>
      </c>
      <c r="AE62" s="702" t="s">
        <v>388</v>
      </c>
      <c r="AF62" s="725" t="s">
        <v>388</v>
      </c>
      <c r="AG62" s="404">
        <v>59</v>
      </c>
    </row>
    <row r="63" spans="1:34" ht="27" customHeight="1" thickBot="1" x14ac:dyDescent="0.55000000000000004">
      <c r="A63" s="662"/>
      <c r="B63" s="713"/>
      <c r="C63" s="667"/>
      <c r="D63" s="763"/>
      <c r="E63" s="763"/>
      <c r="F63" s="763"/>
      <c r="G63" s="763"/>
      <c r="H63" s="763"/>
      <c r="I63" s="763"/>
      <c r="J63" s="78" t="s">
        <v>10</v>
      </c>
      <c r="K63" s="78" t="s">
        <v>11</v>
      </c>
      <c r="L63" s="78" t="s">
        <v>10</v>
      </c>
      <c r="M63" s="78" t="s">
        <v>11</v>
      </c>
      <c r="N63" s="78" t="s">
        <v>10</v>
      </c>
      <c r="O63" s="78" t="s">
        <v>11</v>
      </c>
      <c r="P63" s="78" t="s">
        <v>10</v>
      </c>
      <c r="Q63" s="78" t="s">
        <v>11</v>
      </c>
      <c r="R63" s="78" t="s">
        <v>10</v>
      </c>
      <c r="S63" s="78" t="s">
        <v>11</v>
      </c>
      <c r="T63" s="78" t="s">
        <v>10</v>
      </c>
      <c r="U63" s="78" t="s">
        <v>11</v>
      </c>
      <c r="V63" s="78" t="s">
        <v>10</v>
      </c>
      <c r="W63" s="78" t="s">
        <v>11</v>
      </c>
      <c r="X63" s="78" t="s">
        <v>10</v>
      </c>
      <c r="Y63" s="78" t="s">
        <v>11</v>
      </c>
      <c r="Z63" s="78" t="s">
        <v>10</v>
      </c>
      <c r="AA63" s="78" t="s">
        <v>11</v>
      </c>
      <c r="AB63" s="720"/>
      <c r="AC63" s="643"/>
      <c r="AD63" s="645"/>
      <c r="AE63" s="702"/>
      <c r="AF63" s="726"/>
      <c r="AG63" s="404">
        <v>60</v>
      </c>
    </row>
    <row r="64" spans="1:34" x14ac:dyDescent="0.5">
      <c r="A64" s="772" t="s">
        <v>590</v>
      </c>
      <c r="B64" s="255" t="s">
        <v>660</v>
      </c>
      <c r="C64" s="129" t="s">
        <v>187</v>
      </c>
      <c r="D64" s="123"/>
      <c r="E64" s="31"/>
      <c r="F64" s="31"/>
      <c r="G64" s="31"/>
      <c r="H64" s="31"/>
      <c r="I64" s="31"/>
      <c r="J64" s="32"/>
      <c r="K64" s="32"/>
      <c r="L64" s="32"/>
      <c r="M64" s="32"/>
      <c r="N64" s="32"/>
      <c r="O64" s="32"/>
      <c r="P64" s="32"/>
      <c r="Q64" s="32"/>
      <c r="R64" s="32"/>
      <c r="S64" s="32"/>
      <c r="T64" s="32"/>
      <c r="U64" s="32"/>
      <c r="V64" s="32"/>
      <c r="W64" s="32"/>
      <c r="X64" s="32"/>
      <c r="Y64" s="32"/>
      <c r="Z64" s="32"/>
      <c r="AA64" s="32"/>
      <c r="AB64" s="86">
        <f>SUM(D64:AA64)</f>
        <v>0</v>
      </c>
      <c r="AC64" s="97"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46" t="str">
        <f>CONCATENATE(AC64,AC65,AC66,AC67,AC68,AC69,AC70,AC71,AC72,AC73,AC74,AC75,AC76,AC77,AC78,AC79,AC80,AC81,AC82,AC83,AC84,AC85,AC86,AC88,AC89,AC90,AC91,AC92,AC93,AC94,AC95,AC96,AC97)</f>
        <v/>
      </c>
      <c r="AE64" s="96"/>
      <c r="AF64" s="757" t="str">
        <f>CONCATENATE(AE64,AE67,AE68,AE75,AE78,AE86,AE87,AE88,AE89,AE90,AE91,AE92,AE93,AE94,AE95,AE96,AE97)</f>
        <v/>
      </c>
      <c r="AG64" s="404">
        <v>61</v>
      </c>
    </row>
    <row r="65" spans="1:33" x14ac:dyDescent="0.5">
      <c r="A65" s="773"/>
      <c r="B65" s="256" t="s">
        <v>563</v>
      </c>
      <c r="C65" s="131" t="s">
        <v>564</v>
      </c>
      <c r="D65" s="124"/>
      <c r="E65" s="18"/>
      <c r="F65" s="18"/>
      <c r="G65" s="18"/>
      <c r="H65" s="18"/>
      <c r="I65" s="18"/>
      <c r="J65" s="23"/>
      <c r="K65" s="23"/>
      <c r="L65" s="23"/>
      <c r="M65" s="23"/>
      <c r="N65" s="23"/>
      <c r="O65" s="23"/>
      <c r="P65" s="23"/>
      <c r="Q65" s="23"/>
      <c r="R65" s="23"/>
      <c r="S65" s="23"/>
      <c r="T65" s="23"/>
      <c r="U65" s="23"/>
      <c r="V65" s="23"/>
      <c r="W65" s="23"/>
      <c r="X65" s="23"/>
      <c r="Y65" s="23"/>
      <c r="Z65" s="23"/>
      <c r="AA65" s="23"/>
      <c r="AB65" s="36">
        <f>SUM(J65:AA65)</f>
        <v>0</v>
      </c>
      <c r="AC65" s="79"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5" s="647"/>
      <c r="AE65" s="80"/>
      <c r="AF65" s="755"/>
      <c r="AG65" s="404">
        <v>62</v>
      </c>
    </row>
    <row r="66" spans="1:33" x14ac:dyDescent="0.5">
      <c r="A66" s="773"/>
      <c r="B66" s="256" t="s">
        <v>661</v>
      </c>
      <c r="C66" s="131" t="s">
        <v>565</v>
      </c>
      <c r="D66" s="124"/>
      <c r="E66" s="18"/>
      <c r="F66" s="18"/>
      <c r="G66" s="18"/>
      <c r="H66" s="18"/>
      <c r="I66" s="18"/>
      <c r="J66" s="23"/>
      <c r="K66" s="23"/>
      <c r="L66" s="23"/>
      <c r="M66" s="23"/>
      <c r="N66" s="23"/>
      <c r="O66" s="23"/>
      <c r="P66" s="23"/>
      <c r="Q66" s="23"/>
      <c r="R66" s="23"/>
      <c r="S66" s="23"/>
      <c r="T66" s="23"/>
      <c r="U66" s="23"/>
      <c r="V66" s="23"/>
      <c r="W66" s="23"/>
      <c r="X66" s="23"/>
      <c r="Y66" s="23"/>
      <c r="Z66" s="23"/>
      <c r="AA66" s="23"/>
      <c r="AB66" s="36">
        <f>SUM(J66:AA66)</f>
        <v>0</v>
      </c>
      <c r="AC66" s="91"/>
      <c r="AD66" s="647"/>
      <c r="AE66" s="80"/>
      <c r="AF66" s="755"/>
      <c r="AG66" s="404">
        <v>63</v>
      </c>
    </row>
    <row r="67" spans="1:33" ht="31.5" thickBot="1" x14ac:dyDescent="0.55000000000000004">
      <c r="A67" s="774"/>
      <c r="B67" s="262" t="s">
        <v>662</v>
      </c>
      <c r="C67" s="133" t="s">
        <v>188</v>
      </c>
      <c r="D67" s="138"/>
      <c r="E67" s="37"/>
      <c r="F67" s="37"/>
      <c r="G67" s="37"/>
      <c r="H67" s="37"/>
      <c r="I67" s="37"/>
      <c r="J67" s="38"/>
      <c r="K67" s="38"/>
      <c r="L67" s="38"/>
      <c r="M67" s="38"/>
      <c r="N67" s="38"/>
      <c r="O67" s="38"/>
      <c r="P67" s="38"/>
      <c r="Q67" s="38"/>
      <c r="R67" s="38"/>
      <c r="S67" s="38"/>
      <c r="T67" s="38"/>
      <c r="U67" s="38"/>
      <c r="V67" s="38"/>
      <c r="W67" s="38"/>
      <c r="X67" s="38"/>
      <c r="Y67" s="38"/>
      <c r="Z67" s="38"/>
      <c r="AA67" s="38"/>
      <c r="AB67" s="39">
        <f t="shared" ref="AB67:AB95" si="12">SUM(D67:AA67)</f>
        <v>0</v>
      </c>
      <c r="AC67" s="91"/>
      <c r="AD67" s="647"/>
      <c r="AE67" s="80"/>
      <c r="AF67" s="755"/>
      <c r="AG67" s="404">
        <v>64</v>
      </c>
    </row>
    <row r="68" spans="1:33" ht="33" thickBot="1" x14ac:dyDescent="0.55000000000000004">
      <c r="A68" s="418" t="s">
        <v>591</v>
      </c>
      <c r="B68" s="343" t="s">
        <v>645</v>
      </c>
      <c r="C68" s="129" t="s">
        <v>189</v>
      </c>
      <c r="D68" s="136"/>
      <c r="E68" s="33"/>
      <c r="F68" s="33"/>
      <c r="G68" s="33"/>
      <c r="H68" s="33"/>
      <c r="I68" s="33"/>
      <c r="J68" s="48">
        <f>SUM(J69:J74)</f>
        <v>0</v>
      </c>
      <c r="K68" s="48">
        <f t="shared" ref="K68:AA68" si="13">SUM(K69:K74)</f>
        <v>0</v>
      </c>
      <c r="L68" s="48">
        <f t="shared" si="13"/>
        <v>0</v>
      </c>
      <c r="M68" s="48">
        <f t="shared" si="13"/>
        <v>0</v>
      </c>
      <c r="N68" s="48">
        <f t="shared" si="13"/>
        <v>0</v>
      </c>
      <c r="O68" s="48">
        <f t="shared" si="13"/>
        <v>0</v>
      </c>
      <c r="P68" s="48">
        <f t="shared" si="13"/>
        <v>0</v>
      </c>
      <c r="Q68" s="48">
        <f t="shared" si="13"/>
        <v>0</v>
      </c>
      <c r="R68" s="48">
        <f t="shared" si="13"/>
        <v>0</v>
      </c>
      <c r="S68" s="48">
        <f t="shared" si="13"/>
        <v>0</v>
      </c>
      <c r="T68" s="48">
        <f t="shared" si="13"/>
        <v>0</v>
      </c>
      <c r="U68" s="48">
        <f t="shared" si="13"/>
        <v>0</v>
      </c>
      <c r="V68" s="48">
        <f t="shared" si="13"/>
        <v>0</v>
      </c>
      <c r="W68" s="48">
        <f t="shared" si="13"/>
        <v>0</v>
      </c>
      <c r="X68" s="48">
        <f t="shared" si="13"/>
        <v>0</v>
      </c>
      <c r="Y68" s="48">
        <f t="shared" si="13"/>
        <v>0</v>
      </c>
      <c r="Z68" s="48">
        <f t="shared" si="13"/>
        <v>0</v>
      </c>
      <c r="AA68" s="48">
        <f t="shared" si="13"/>
        <v>0</v>
      </c>
      <c r="AB68" s="35">
        <f t="shared" si="12"/>
        <v>0</v>
      </c>
      <c r="AC68" s="82"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47"/>
      <c r="AE68" s="80" t="str">
        <f>CONCATENATE(IF(AB68&lt;&gt;SUM(AB96,AB97)," * Total Sum of (PMTCT Discordant Couple + HTS Discordant Couple) is not equal to F02-03"&amp;CHAR(10),""))</f>
        <v/>
      </c>
      <c r="AF68" s="755"/>
      <c r="AG68" s="404">
        <v>65</v>
      </c>
    </row>
    <row r="69" spans="1:33" x14ac:dyDescent="0.5">
      <c r="A69" s="639" t="s">
        <v>583</v>
      </c>
      <c r="B69" s="256" t="s">
        <v>396</v>
      </c>
      <c r="C69" s="131" t="s">
        <v>584</v>
      </c>
      <c r="D69" s="124"/>
      <c r="E69" s="18"/>
      <c r="F69" s="18"/>
      <c r="G69" s="18"/>
      <c r="H69" s="18"/>
      <c r="I69" s="18"/>
      <c r="J69" s="19"/>
      <c r="K69" s="19"/>
      <c r="L69" s="19"/>
      <c r="M69" s="19"/>
      <c r="N69" s="19"/>
      <c r="O69" s="19"/>
      <c r="P69" s="19"/>
      <c r="Q69" s="19"/>
      <c r="R69" s="19"/>
      <c r="S69" s="19"/>
      <c r="T69" s="19"/>
      <c r="U69" s="19"/>
      <c r="V69" s="19"/>
      <c r="W69" s="19"/>
      <c r="X69" s="19"/>
      <c r="Y69" s="19"/>
      <c r="Z69" s="19"/>
      <c r="AA69" s="19"/>
      <c r="AB69" s="224">
        <f t="shared" ref="AB69:AB72" si="14">SUM(J69:AA69)</f>
        <v>0</v>
      </c>
      <c r="AC69" s="82"/>
      <c r="AD69" s="647"/>
      <c r="AE69" s="80"/>
      <c r="AF69" s="755"/>
      <c r="AG69" s="404">
        <v>66</v>
      </c>
    </row>
    <row r="70" spans="1:33" x14ac:dyDescent="0.5">
      <c r="A70" s="640"/>
      <c r="B70" s="256" t="s">
        <v>391</v>
      </c>
      <c r="C70" s="131" t="s">
        <v>585</v>
      </c>
      <c r="D70" s="124"/>
      <c r="E70" s="18"/>
      <c r="F70" s="18"/>
      <c r="G70" s="18"/>
      <c r="H70" s="18"/>
      <c r="I70" s="18"/>
      <c r="J70" s="19"/>
      <c r="K70" s="19"/>
      <c r="L70" s="19"/>
      <c r="M70" s="19"/>
      <c r="N70" s="19"/>
      <c r="O70" s="19"/>
      <c r="P70" s="19"/>
      <c r="Q70" s="19"/>
      <c r="R70" s="19"/>
      <c r="S70" s="19"/>
      <c r="T70" s="19"/>
      <c r="U70" s="19"/>
      <c r="V70" s="19"/>
      <c r="W70" s="19"/>
      <c r="X70" s="19"/>
      <c r="Y70" s="19"/>
      <c r="Z70" s="19"/>
      <c r="AA70" s="19"/>
      <c r="AB70" s="224">
        <f t="shared" si="14"/>
        <v>0</v>
      </c>
      <c r="AC70" s="82"/>
      <c r="AD70" s="647"/>
      <c r="AE70" s="80"/>
      <c r="AF70" s="755"/>
      <c r="AG70" s="404">
        <v>67</v>
      </c>
    </row>
    <row r="71" spans="1:33" x14ac:dyDescent="0.5">
      <c r="A71" s="640"/>
      <c r="B71" s="256" t="s">
        <v>392</v>
      </c>
      <c r="C71" s="131" t="s">
        <v>586</v>
      </c>
      <c r="D71" s="124"/>
      <c r="E71" s="18"/>
      <c r="F71" s="18"/>
      <c r="G71" s="18"/>
      <c r="H71" s="18"/>
      <c r="I71" s="18"/>
      <c r="J71" s="19"/>
      <c r="K71" s="19"/>
      <c r="L71" s="19"/>
      <c r="M71" s="19"/>
      <c r="N71" s="19"/>
      <c r="O71" s="19"/>
      <c r="P71" s="19"/>
      <c r="Q71" s="19"/>
      <c r="R71" s="19"/>
      <c r="S71" s="19"/>
      <c r="T71" s="19"/>
      <c r="U71" s="19"/>
      <c r="V71" s="19"/>
      <c r="W71" s="19"/>
      <c r="X71" s="19"/>
      <c r="Y71" s="19"/>
      <c r="Z71" s="19"/>
      <c r="AA71" s="19"/>
      <c r="AB71" s="224">
        <f t="shared" si="14"/>
        <v>0</v>
      </c>
      <c r="AC71" s="82"/>
      <c r="AD71" s="647"/>
      <c r="AE71" s="80"/>
      <c r="AF71" s="755"/>
      <c r="AG71" s="404">
        <v>68</v>
      </c>
    </row>
    <row r="72" spans="1:33" x14ac:dyDescent="0.5">
      <c r="A72" s="640"/>
      <c r="B72" s="256" t="s">
        <v>393</v>
      </c>
      <c r="C72" s="131" t="s">
        <v>587</v>
      </c>
      <c r="D72" s="124"/>
      <c r="E72" s="18"/>
      <c r="F72" s="18"/>
      <c r="G72" s="18"/>
      <c r="H72" s="18"/>
      <c r="I72" s="18"/>
      <c r="J72" s="19"/>
      <c r="K72" s="19"/>
      <c r="L72" s="19"/>
      <c r="M72" s="19"/>
      <c r="N72" s="19"/>
      <c r="O72" s="19"/>
      <c r="P72" s="19"/>
      <c r="Q72" s="19"/>
      <c r="R72" s="19"/>
      <c r="S72" s="19"/>
      <c r="T72" s="19"/>
      <c r="U72" s="19"/>
      <c r="V72" s="19"/>
      <c r="W72" s="19"/>
      <c r="X72" s="19"/>
      <c r="Y72" s="19"/>
      <c r="Z72" s="19"/>
      <c r="AA72" s="19"/>
      <c r="AB72" s="224">
        <f t="shared" si="14"/>
        <v>0</v>
      </c>
      <c r="AC72" s="82"/>
      <c r="AD72" s="647"/>
      <c r="AE72" s="80"/>
      <c r="AF72" s="755"/>
      <c r="AG72" s="404">
        <v>69</v>
      </c>
    </row>
    <row r="73" spans="1:33" x14ac:dyDescent="0.5">
      <c r="A73" s="640"/>
      <c r="B73" s="256" t="s">
        <v>394</v>
      </c>
      <c r="C73" s="131" t="s">
        <v>588</v>
      </c>
      <c r="D73" s="124"/>
      <c r="E73" s="18"/>
      <c r="F73" s="18"/>
      <c r="G73" s="18"/>
      <c r="H73" s="18"/>
      <c r="I73" s="18"/>
      <c r="J73" s="19"/>
      <c r="K73" s="19"/>
      <c r="L73" s="19"/>
      <c r="M73" s="19"/>
      <c r="N73" s="19"/>
      <c r="O73" s="19"/>
      <c r="P73" s="19"/>
      <c r="Q73" s="19"/>
      <c r="R73" s="19"/>
      <c r="S73" s="19"/>
      <c r="T73" s="19"/>
      <c r="U73" s="19"/>
      <c r="V73" s="19"/>
      <c r="W73" s="19"/>
      <c r="X73" s="19"/>
      <c r="Y73" s="19"/>
      <c r="Z73" s="19"/>
      <c r="AA73" s="19"/>
      <c r="AB73" s="36">
        <f>SUM(J73:AA73)</f>
        <v>0</v>
      </c>
      <c r="AC73" s="82"/>
      <c r="AD73" s="647"/>
      <c r="AE73" s="80"/>
      <c r="AF73" s="755"/>
      <c r="AG73" s="404">
        <v>70</v>
      </c>
    </row>
    <row r="74" spans="1:33" ht="31.5" thickBot="1" x14ac:dyDescent="0.55000000000000004">
      <c r="A74" s="663"/>
      <c r="B74" s="262" t="s">
        <v>395</v>
      </c>
      <c r="C74" s="133" t="s">
        <v>589</v>
      </c>
      <c r="D74" s="138"/>
      <c r="E74" s="37"/>
      <c r="F74" s="37"/>
      <c r="G74" s="37"/>
      <c r="H74" s="37"/>
      <c r="I74" s="37"/>
      <c r="J74" s="38"/>
      <c r="K74" s="38"/>
      <c r="L74" s="38"/>
      <c r="M74" s="38"/>
      <c r="N74" s="38"/>
      <c r="O74" s="38"/>
      <c r="P74" s="38"/>
      <c r="Q74" s="38"/>
      <c r="R74" s="38"/>
      <c r="S74" s="38"/>
      <c r="T74" s="38"/>
      <c r="U74" s="38"/>
      <c r="V74" s="38"/>
      <c r="W74" s="38"/>
      <c r="X74" s="38"/>
      <c r="Y74" s="38"/>
      <c r="Z74" s="38"/>
      <c r="AA74" s="38"/>
      <c r="AB74" s="39">
        <f>SUM(J74:AA74)</f>
        <v>0</v>
      </c>
      <c r="AC74" s="82"/>
      <c r="AD74" s="647"/>
      <c r="AE74" s="80"/>
      <c r="AF74" s="755"/>
      <c r="AG74" s="404">
        <v>71</v>
      </c>
    </row>
    <row r="75" spans="1:33" x14ac:dyDescent="0.5">
      <c r="A75" s="689" t="s">
        <v>592</v>
      </c>
      <c r="B75" s="264" t="s">
        <v>562</v>
      </c>
      <c r="C75" s="263" t="s">
        <v>353</v>
      </c>
      <c r="D75" s="136"/>
      <c r="E75" s="33"/>
      <c r="F75" s="33"/>
      <c r="G75" s="33"/>
      <c r="H75" s="33"/>
      <c r="I75" s="33"/>
      <c r="J75" s="34"/>
      <c r="K75" s="34"/>
      <c r="L75" s="34"/>
      <c r="M75" s="34"/>
      <c r="N75" s="34"/>
      <c r="O75" s="34"/>
      <c r="P75" s="34"/>
      <c r="Q75" s="34"/>
      <c r="R75" s="34"/>
      <c r="S75" s="34"/>
      <c r="T75" s="34"/>
      <c r="U75" s="34"/>
      <c r="V75" s="34"/>
      <c r="W75" s="34"/>
      <c r="X75" s="34"/>
      <c r="Y75" s="34"/>
      <c r="Z75" s="34"/>
      <c r="AA75" s="34"/>
      <c r="AB75" s="35">
        <f>SUM(J75:AA75)</f>
        <v>0</v>
      </c>
      <c r="AC75" s="91"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47"/>
      <c r="AE75" s="80"/>
      <c r="AF75" s="755"/>
      <c r="AG75" s="404">
        <v>72</v>
      </c>
    </row>
    <row r="76" spans="1:33" x14ac:dyDescent="0.5">
      <c r="A76" s="690"/>
      <c r="B76" s="256" t="s">
        <v>566</v>
      </c>
      <c r="C76" s="131" t="s">
        <v>568</v>
      </c>
      <c r="D76" s="124"/>
      <c r="E76" s="18"/>
      <c r="F76" s="18"/>
      <c r="G76" s="18"/>
      <c r="H76" s="18"/>
      <c r="I76" s="18"/>
      <c r="J76" s="19"/>
      <c r="K76" s="19"/>
      <c r="L76" s="19"/>
      <c r="M76" s="19"/>
      <c r="N76" s="19"/>
      <c r="O76" s="19"/>
      <c r="P76" s="19"/>
      <c r="Q76" s="19"/>
      <c r="R76" s="19"/>
      <c r="S76" s="19"/>
      <c r="T76" s="19"/>
      <c r="U76" s="19"/>
      <c r="V76" s="19"/>
      <c r="W76" s="19"/>
      <c r="X76" s="19"/>
      <c r="Y76" s="19"/>
      <c r="Z76" s="19"/>
      <c r="AA76" s="19"/>
      <c r="AB76" s="36">
        <f>SUM(J76:AA76)</f>
        <v>0</v>
      </c>
      <c r="AC76" s="82"/>
      <c r="AD76" s="647"/>
      <c r="AE76" s="80"/>
      <c r="AF76" s="755"/>
      <c r="AG76" s="404">
        <v>73</v>
      </c>
    </row>
    <row r="77" spans="1:33" x14ac:dyDescent="0.5">
      <c r="A77" s="690"/>
      <c r="B77" s="256" t="s">
        <v>567</v>
      </c>
      <c r="C77" s="131" t="s">
        <v>569</v>
      </c>
      <c r="D77" s="124"/>
      <c r="E77" s="18"/>
      <c r="F77" s="18"/>
      <c r="G77" s="18"/>
      <c r="H77" s="18"/>
      <c r="I77" s="18"/>
      <c r="J77" s="19"/>
      <c r="K77" s="19"/>
      <c r="L77" s="19"/>
      <c r="M77" s="19"/>
      <c r="N77" s="19"/>
      <c r="O77" s="19"/>
      <c r="P77" s="19"/>
      <c r="Q77" s="19"/>
      <c r="R77" s="19"/>
      <c r="S77" s="19"/>
      <c r="T77" s="19"/>
      <c r="U77" s="19"/>
      <c r="V77" s="19"/>
      <c r="W77" s="19"/>
      <c r="X77" s="19"/>
      <c r="Y77" s="19"/>
      <c r="Z77" s="19"/>
      <c r="AA77" s="19"/>
      <c r="AB77" s="224">
        <f t="shared" ref="AB77:AB78" si="15">SUM(J77:AA77)</f>
        <v>0</v>
      </c>
      <c r="AC77" s="82"/>
      <c r="AD77" s="647"/>
      <c r="AE77" s="80"/>
      <c r="AF77" s="755"/>
      <c r="AG77" s="404">
        <v>74</v>
      </c>
    </row>
    <row r="78" spans="1:33" ht="31.5" thickBot="1" x14ac:dyDescent="0.55000000000000004">
      <c r="A78" s="691"/>
      <c r="B78" s="262" t="s">
        <v>663</v>
      </c>
      <c r="C78" s="133" t="s">
        <v>190</v>
      </c>
      <c r="D78" s="138"/>
      <c r="E78" s="37"/>
      <c r="F78" s="37"/>
      <c r="G78" s="37"/>
      <c r="H78" s="37"/>
      <c r="I78" s="37"/>
      <c r="J78" s="38"/>
      <c r="K78" s="38"/>
      <c r="L78" s="38"/>
      <c r="M78" s="38"/>
      <c r="N78" s="38"/>
      <c r="O78" s="38"/>
      <c r="P78" s="38"/>
      <c r="Q78" s="38"/>
      <c r="R78" s="38"/>
      <c r="S78" s="38"/>
      <c r="T78" s="38"/>
      <c r="U78" s="38"/>
      <c r="V78" s="38"/>
      <c r="W78" s="38"/>
      <c r="X78" s="38"/>
      <c r="Y78" s="38"/>
      <c r="Z78" s="38"/>
      <c r="AA78" s="38"/>
      <c r="AB78" s="224">
        <f t="shared" si="15"/>
        <v>0</v>
      </c>
      <c r="AC78" s="79"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47"/>
      <c r="AE78" s="80"/>
      <c r="AF78" s="755"/>
      <c r="AG78" s="404">
        <v>75</v>
      </c>
    </row>
    <row r="79" spans="1:33" ht="65.25" thickBot="1" x14ac:dyDescent="0.55000000000000004">
      <c r="A79" s="418" t="s">
        <v>869</v>
      </c>
      <c r="B79" s="343" t="s">
        <v>942</v>
      </c>
      <c r="C79" s="263" t="s">
        <v>571</v>
      </c>
      <c r="D79" s="136"/>
      <c r="E79" s="33"/>
      <c r="F79" s="33"/>
      <c r="G79" s="33"/>
      <c r="H79" s="33"/>
      <c r="I79" s="33"/>
      <c r="J79" s="48">
        <f>SUM(J80:J85)</f>
        <v>0</v>
      </c>
      <c r="K79" s="48">
        <f t="shared" ref="K79:AA79" si="16">SUM(K80:K85)</f>
        <v>0</v>
      </c>
      <c r="L79" s="48">
        <f t="shared" si="16"/>
        <v>0</v>
      </c>
      <c r="M79" s="48">
        <f t="shared" si="16"/>
        <v>0</v>
      </c>
      <c r="N79" s="48">
        <f t="shared" si="16"/>
        <v>0</v>
      </c>
      <c r="O79" s="48">
        <f t="shared" si="16"/>
        <v>0</v>
      </c>
      <c r="P79" s="48">
        <f t="shared" si="16"/>
        <v>0</v>
      </c>
      <c r="Q79" s="48">
        <f t="shared" si="16"/>
        <v>0</v>
      </c>
      <c r="R79" s="48">
        <f t="shared" si="16"/>
        <v>0</v>
      </c>
      <c r="S79" s="48">
        <f t="shared" si="16"/>
        <v>0</v>
      </c>
      <c r="T79" s="48">
        <f t="shared" si="16"/>
        <v>0</v>
      </c>
      <c r="U79" s="48">
        <f t="shared" si="16"/>
        <v>0</v>
      </c>
      <c r="V79" s="48">
        <f t="shared" si="16"/>
        <v>0</v>
      </c>
      <c r="W79" s="48">
        <f t="shared" si="16"/>
        <v>0</v>
      </c>
      <c r="X79" s="48">
        <f t="shared" si="16"/>
        <v>0</v>
      </c>
      <c r="Y79" s="48">
        <f t="shared" si="16"/>
        <v>0</v>
      </c>
      <c r="Z79" s="48">
        <f t="shared" si="16"/>
        <v>0</v>
      </c>
      <c r="AA79" s="48">
        <f t="shared" si="16"/>
        <v>0</v>
      </c>
      <c r="AB79" s="401">
        <f>SUM(J79:AA79)</f>
        <v>0</v>
      </c>
      <c r="AC79" s="79"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47"/>
      <c r="AE79" s="80"/>
      <c r="AF79" s="755"/>
      <c r="AG79" s="404">
        <v>76</v>
      </c>
    </row>
    <row r="80" spans="1:33" x14ac:dyDescent="0.5">
      <c r="A80" s="639" t="s">
        <v>582</v>
      </c>
      <c r="B80" s="256" t="s">
        <v>396</v>
      </c>
      <c r="C80" s="131" t="s">
        <v>593</v>
      </c>
      <c r="D80" s="124"/>
      <c r="E80" s="18"/>
      <c r="F80" s="18"/>
      <c r="G80" s="18"/>
      <c r="H80" s="18"/>
      <c r="I80" s="18"/>
      <c r="J80" s="19"/>
      <c r="K80" s="19"/>
      <c r="L80" s="19"/>
      <c r="M80" s="19"/>
      <c r="N80" s="19"/>
      <c r="O80" s="19"/>
      <c r="P80" s="19"/>
      <c r="Q80" s="19"/>
      <c r="R80" s="19"/>
      <c r="S80" s="19"/>
      <c r="T80" s="19"/>
      <c r="U80" s="19"/>
      <c r="V80" s="19"/>
      <c r="W80" s="19"/>
      <c r="X80" s="19"/>
      <c r="Y80" s="19"/>
      <c r="Z80" s="19"/>
      <c r="AA80" s="19"/>
      <c r="AB80" s="36">
        <f>SUM(J80:AA80)</f>
        <v>0</v>
      </c>
      <c r="AC80" s="82"/>
      <c r="AD80" s="647"/>
      <c r="AE80" s="80"/>
      <c r="AF80" s="755"/>
      <c r="AG80" s="404">
        <v>77</v>
      </c>
    </row>
    <row r="81" spans="1:33" x14ac:dyDescent="0.5">
      <c r="A81" s="640"/>
      <c r="B81" s="256" t="s">
        <v>391</v>
      </c>
      <c r="C81" s="131" t="s">
        <v>594</v>
      </c>
      <c r="D81" s="124"/>
      <c r="E81" s="18"/>
      <c r="F81" s="18"/>
      <c r="G81" s="18"/>
      <c r="H81" s="18"/>
      <c r="I81" s="18"/>
      <c r="J81" s="19"/>
      <c r="K81" s="19"/>
      <c r="L81" s="19"/>
      <c r="M81" s="19"/>
      <c r="N81" s="19"/>
      <c r="O81" s="19"/>
      <c r="P81" s="19"/>
      <c r="Q81" s="19"/>
      <c r="R81" s="19"/>
      <c r="S81" s="19"/>
      <c r="T81" s="19"/>
      <c r="U81" s="19"/>
      <c r="V81" s="19"/>
      <c r="W81" s="19"/>
      <c r="X81" s="19"/>
      <c r="Y81" s="19"/>
      <c r="Z81" s="19"/>
      <c r="AA81" s="19"/>
      <c r="AB81" s="36">
        <f>SUM(J81:AA81)</f>
        <v>0</v>
      </c>
      <c r="AC81" s="82"/>
      <c r="AD81" s="647"/>
      <c r="AE81" s="80"/>
      <c r="AF81" s="755"/>
      <c r="AG81" s="404">
        <v>78</v>
      </c>
    </row>
    <row r="82" spans="1:33" x14ac:dyDescent="0.5">
      <c r="A82" s="640"/>
      <c r="B82" s="256" t="s">
        <v>392</v>
      </c>
      <c r="C82" s="131" t="s">
        <v>595</v>
      </c>
      <c r="D82" s="124"/>
      <c r="E82" s="18"/>
      <c r="F82" s="18"/>
      <c r="G82" s="18"/>
      <c r="H82" s="18"/>
      <c r="I82" s="18"/>
      <c r="J82" s="19"/>
      <c r="K82" s="19"/>
      <c r="L82" s="19"/>
      <c r="M82" s="19"/>
      <c r="N82" s="19"/>
      <c r="O82" s="19"/>
      <c r="P82" s="19"/>
      <c r="Q82" s="19"/>
      <c r="R82" s="19"/>
      <c r="S82" s="19"/>
      <c r="T82" s="19"/>
      <c r="U82" s="19"/>
      <c r="V82" s="19"/>
      <c r="W82" s="19"/>
      <c r="X82" s="19"/>
      <c r="Y82" s="19"/>
      <c r="Z82" s="19"/>
      <c r="AA82" s="19"/>
      <c r="AB82" s="224">
        <f t="shared" ref="AB82:AB85" si="17">SUM(J82:AA82)</f>
        <v>0</v>
      </c>
      <c r="AC82" s="82"/>
      <c r="AD82" s="647"/>
      <c r="AE82" s="80"/>
      <c r="AF82" s="755"/>
      <c r="AG82" s="404">
        <v>79</v>
      </c>
    </row>
    <row r="83" spans="1:33" x14ac:dyDescent="0.5">
      <c r="A83" s="640"/>
      <c r="B83" s="256" t="s">
        <v>393</v>
      </c>
      <c r="C83" s="131" t="s">
        <v>596</v>
      </c>
      <c r="D83" s="124"/>
      <c r="E83" s="18"/>
      <c r="F83" s="18"/>
      <c r="G83" s="18"/>
      <c r="H83" s="18"/>
      <c r="I83" s="18"/>
      <c r="J83" s="19"/>
      <c r="K83" s="19"/>
      <c r="L83" s="19"/>
      <c r="M83" s="19"/>
      <c r="N83" s="19"/>
      <c r="O83" s="19"/>
      <c r="P83" s="19"/>
      <c r="Q83" s="19"/>
      <c r="R83" s="19"/>
      <c r="S83" s="19"/>
      <c r="T83" s="19"/>
      <c r="U83" s="19"/>
      <c r="V83" s="19"/>
      <c r="W83" s="19"/>
      <c r="X83" s="19"/>
      <c r="Y83" s="19"/>
      <c r="Z83" s="19"/>
      <c r="AA83" s="19"/>
      <c r="AB83" s="224">
        <f t="shared" si="17"/>
        <v>0</v>
      </c>
      <c r="AC83" s="82"/>
      <c r="AD83" s="647"/>
      <c r="AE83" s="80"/>
      <c r="AF83" s="755"/>
      <c r="AG83" s="404">
        <v>80</v>
      </c>
    </row>
    <row r="84" spans="1:33" x14ac:dyDescent="0.5">
      <c r="A84" s="640"/>
      <c r="B84" s="256" t="s">
        <v>394</v>
      </c>
      <c r="C84" s="131" t="s">
        <v>597</v>
      </c>
      <c r="D84" s="124"/>
      <c r="E84" s="18"/>
      <c r="F84" s="18"/>
      <c r="G84" s="18"/>
      <c r="H84" s="18"/>
      <c r="I84" s="18"/>
      <c r="J84" s="19"/>
      <c r="K84" s="19"/>
      <c r="L84" s="19"/>
      <c r="M84" s="19"/>
      <c r="N84" s="19"/>
      <c r="O84" s="19"/>
      <c r="P84" s="19"/>
      <c r="Q84" s="19"/>
      <c r="R84" s="19"/>
      <c r="S84" s="19"/>
      <c r="T84" s="19"/>
      <c r="U84" s="19"/>
      <c r="V84" s="19"/>
      <c r="W84" s="19"/>
      <c r="X84" s="19"/>
      <c r="Y84" s="19"/>
      <c r="Z84" s="19"/>
      <c r="AA84" s="19"/>
      <c r="AB84" s="224">
        <f t="shared" si="17"/>
        <v>0</v>
      </c>
      <c r="AC84" s="82"/>
      <c r="AD84" s="647"/>
      <c r="AE84" s="80"/>
      <c r="AF84" s="755"/>
      <c r="AG84" s="404">
        <v>81</v>
      </c>
    </row>
    <row r="85" spans="1:33" ht="31.5" thickBot="1" x14ac:dyDescent="0.55000000000000004">
      <c r="A85" s="663"/>
      <c r="B85" s="262" t="s">
        <v>395</v>
      </c>
      <c r="C85" s="133" t="s">
        <v>598</v>
      </c>
      <c r="D85" s="259"/>
      <c r="E85" s="228"/>
      <c r="F85" s="228"/>
      <c r="G85" s="228"/>
      <c r="H85" s="228"/>
      <c r="I85" s="228"/>
      <c r="J85" s="229"/>
      <c r="K85" s="229"/>
      <c r="L85" s="229"/>
      <c r="M85" s="229"/>
      <c r="N85" s="229"/>
      <c r="O85" s="229"/>
      <c r="P85" s="229"/>
      <c r="Q85" s="229"/>
      <c r="R85" s="229"/>
      <c r="S85" s="229"/>
      <c r="T85" s="229"/>
      <c r="U85" s="229"/>
      <c r="V85" s="229"/>
      <c r="W85" s="229"/>
      <c r="X85" s="229"/>
      <c r="Y85" s="229"/>
      <c r="Z85" s="229"/>
      <c r="AA85" s="229"/>
      <c r="AB85" s="240">
        <f t="shared" si="17"/>
        <v>0</v>
      </c>
      <c r="AC85" s="82"/>
      <c r="AD85" s="647"/>
      <c r="AE85" s="80"/>
      <c r="AF85" s="755"/>
      <c r="AG85" s="404">
        <v>82</v>
      </c>
    </row>
    <row r="86" spans="1:33" x14ac:dyDescent="0.5">
      <c r="A86" s="659" t="s">
        <v>28</v>
      </c>
      <c r="B86" s="255" t="s">
        <v>664</v>
      </c>
      <c r="C86" s="143" t="s">
        <v>192</v>
      </c>
      <c r="D86" s="321"/>
      <c r="E86" s="221"/>
      <c r="F86" s="221"/>
      <c r="G86" s="221"/>
      <c r="H86" s="221"/>
      <c r="I86" s="221"/>
      <c r="J86" s="222"/>
      <c r="K86" s="222"/>
      <c r="L86" s="222"/>
      <c r="M86" s="222"/>
      <c r="N86" s="222"/>
      <c r="O86" s="222"/>
      <c r="P86" s="222"/>
      <c r="Q86" s="222"/>
      <c r="R86" s="222"/>
      <c r="S86" s="222"/>
      <c r="T86" s="222"/>
      <c r="U86" s="222"/>
      <c r="V86" s="222"/>
      <c r="W86" s="222"/>
      <c r="X86" s="222"/>
      <c r="Y86" s="222"/>
      <c r="Z86" s="222"/>
      <c r="AA86" s="222"/>
      <c r="AB86" s="223">
        <f t="shared" si="12"/>
        <v>0</v>
      </c>
      <c r="AC86" s="704"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47"/>
      <c r="AE86" s="80"/>
      <c r="AF86" s="755"/>
      <c r="AG86" s="404">
        <v>83</v>
      </c>
    </row>
    <row r="87" spans="1:33" x14ac:dyDescent="0.5">
      <c r="A87" s="686"/>
      <c r="B87" s="256" t="s">
        <v>665</v>
      </c>
      <c r="C87" s="131" t="s">
        <v>193</v>
      </c>
      <c r="D87" s="322"/>
      <c r="E87" s="212"/>
      <c r="F87" s="212"/>
      <c r="G87" s="212"/>
      <c r="H87" s="212"/>
      <c r="I87" s="212"/>
      <c r="J87" s="213"/>
      <c r="K87" s="213"/>
      <c r="L87" s="213"/>
      <c r="M87" s="213"/>
      <c r="N87" s="213"/>
      <c r="O87" s="213"/>
      <c r="P87" s="213"/>
      <c r="Q87" s="213"/>
      <c r="R87" s="213"/>
      <c r="S87" s="213"/>
      <c r="T87" s="213"/>
      <c r="U87" s="213"/>
      <c r="V87" s="213"/>
      <c r="W87" s="213"/>
      <c r="X87" s="213"/>
      <c r="Y87" s="213"/>
      <c r="Z87" s="213"/>
      <c r="AA87" s="213"/>
      <c r="AB87" s="224">
        <f t="shared" si="12"/>
        <v>0</v>
      </c>
      <c r="AC87" s="704"/>
      <c r="AD87" s="647"/>
      <c r="AE87" s="80"/>
      <c r="AF87" s="755"/>
      <c r="AG87" s="404">
        <v>84</v>
      </c>
    </row>
    <row r="88" spans="1:33" ht="31.5" thickBot="1" x14ac:dyDescent="0.55000000000000004">
      <c r="A88" s="660"/>
      <c r="B88" s="257" t="s">
        <v>666</v>
      </c>
      <c r="C88" s="144" t="s">
        <v>354</v>
      </c>
      <c r="D88" s="323"/>
      <c r="E88" s="225"/>
      <c r="F88" s="225"/>
      <c r="G88" s="225"/>
      <c r="H88" s="225"/>
      <c r="I88" s="225"/>
      <c r="J88" s="226"/>
      <c r="K88" s="226"/>
      <c r="L88" s="226"/>
      <c r="M88" s="226"/>
      <c r="N88" s="226"/>
      <c r="O88" s="226"/>
      <c r="P88" s="226"/>
      <c r="Q88" s="226"/>
      <c r="R88" s="226"/>
      <c r="S88" s="226"/>
      <c r="T88" s="226"/>
      <c r="U88" s="226"/>
      <c r="V88" s="226"/>
      <c r="W88" s="226"/>
      <c r="X88" s="226"/>
      <c r="Y88" s="226"/>
      <c r="Z88" s="226"/>
      <c r="AA88" s="226"/>
      <c r="AB88" s="227">
        <f t="shared" si="12"/>
        <v>0</v>
      </c>
      <c r="AC88" s="82"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47"/>
      <c r="AE88" s="80"/>
      <c r="AF88" s="755"/>
      <c r="AG88" s="404">
        <v>85</v>
      </c>
    </row>
    <row r="89" spans="1:33" x14ac:dyDescent="0.5">
      <c r="A89" s="659" t="s">
        <v>21</v>
      </c>
      <c r="B89" s="264" t="s">
        <v>667</v>
      </c>
      <c r="C89" s="129" t="s">
        <v>355</v>
      </c>
      <c r="D89" s="136"/>
      <c r="E89" s="33"/>
      <c r="F89" s="33"/>
      <c r="G89" s="33"/>
      <c r="H89" s="33"/>
      <c r="I89" s="33"/>
      <c r="J89" s="34"/>
      <c r="K89" s="34"/>
      <c r="L89" s="34"/>
      <c r="M89" s="34"/>
      <c r="N89" s="34"/>
      <c r="O89" s="34"/>
      <c r="P89" s="34"/>
      <c r="Q89" s="34"/>
      <c r="R89" s="34"/>
      <c r="S89" s="34"/>
      <c r="T89" s="34"/>
      <c r="U89" s="34"/>
      <c r="V89" s="34"/>
      <c r="W89" s="34"/>
      <c r="X89" s="34"/>
      <c r="Y89" s="34"/>
      <c r="Z89" s="34"/>
      <c r="AA89" s="34"/>
      <c r="AB89" s="35">
        <f t="shared" si="12"/>
        <v>0</v>
      </c>
      <c r="AC89" s="82"/>
      <c r="AD89" s="647"/>
      <c r="AE89" s="80"/>
      <c r="AF89" s="755"/>
      <c r="AG89" s="404">
        <v>86</v>
      </c>
    </row>
    <row r="90" spans="1:33" x14ac:dyDescent="0.5">
      <c r="A90" s="686"/>
      <c r="B90" s="256" t="s">
        <v>668</v>
      </c>
      <c r="C90" s="131" t="s">
        <v>356</v>
      </c>
      <c r="D90" s="124"/>
      <c r="E90" s="18"/>
      <c r="F90" s="18"/>
      <c r="G90" s="18"/>
      <c r="H90" s="18"/>
      <c r="I90" s="18"/>
      <c r="J90" s="19"/>
      <c r="K90" s="19"/>
      <c r="L90" s="19"/>
      <c r="M90" s="19"/>
      <c r="N90" s="19"/>
      <c r="O90" s="19"/>
      <c r="P90" s="19"/>
      <c r="Q90" s="19"/>
      <c r="R90" s="19"/>
      <c r="S90" s="19"/>
      <c r="T90" s="19"/>
      <c r="U90" s="19"/>
      <c r="V90" s="19"/>
      <c r="W90" s="19"/>
      <c r="X90" s="19"/>
      <c r="Y90" s="19"/>
      <c r="Z90" s="19"/>
      <c r="AA90" s="19"/>
      <c r="AB90" s="36">
        <f t="shared" si="12"/>
        <v>0</v>
      </c>
      <c r="AC90" s="82"/>
      <c r="AD90" s="647"/>
      <c r="AE90" s="80"/>
      <c r="AF90" s="755"/>
      <c r="AG90" s="404">
        <v>87</v>
      </c>
    </row>
    <row r="91" spans="1:33" x14ac:dyDescent="0.5">
      <c r="A91" s="686"/>
      <c r="B91" s="256" t="s">
        <v>669</v>
      </c>
      <c r="C91" s="131" t="s">
        <v>195</v>
      </c>
      <c r="D91" s="124"/>
      <c r="E91" s="18"/>
      <c r="F91" s="18"/>
      <c r="G91" s="18"/>
      <c r="H91" s="18"/>
      <c r="I91" s="18"/>
      <c r="J91" s="19"/>
      <c r="K91" s="19"/>
      <c r="L91" s="19"/>
      <c r="M91" s="19"/>
      <c r="N91" s="19"/>
      <c r="O91" s="19"/>
      <c r="P91" s="19"/>
      <c r="Q91" s="19"/>
      <c r="R91" s="19"/>
      <c r="S91" s="19"/>
      <c r="T91" s="19"/>
      <c r="U91" s="19"/>
      <c r="V91" s="19"/>
      <c r="W91" s="19"/>
      <c r="X91" s="19"/>
      <c r="Y91" s="19"/>
      <c r="Z91" s="19"/>
      <c r="AA91" s="19"/>
      <c r="AB91" s="36">
        <f t="shared" si="12"/>
        <v>0</v>
      </c>
      <c r="AC91" s="82"/>
      <c r="AD91" s="647"/>
      <c r="AE91" s="80"/>
      <c r="AF91" s="755"/>
      <c r="AG91" s="404">
        <v>88</v>
      </c>
    </row>
    <row r="92" spans="1:33" x14ac:dyDescent="0.5">
      <c r="A92" s="686"/>
      <c r="B92" s="256" t="s">
        <v>670</v>
      </c>
      <c r="C92" s="131" t="s">
        <v>196</v>
      </c>
      <c r="D92" s="124"/>
      <c r="E92" s="18"/>
      <c r="F92" s="18"/>
      <c r="G92" s="18"/>
      <c r="H92" s="18"/>
      <c r="I92" s="18"/>
      <c r="J92" s="19"/>
      <c r="K92" s="19"/>
      <c r="L92" s="19"/>
      <c r="M92" s="19"/>
      <c r="N92" s="19"/>
      <c r="O92" s="19"/>
      <c r="P92" s="19"/>
      <c r="Q92" s="19"/>
      <c r="R92" s="19"/>
      <c r="S92" s="19"/>
      <c r="T92" s="19"/>
      <c r="U92" s="19"/>
      <c r="V92" s="19"/>
      <c r="W92" s="19"/>
      <c r="X92" s="19"/>
      <c r="Y92" s="19"/>
      <c r="Z92" s="19"/>
      <c r="AA92" s="19"/>
      <c r="AB92" s="36">
        <f t="shared" si="12"/>
        <v>0</v>
      </c>
      <c r="AC92" s="82"/>
      <c r="AD92" s="647"/>
      <c r="AE92" s="80"/>
      <c r="AF92" s="755"/>
      <c r="AG92" s="404">
        <v>89</v>
      </c>
    </row>
    <row r="93" spans="1:33" x14ac:dyDescent="0.5">
      <c r="A93" s="686"/>
      <c r="B93" s="256" t="s">
        <v>671</v>
      </c>
      <c r="C93" s="131" t="s">
        <v>197</v>
      </c>
      <c r="D93" s="124"/>
      <c r="E93" s="18"/>
      <c r="F93" s="18"/>
      <c r="G93" s="18"/>
      <c r="H93" s="18"/>
      <c r="I93" s="18"/>
      <c r="J93" s="19"/>
      <c r="K93" s="19"/>
      <c r="L93" s="19"/>
      <c r="M93" s="19"/>
      <c r="N93" s="19"/>
      <c r="O93" s="19"/>
      <c r="P93" s="19"/>
      <c r="Q93" s="19"/>
      <c r="R93" s="19"/>
      <c r="S93" s="19"/>
      <c r="T93" s="19"/>
      <c r="U93" s="19"/>
      <c r="V93" s="19"/>
      <c r="W93" s="19"/>
      <c r="X93" s="19"/>
      <c r="Y93" s="19"/>
      <c r="Z93" s="19"/>
      <c r="AA93" s="19"/>
      <c r="AB93" s="36">
        <f t="shared" si="12"/>
        <v>0</v>
      </c>
      <c r="AC93" s="82"/>
      <c r="AD93" s="647"/>
      <c r="AE93" s="80"/>
      <c r="AF93" s="755"/>
      <c r="AG93" s="404">
        <v>90</v>
      </c>
    </row>
    <row r="94" spans="1:33" x14ac:dyDescent="0.5">
      <c r="A94" s="686"/>
      <c r="B94" s="256" t="s">
        <v>672</v>
      </c>
      <c r="C94" s="131" t="s">
        <v>198</v>
      </c>
      <c r="D94" s="124"/>
      <c r="E94" s="18"/>
      <c r="F94" s="18"/>
      <c r="G94" s="18"/>
      <c r="H94" s="18"/>
      <c r="I94" s="18"/>
      <c r="J94" s="19"/>
      <c r="K94" s="19"/>
      <c r="L94" s="19"/>
      <c r="M94" s="19"/>
      <c r="N94" s="19"/>
      <c r="O94" s="19"/>
      <c r="P94" s="19"/>
      <c r="Q94" s="19"/>
      <c r="R94" s="19"/>
      <c r="S94" s="19"/>
      <c r="T94" s="19"/>
      <c r="U94" s="19"/>
      <c r="V94" s="19"/>
      <c r="W94" s="19"/>
      <c r="X94" s="19"/>
      <c r="Y94" s="19"/>
      <c r="Z94" s="19"/>
      <c r="AA94" s="19"/>
      <c r="AB94" s="36">
        <f t="shared" si="12"/>
        <v>0</v>
      </c>
      <c r="AC94" s="82"/>
      <c r="AD94" s="647"/>
      <c r="AE94" s="80"/>
      <c r="AF94" s="755"/>
      <c r="AG94" s="404">
        <v>91</v>
      </c>
    </row>
    <row r="95" spans="1:33" ht="31.5" thickBot="1" x14ac:dyDescent="0.55000000000000004">
      <c r="A95" s="660"/>
      <c r="B95" s="262" t="s">
        <v>673</v>
      </c>
      <c r="C95" s="133" t="s">
        <v>199</v>
      </c>
      <c r="D95" s="138"/>
      <c r="E95" s="37"/>
      <c r="F95" s="37"/>
      <c r="G95" s="37"/>
      <c r="H95" s="37"/>
      <c r="I95" s="37"/>
      <c r="J95" s="38"/>
      <c r="K95" s="38"/>
      <c r="L95" s="38"/>
      <c r="M95" s="38"/>
      <c r="N95" s="38"/>
      <c r="O95" s="38"/>
      <c r="P95" s="38"/>
      <c r="Q95" s="38"/>
      <c r="R95" s="38"/>
      <c r="S95" s="38"/>
      <c r="T95" s="38"/>
      <c r="U95" s="38"/>
      <c r="V95" s="38"/>
      <c r="W95" s="38"/>
      <c r="X95" s="38"/>
      <c r="Y95" s="38"/>
      <c r="Z95" s="38"/>
      <c r="AA95" s="38"/>
      <c r="AB95" s="39">
        <f t="shared" si="12"/>
        <v>0</v>
      </c>
      <c r="AC95" s="82"/>
      <c r="AD95" s="647"/>
      <c r="AE95" s="80"/>
      <c r="AF95" s="755"/>
      <c r="AG95" s="404">
        <v>92</v>
      </c>
    </row>
    <row r="96" spans="1:33" x14ac:dyDescent="0.5">
      <c r="A96" s="659" t="s">
        <v>114</v>
      </c>
      <c r="B96" s="269" t="s">
        <v>674</v>
      </c>
      <c r="C96" s="129" t="s">
        <v>357</v>
      </c>
      <c r="D96" s="136"/>
      <c r="E96" s="33"/>
      <c r="F96" s="33"/>
      <c r="G96" s="33"/>
      <c r="H96" s="33"/>
      <c r="I96" s="33"/>
      <c r="J96" s="33"/>
      <c r="K96" s="33"/>
      <c r="L96" s="33"/>
      <c r="M96" s="33"/>
      <c r="N96" s="33"/>
      <c r="O96" s="33"/>
      <c r="P96" s="33"/>
      <c r="Q96" s="33"/>
      <c r="R96" s="33"/>
      <c r="S96" s="33"/>
      <c r="T96" s="33"/>
      <c r="U96" s="33"/>
      <c r="V96" s="33"/>
      <c r="W96" s="33"/>
      <c r="X96" s="33"/>
      <c r="Y96" s="33"/>
      <c r="Z96" s="33"/>
      <c r="AA96" s="33"/>
      <c r="AB96" s="51"/>
      <c r="AC96" s="82"/>
      <c r="AD96" s="647"/>
      <c r="AE96" s="80"/>
      <c r="AF96" s="755"/>
      <c r="AG96" s="404">
        <v>93</v>
      </c>
    </row>
    <row r="97" spans="1:34" ht="31.5" thickBot="1" x14ac:dyDescent="0.55000000000000004">
      <c r="A97" s="735"/>
      <c r="B97" s="270" t="s">
        <v>675</v>
      </c>
      <c r="C97" s="133" t="s">
        <v>358</v>
      </c>
      <c r="D97" s="125"/>
      <c r="E97" s="49"/>
      <c r="F97" s="49"/>
      <c r="G97" s="49"/>
      <c r="H97" s="49"/>
      <c r="I97" s="49"/>
      <c r="J97" s="49"/>
      <c r="K97" s="49"/>
      <c r="L97" s="49"/>
      <c r="M97" s="49"/>
      <c r="N97" s="49"/>
      <c r="O97" s="49"/>
      <c r="P97" s="49"/>
      <c r="Q97" s="49"/>
      <c r="R97" s="49"/>
      <c r="S97" s="49"/>
      <c r="T97" s="49"/>
      <c r="U97" s="49"/>
      <c r="V97" s="49"/>
      <c r="W97" s="49"/>
      <c r="X97" s="49"/>
      <c r="Y97" s="49"/>
      <c r="Z97" s="49"/>
      <c r="AA97" s="49"/>
      <c r="AB97" s="98"/>
      <c r="AC97" s="178"/>
      <c r="AD97" s="648"/>
      <c r="AE97" s="94"/>
      <c r="AF97" s="756"/>
      <c r="AG97" s="404">
        <v>94</v>
      </c>
    </row>
    <row r="98" spans="1:34" ht="36" thickBot="1" x14ac:dyDescent="0.55000000000000004">
      <c r="A98" s="724" t="s">
        <v>1052</v>
      </c>
      <c r="B98" s="711"/>
      <c r="C98" s="711"/>
      <c r="D98" s="711"/>
      <c r="E98" s="711"/>
      <c r="F98" s="711"/>
      <c r="G98" s="711"/>
      <c r="H98" s="711"/>
      <c r="I98" s="711"/>
      <c r="J98" s="711"/>
      <c r="K98" s="711"/>
      <c r="L98" s="711"/>
      <c r="M98" s="711"/>
      <c r="N98" s="711"/>
      <c r="O98" s="711"/>
      <c r="P98" s="711"/>
      <c r="Q98" s="711"/>
      <c r="R98" s="711"/>
      <c r="S98" s="711"/>
      <c r="T98" s="711"/>
      <c r="U98" s="711"/>
      <c r="V98" s="711"/>
      <c r="W98" s="711"/>
      <c r="X98" s="711"/>
      <c r="Y98" s="711"/>
      <c r="Z98" s="711"/>
      <c r="AA98" s="711"/>
      <c r="AB98" s="711"/>
      <c r="AC98" s="711"/>
      <c r="AD98" s="711"/>
      <c r="AE98" s="711"/>
      <c r="AF98" s="712"/>
      <c r="AG98" s="404">
        <v>95</v>
      </c>
    </row>
    <row r="99" spans="1:34" ht="26.25" customHeight="1" x14ac:dyDescent="0.5">
      <c r="A99" s="661" t="s">
        <v>37</v>
      </c>
      <c r="B99" s="687" t="s">
        <v>347</v>
      </c>
      <c r="C99" s="666" t="s">
        <v>328</v>
      </c>
      <c r="D99" s="649" t="s">
        <v>0</v>
      </c>
      <c r="E99" s="649"/>
      <c r="F99" s="649" t="s">
        <v>1</v>
      </c>
      <c r="G99" s="649"/>
      <c r="H99" s="649" t="s">
        <v>2</v>
      </c>
      <c r="I99" s="649"/>
      <c r="J99" s="649" t="s">
        <v>3</v>
      </c>
      <c r="K99" s="649"/>
      <c r="L99" s="649" t="s">
        <v>4</v>
      </c>
      <c r="M99" s="649"/>
      <c r="N99" s="649" t="s">
        <v>5</v>
      </c>
      <c r="O99" s="649"/>
      <c r="P99" s="649" t="s">
        <v>6</v>
      </c>
      <c r="Q99" s="649"/>
      <c r="R99" s="649" t="s">
        <v>7</v>
      </c>
      <c r="S99" s="649"/>
      <c r="T99" s="649" t="s">
        <v>8</v>
      </c>
      <c r="U99" s="649"/>
      <c r="V99" s="649" t="s">
        <v>23</v>
      </c>
      <c r="W99" s="649"/>
      <c r="X99" s="649" t="s">
        <v>24</v>
      </c>
      <c r="Y99" s="649"/>
      <c r="Z99" s="649" t="s">
        <v>9</v>
      </c>
      <c r="AA99" s="649"/>
      <c r="AB99" s="719" t="s">
        <v>19</v>
      </c>
      <c r="AC99" s="642" t="s">
        <v>381</v>
      </c>
      <c r="AD99" s="644" t="s">
        <v>387</v>
      </c>
      <c r="AE99" s="702" t="s">
        <v>388</v>
      </c>
      <c r="AF99" s="725" t="s">
        <v>388</v>
      </c>
      <c r="AG99" s="404">
        <v>96</v>
      </c>
    </row>
    <row r="100" spans="1:34" ht="27" customHeight="1" thickBot="1" x14ac:dyDescent="0.55000000000000004">
      <c r="A100" s="662"/>
      <c r="B100" s="713"/>
      <c r="C100" s="667"/>
      <c r="D100" s="78" t="s">
        <v>10</v>
      </c>
      <c r="E100" s="78" t="s">
        <v>11</v>
      </c>
      <c r="F100" s="78" t="s">
        <v>10</v>
      </c>
      <c r="G100" s="78" t="s">
        <v>11</v>
      </c>
      <c r="H100" s="78" t="s">
        <v>10</v>
      </c>
      <c r="I100" s="78" t="s">
        <v>11</v>
      </c>
      <c r="J100" s="78" t="s">
        <v>10</v>
      </c>
      <c r="K100" s="78" t="s">
        <v>11</v>
      </c>
      <c r="L100" s="78" t="s">
        <v>10</v>
      </c>
      <c r="M100" s="78" t="s">
        <v>11</v>
      </c>
      <c r="N100" s="78" t="s">
        <v>10</v>
      </c>
      <c r="O100" s="78" t="s">
        <v>11</v>
      </c>
      <c r="P100" s="78" t="s">
        <v>10</v>
      </c>
      <c r="Q100" s="78" t="s">
        <v>11</v>
      </c>
      <c r="R100" s="78" t="s">
        <v>10</v>
      </c>
      <c r="S100" s="78" t="s">
        <v>11</v>
      </c>
      <c r="T100" s="78" t="s">
        <v>10</v>
      </c>
      <c r="U100" s="78" t="s">
        <v>11</v>
      </c>
      <c r="V100" s="78" t="s">
        <v>10</v>
      </c>
      <c r="W100" s="78" t="s">
        <v>11</v>
      </c>
      <c r="X100" s="78" t="s">
        <v>10</v>
      </c>
      <c r="Y100" s="78" t="s">
        <v>11</v>
      </c>
      <c r="Z100" s="78" t="s">
        <v>10</v>
      </c>
      <c r="AA100" s="78" t="s">
        <v>11</v>
      </c>
      <c r="AB100" s="720"/>
      <c r="AC100" s="643"/>
      <c r="AD100" s="645"/>
      <c r="AE100" s="702"/>
      <c r="AF100" s="726"/>
      <c r="AG100" s="404">
        <v>97</v>
      </c>
    </row>
    <row r="101" spans="1:34" s="9" customFormat="1" x14ac:dyDescent="0.5">
      <c r="A101" s="736" t="s">
        <v>1051</v>
      </c>
      <c r="B101" s="255" t="s">
        <v>676</v>
      </c>
      <c r="C101" s="153" t="s">
        <v>213</v>
      </c>
      <c r="D101" s="145"/>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86">
        <f>SUM(D101:AA101)</f>
        <v>0</v>
      </c>
      <c r="AC101" s="99"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714" t="str">
        <f>CONCATENATE(AC101,AC102,AC103,AC104,AC105,AC106,AC107,AC108,AC109,AC110,AC111,AC112)</f>
        <v/>
      </c>
      <c r="AE101" s="100"/>
      <c r="AF101" s="757" t="str">
        <f>CONCATENATE(AE101,AE102,AE103,AE104,AE105,AE106,AE107,AE108,AE109,AE110,AE111,AE112)</f>
        <v/>
      </c>
      <c r="AG101" s="404">
        <v>98</v>
      </c>
      <c r="AH101" s="311"/>
    </row>
    <row r="102" spans="1:34" s="9" customFormat="1" ht="31.5" thickBot="1" x14ac:dyDescent="0.55000000000000004">
      <c r="A102" s="660"/>
      <c r="B102" s="262" t="s">
        <v>677</v>
      </c>
      <c r="C102" s="140" t="s">
        <v>214</v>
      </c>
      <c r="D102" s="146"/>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9">
        <f t="shared" ref="AB102:AB112" si="18">SUM(D102:AA102)</f>
        <v>0</v>
      </c>
      <c r="AC102" s="82"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715"/>
      <c r="AE102" s="81"/>
      <c r="AF102" s="755"/>
      <c r="AG102" s="404">
        <v>99</v>
      </c>
      <c r="AH102" s="311"/>
    </row>
    <row r="103" spans="1:34" x14ac:dyDescent="0.5">
      <c r="A103" s="659" t="s">
        <v>1037</v>
      </c>
      <c r="B103" s="264" t="s">
        <v>678</v>
      </c>
      <c r="C103" s="129" t="s">
        <v>215</v>
      </c>
      <c r="D103" s="147"/>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35">
        <f t="shared" si="18"/>
        <v>0</v>
      </c>
      <c r="AC103" s="82"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715"/>
      <c r="AE103" s="80"/>
      <c r="AF103" s="755"/>
      <c r="AG103" s="404">
        <v>100</v>
      </c>
    </row>
    <row r="104" spans="1:34" ht="31.5" thickBot="1" x14ac:dyDescent="0.55000000000000004">
      <c r="A104" s="660"/>
      <c r="B104" s="262" t="s">
        <v>677</v>
      </c>
      <c r="C104" s="133" t="s">
        <v>216</v>
      </c>
      <c r="D104" s="148"/>
      <c r="E104" s="53"/>
      <c r="F104" s="53"/>
      <c r="G104" s="53"/>
      <c r="H104" s="53"/>
      <c r="I104" s="53"/>
      <c r="J104" s="53"/>
      <c r="K104" s="53"/>
      <c r="L104" s="53"/>
      <c r="M104" s="53"/>
      <c r="N104" s="53"/>
      <c r="O104" s="53"/>
      <c r="P104" s="53"/>
      <c r="Q104" s="53"/>
      <c r="R104" s="53"/>
      <c r="S104" s="53"/>
      <c r="T104" s="53"/>
      <c r="U104" s="53"/>
      <c r="V104" s="53"/>
      <c r="W104" s="53"/>
      <c r="X104" s="53"/>
      <c r="Y104" s="53"/>
      <c r="Z104" s="53"/>
      <c r="AA104" s="53"/>
      <c r="AB104" s="39">
        <f t="shared" si="18"/>
        <v>0</v>
      </c>
      <c r="AC104" s="82"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715"/>
      <c r="AE104" s="80"/>
      <c r="AF104" s="755"/>
      <c r="AG104" s="404">
        <v>101</v>
      </c>
    </row>
    <row r="105" spans="1:34" s="7" customFormat="1" x14ac:dyDescent="0.5">
      <c r="A105" s="733" t="s">
        <v>29</v>
      </c>
      <c r="B105" s="272" t="s">
        <v>679</v>
      </c>
      <c r="C105" s="154" t="s">
        <v>217</v>
      </c>
      <c r="D105" s="149"/>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35">
        <f t="shared" si="18"/>
        <v>0</v>
      </c>
      <c r="AC105" s="82" t="str">
        <f>CONCATENATE(IF(D255&lt;SUM(D101,D102)," * Total Initiated on IPT for Age "&amp;D20&amp;" "&amp;D21&amp;" is More than Current ON ART "&amp;CHAR(10),""),IF(E255&lt;SUM(E101,E102)," * Total Initiated on IPT for Age "&amp;D20&amp;" "&amp;E21&amp;" is More than Current ON ART"&amp;CHAR(10),""),IF(F255&lt;SUM(F101,F102)," * Total Initiated on IPT for Age "&amp;F20&amp;" "&amp;F21&amp;" is More than Current ON ART "&amp;CHAR(10),""),IF(G255&lt;SUM(G101,G102)," * Total Initiated on IPT for Age "&amp;F20&amp;" "&amp;G21&amp;" is More than Current ON ART"&amp;CHAR(10),""),IF(H255&lt;SUM(H101,H102)," * Total Initiated on IPT for Age "&amp;H20&amp;" "&amp;H21&amp;" is More than Current ON ART "&amp;CHAR(10),""),IF(I255&lt;SUM(I101,I102)," * Total Initiated on IPT for Age "&amp;H20&amp;" "&amp;I21&amp;" is More than Current ON ART"&amp;CHAR(10),""),IF(J255&lt;SUM(J101,J102)," * Total Initiated on IPT for Age "&amp;J20&amp;" "&amp;J21&amp;" is More than Current ON ART "&amp;CHAR(10),""),IF(K255&lt;SUM(K101,K102)," * Total Initiated on IPT for Age "&amp;J20&amp;" "&amp;K21&amp;" is More than Current ON ART"&amp;CHAR(10),""),IF(L255&lt;SUM(L101,L102)," * Total Initiated on IPT for Age "&amp;L20&amp;" "&amp;L21&amp;" is More than Current ON ART "&amp;CHAR(10),""),IF(M255&lt;SUM(M101,M102)," * Total Initiated on IPT for Age "&amp;L20&amp;" "&amp;M21&amp;" is More than Current ON ART"&amp;CHAR(10),""),IF(N255&lt;SUM(N101,N102)," * Total Initiated on IPT for Age "&amp;N20&amp;" "&amp;N21&amp;" is More than Current ON ART "&amp;CHAR(10),""),IF(O255&lt;SUM(O101,O102)," * Total Initiated on IPT for Age "&amp;N20&amp;" "&amp;O21&amp;" is More than Current ON ART"&amp;CHAR(10),""),IF(P255&lt;SUM(P101,P102)," * Total Initiated on IPT for Age "&amp;P20&amp;" "&amp;P21&amp;" is More than Current ON ART "&amp;CHAR(10),""),IF(Q255&lt;SUM(Q101,Q102)," * Total Initiated on IPT for Age "&amp;P20&amp;" "&amp;Q21&amp;" is More than Current ON ART"&amp;CHAR(10),""),IF(R255&lt;SUM(R101,R102)," * Total Initiated on IPT for Age "&amp;R20&amp;" "&amp;R21&amp;" is More than Current ON ART "&amp;CHAR(10),""),IF(S255&lt;SUM(S101,S102)," * Total Initiated on IPT for Age "&amp;R20&amp;" "&amp;S21&amp;" is More than Current ON ART"&amp;CHAR(10),""),IF(T255&lt;SUM(T101,T102)," * Total Initiated on IPT for Age "&amp;T20&amp;" "&amp;T21&amp;" is More than Current ON ART "&amp;CHAR(10),""),IF(U255&lt;SUM(U101,U102)," * Total Initiated on IPT for Age "&amp;T20&amp;" "&amp;U21&amp;" is More than Current ON ART"&amp;CHAR(10),""),IF(V255&lt;SUM(V101,V102)," * Total Initiated on IPT for Age "&amp;V20&amp;" "&amp;V21&amp;" is More than Current ON ART "&amp;CHAR(10),""),IF(W255&lt;SUM(W101,W102)," * Total Initiated on IPT for Age "&amp;V20&amp;" "&amp;W21&amp;" is More than Current ON ART"&amp;CHAR(10),""),IF(X255&lt;SUM(X101,X102)," * Total Initiated on IPT for Age "&amp;X20&amp;" "&amp;X21&amp;" is More than Current ON ART "&amp;CHAR(10),""),IF(Y255&lt;SUM(Y101,Y102)," * Total Initiated on IPT for Age "&amp;X20&amp;" "&amp;Y21&amp;" is More than Current ON ART"&amp;CHAR(10),""),IF(Z255&lt;SUM(Z101,Z102)," * Total Initiated on IPT for Age "&amp;Z20&amp;" "&amp;Z21&amp;" is More than Current ON ART "&amp;CHAR(10),""),IF(AA255&lt;SUM(AA101,AA102)," * Total Initiated on IPT for Age "&amp;Z20&amp;" "&amp;AA21&amp;" is More than Current ON ART "&amp;CHAR(10),""))</f>
        <v/>
      </c>
      <c r="AD105" s="715"/>
      <c r="AE105" s="80"/>
      <c r="AF105" s="755"/>
      <c r="AG105" s="404">
        <v>102</v>
      </c>
      <c r="AH105" s="310"/>
    </row>
    <row r="106" spans="1:34" s="7" customFormat="1" ht="31.5" thickBot="1" x14ac:dyDescent="0.55000000000000004">
      <c r="A106" s="734"/>
      <c r="B106" s="273" t="s">
        <v>680</v>
      </c>
      <c r="C106" s="155" t="s">
        <v>218</v>
      </c>
      <c r="D106" s="150"/>
      <c r="E106" s="54"/>
      <c r="F106" s="54"/>
      <c r="G106" s="54"/>
      <c r="H106" s="54"/>
      <c r="I106" s="54"/>
      <c r="J106" s="54"/>
      <c r="K106" s="54"/>
      <c r="L106" s="54"/>
      <c r="M106" s="54"/>
      <c r="N106" s="54"/>
      <c r="O106" s="54"/>
      <c r="P106" s="54"/>
      <c r="Q106" s="54"/>
      <c r="R106" s="54"/>
      <c r="S106" s="54"/>
      <c r="T106" s="54"/>
      <c r="U106" s="54"/>
      <c r="V106" s="54"/>
      <c r="W106" s="54"/>
      <c r="X106" s="54"/>
      <c r="Y106" s="54"/>
      <c r="Z106" s="54"/>
      <c r="AA106" s="54"/>
      <c r="AB106" s="39">
        <f t="shared" si="18"/>
        <v>0</v>
      </c>
      <c r="AC106" s="82"/>
      <c r="AD106" s="715"/>
      <c r="AE106" s="80"/>
      <c r="AF106" s="755"/>
      <c r="AG106" s="404">
        <v>103</v>
      </c>
      <c r="AH106" s="310"/>
    </row>
    <row r="107" spans="1:34" s="7" customFormat="1" x14ac:dyDescent="0.5">
      <c r="A107" s="733" t="s">
        <v>30</v>
      </c>
      <c r="B107" s="272" t="s">
        <v>679</v>
      </c>
      <c r="C107" s="154" t="s">
        <v>219</v>
      </c>
      <c r="D107" s="149"/>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35">
        <f t="shared" si="18"/>
        <v>0</v>
      </c>
      <c r="AC107" s="82"/>
      <c r="AD107" s="715"/>
      <c r="AE107" s="80"/>
      <c r="AF107" s="755"/>
      <c r="AG107" s="404">
        <v>104</v>
      </c>
      <c r="AH107" s="310"/>
    </row>
    <row r="108" spans="1:34" s="7" customFormat="1" ht="31.5" thickBot="1" x14ac:dyDescent="0.55000000000000004">
      <c r="A108" s="734"/>
      <c r="B108" s="273" t="s">
        <v>680</v>
      </c>
      <c r="C108" s="155" t="s">
        <v>220</v>
      </c>
      <c r="D108" s="150"/>
      <c r="E108" s="54"/>
      <c r="F108" s="54"/>
      <c r="G108" s="54"/>
      <c r="H108" s="54"/>
      <c r="I108" s="54"/>
      <c r="J108" s="54"/>
      <c r="K108" s="54"/>
      <c r="L108" s="54"/>
      <c r="M108" s="54"/>
      <c r="N108" s="54"/>
      <c r="O108" s="54"/>
      <c r="P108" s="54"/>
      <c r="Q108" s="54"/>
      <c r="R108" s="54"/>
      <c r="S108" s="54"/>
      <c r="T108" s="54"/>
      <c r="U108" s="54"/>
      <c r="V108" s="54"/>
      <c r="W108" s="54"/>
      <c r="X108" s="54"/>
      <c r="Y108" s="54"/>
      <c r="Z108" s="54"/>
      <c r="AA108" s="54"/>
      <c r="AB108" s="39">
        <f t="shared" si="18"/>
        <v>0</v>
      </c>
      <c r="AC108" s="82"/>
      <c r="AD108" s="715"/>
      <c r="AE108" s="80"/>
      <c r="AF108" s="755"/>
      <c r="AG108" s="404">
        <v>105</v>
      </c>
      <c r="AH108" s="310"/>
    </row>
    <row r="109" spans="1:34" s="7" customFormat="1" x14ac:dyDescent="0.5">
      <c r="A109" s="733" t="s">
        <v>31</v>
      </c>
      <c r="B109" s="272" t="s">
        <v>679</v>
      </c>
      <c r="C109" s="154" t="s">
        <v>221</v>
      </c>
      <c r="D109" s="149"/>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35">
        <f t="shared" si="18"/>
        <v>0</v>
      </c>
      <c r="AC109" s="82"/>
      <c r="AD109" s="715"/>
      <c r="AE109" s="80"/>
      <c r="AF109" s="755"/>
      <c r="AG109" s="404">
        <v>106</v>
      </c>
      <c r="AH109" s="310"/>
    </row>
    <row r="110" spans="1:34" s="7" customFormat="1" ht="31.5" thickBot="1" x14ac:dyDescent="0.55000000000000004">
      <c r="A110" s="734"/>
      <c r="B110" s="273" t="s">
        <v>680</v>
      </c>
      <c r="C110" s="155" t="s">
        <v>222</v>
      </c>
      <c r="D110" s="150"/>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39">
        <f t="shared" si="18"/>
        <v>0</v>
      </c>
      <c r="AC110" s="82"/>
      <c r="AD110" s="715"/>
      <c r="AE110" s="80"/>
      <c r="AF110" s="755"/>
      <c r="AG110" s="404">
        <v>107</v>
      </c>
      <c r="AH110" s="310"/>
    </row>
    <row r="111" spans="1:34" s="7" customFormat="1" x14ac:dyDescent="0.5">
      <c r="A111" s="733" t="s">
        <v>32</v>
      </c>
      <c r="B111" s="274" t="s">
        <v>679</v>
      </c>
      <c r="C111" s="156" t="s">
        <v>223</v>
      </c>
      <c r="D111" s="151"/>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86">
        <f t="shared" si="18"/>
        <v>0</v>
      </c>
      <c r="AC111" s="82"/>
      <c r="AD111" s="715"/>
      <c r="AE111" s="80"/>
      <c r="AF111" s="755"/>
      <c r="AG111" s="404">
        <v>108</v>
      </c>
      <c r="AH111" s="310"/>
    </row>
    <row r="112" spans="1:34" s="7" customFormat="1" ht="31.5" thickBot="1" x14ac:dyDescent="0.55000000000000004">
      <c r="A112" s="799"/>
      <c r="B112" s="275" t="s">
        <v>680</v>
      </c>
      <c r="C112" s="155" t="s">
        <v>224</v>
      </c>
      <c r="D112" s="152"/>
      <c r="E112" s="101"/>
      <c r="F112" s="101"/>
      <c r="G112" s="101"/>
      <c r="H112" s="101"/>
      <c r="I112" s="101"/>
      <c r="J112" s="101"/>
      <c r="K112" s="101"/>
      <c r="L112" s="101"/>
      <c r="M112" s="101"/>
      <c r="N112" s="101"/>
      <c r="O112" s="101"/>
      <c r="P112" s="101"/>
      <c r="Q112" s="101"/>
      <c r="R112" s="101"/>
      <c r="S112" s="101"/>
      <c r="T112" s="101"/>
      <c r="U112" s="101"/>
      <c r="V112" s="101"/>
      <c r="W112" s="101"/>
      <c r="X112" s="101"/>
      <c r="Y112" s="101"/>
      <c r="Z112" s="101"/>
      <c r="AA112" s="101"/>
      <c r="AB112" s="88">
        <f t="shared" si="18"/>
        <v>0</v>
      </c>
      <c r="AC112" s="178"/>
      <c r="AD112" s="716"/>
      <c r="AE112" s="94"/>
      <c r="AF112" s="756"/>
      <c r="AG112" s="404">
        <v>109</v>
      </c>
      <c r="AH112" s="310"/>
    </row>
    <row r="113" spans="1:33" ht="36" thickBot="1" x14ac:dyDescent="0.55000000000000004">
      <c r="A113" s="724" t="s">
        <v>127</v>
      </c>
      <c r="B113" s="711"/>
      <c r="C113" s="711"/>
      <c r="D113" s="711"/>
      <c r="E113" s="711"/>
      <c r="F113" s="711"/>
      <c r="G113" s="711"/>
      <c r="H113" s="711"/>
      <c r="I113" s="711"/>
      <c r="J113" s="711"/>
      <c r="K113" s="711"/>
      <c r="L113" s="711"/>
      <c r="M113" s="711"/>
      <c r="N113" s="711"/>
      <c r="O113" s="711"/>
      <c r="P113" s="711"/>
      <c r="Q113" s="711"/>
      <c r="R113" s="711"/>
      <c r="S113" s="711"/>
      <c r="T113" s="711"/>
      <c r="U113" s="711"/>
      <c r="V113" s="711"/>
      <c r="W113" s="711"/>
      <c r="X113" s="711"/>
      <c r="Y113" s="711"/>
      <c r="Z113" s="711"/>
      <c r="AA113" s="711"/>
      <c r="AB113" s="711"/>
      <c r="AC113" s="711"/>
      <c r="AD113" s="711"/>
      <c r="AE113" s="711"/>
      <c r="AF113" s="712"/>
      <c r="AG113" s="404">
        <v>110</v>
      </c>
    </row>
    <row r="114" spans="1:33" ht="26.25" customHeight="1" x14ac:dyDescent="0.5">
      <c r="A114" s="661" t="s">
        <v>37</v>
      </c>
      <c r="B114" s="664" t="s">
        <v>347</v>
      </c>
      <c r="C114" s="666" t="s">
        <v>328</v>
      </c>
      <c r="D114" s="695"/>
      <c r="E114" s="696"/>
      <c r="F114" s="696"/>
      <c r="G114" s="696"/>
      <c r="H114" s="696"/>
      <c r="I114" s="696"/>
      <c r="J114" s="696"/>
      <c r="K114" s="697"/>
      <c r="L114" s="649" t="s">
        <v>4</v>
      </c>
      <c r="M114" s="649"/>
      <c r="N114" s="649" t="s">
        <v>5</v>
      </c>
      <c r="O114" s="649"/>
      <c r="P114" s="649" t="s">
        <v>6</v>
      </c>
      <c r="Q114" s="649"/>
      <c r="R114" s="649" t="s">
        <v>7</v>
      </c>
      <c r="S114" s="649"/>
      <c r="T114" s="649" t="s">
        <v>8</v>
      </c>
      <c r="U114" s="649"/>
      <c r="V114" s="649" t="s">
        <v>23</v>
      </c>
      <c r="W114" s="649"/>
      <c r="X114" s="649" t="s">
        <v>24</v>
      </c>
      <c r="Y114" s="649"/>
      <c r="Z114" s="649" t="s">
        <v>9</v>
      </c>
      <c r="AA114" s="649"/>
      <c r="AB114" s="719" t="s">
        <v>19</v>
      </c>
      <c r="AC114" s="642" t="s">
        <v>381</v>
      </c>
      <c r="AD114" s="644" t="s">
        <v>387</v>
      </c>
      <c r="AE114" s="702" t="s">
        <v>388</v>
      </c>
      <c r="AF114" s="725" t="s">
        <v>388</v>
      </c>
      <c r="AG114" s="404">
        <v>111</v>
      </c>
    </row>
    <row r="115" spans="1:33" ht="27" customHeight="1" thickBot="1" x14ac:dyDescent="0.55000000000000004">
      <c r="A115" s="662"/>
      <c r="B115" s="665"/>
      <c r="C115" s="667"/>
      <c r="D115" s="698"/>
      <c r="E115" s="699"/>
      <c r="F115" s="699"/>
      <c r="G115" s="699"/>
      <c r="H115" s="699"/>
      <c r="I115" s="699"/>
      <c r="J115" s="699"/>
      <c r="K115" s="700"/>
      <c r="L115" s="78" t="s">
        <v>10</v>
      </c>
      <c r="M115" s="78" t="s">
        <v>11</v>
      </c>
      <c r="N115" s="78" t="s">
        <v>10</v>
      </c>
      <c r="O115" s="78" t="s">
        <v>11</v>
      </c>
      <c r="P115" s="78" t="s">
        <v>10</v>
      </c>
      <c r="Q115" s="78" t="s">
        <v>11</v>
      </c>
      <c r="R115" s="78" t="s">
        <v>10</v>
      </c>
      <c r="S115" s="78" t="s">
        <v>11</v>
      </c>
      <c r="T115" s="78" t="s">
        <v>10</v>
      </c>
      <c r="U115" s="78" t="s">
        <v>11</v>
      </c>
      <c r="V115" s="78" t="s">
        <v>10</v>
      </c>
      <c r="W115" s="78" t="s">
        <v>11</v>
      </c>
      <c r="X115" s="78" t="s">
        <v>10</v>
      </c>
      <c r="Y115" s="78" t="s">
        <v>11</v>
      </c>
      <c r="Z115" s="78" t="s">
        <v>10</v>
      </c>
      <c r="AA115" s="78" t="s">
        <v>11</v>
      </c>
      <c r="AB115" s="720"/>
      <c r="AC115" s="643"/>
      <c r="AD115" s="645"/>
      <c r="AE115" s="702"/>
      <c r="AF115" s="726"/>
      <c r="AG115" s="404">
        <v>112</v>
      </c>
    </row>
    <row r="116" spans="1:33" x14ac:dyDescent="0.5">
      <c r="A116" s="736" t="s">
        <v>33</v>
      </c>
      <c r="B116" s="255" t="s">
        <v>681</v>
      </c>
      <c r="C116" s="143" t="s">
        <v>359</v>
      </c>
      <c r="D116" s="123"/>
      <c r="E116" s="31"/>
      <c r="F116" s="31"/>
      <c r="G116" s="31"/>
      <c r="H116" s="31"/>
      <c r="I116" s="31"/>
      <c r="J116" s="31"/>
      <c r="K116" s="31"/>
      <c r="L116" s="31"/>
      <c r="M116" s="30"/>
      <c r="N116" s="31"/>
      <c r="O116" s="30"/>
      <c r="P116" s="31"/>
      <c r="Q116" s="30"/>
      <c r="R116" s="31"/>
      <c r="S116" s="30"/>
      <c r="T116" s="31"/>
      <c r="U116" s="30"/>
      <c r="V116" s="31"/>
      <c r="W116" s="30"/>
      <c r="X116" s="55"/>
      <c r="Y116" s="30"/>
      <c r="Z116" s="55"/>
      <c r="AA116" s="30"/>
      <c r="AB116" s="86">
        <f>SUM(D116:AA116)</f>
        <v>0</v>
      </c>
      <c r="AC116" s="99"/>
      <c r="AD116" s="646" t="str">
        <f>CONCATENATE(AC116,AC117,AC118,AC120,AC121,AC122,AC123,AC124,AC125,AC127,AC128,AC129,AC130,AC131,AC132,AC134,AC135,AC136)</f>
        <v/>
      </c>
      <c r="AE116" s="96"/>
      <c r="AF116" s="757" t="str">
        <f>CONCATENATE(AE116,AE117,AE118,AE120,AE121,AE122,AE123,AE124,AE125,AE127,AE128,AE129,AE130,AE131,AE132,AE134,AE135,AE136)</f>
        <v/>
      </c>
      <c r="AG116" s="404">
        <v>113</v>
      </c>
    </row>
    <row r="117" spans="1:33" x14ac:dyDescent="0.5">
      <c r="A117" s="686"/>
      <c r="B117" s="256" t="s">
        <v>153</v>
      </c>
      <c r="C117" s="131" t="s">
        <v>225</v>
      </c>
      <c r="D117" s="124"/>
      <c r="E117" s="18"/>
      <c r="F117" s="18"/>
      <c r="G117" s="18"/>
      <c r="H117" s="18"/>
      <c r="I117" s="18"/>
      <c r="J117" s="18"/>
      <c r="K117" s="18"/>
      <c r="L117" s="18"/>
      <c r="M117" s="19"/>
      <c r="N117" s="18"/>
      <c r="O117" s="19"/>
      <c r="P117" s="18"/>
      <c r="Q117" s="19"/>
      <c r="R117" s="18"/>
      <c r="S117" s="19"/>
      <c r="T117" s="18"/>
      <c r="U117" s="19"/>
      <c r="V117" s="18"/>
      <c r="W117" s="19"/>
      <c r="X117" s="25"/>
      <c r="Y117" s="19"/>
      <c r="Z117" s="25"/>
      <c r="AA117" s="19"/>
      <c r="AB117" s="36">
        <f t="shared" ref="AB117:AB136" si="19">SUM(D117:AA117)</f>
        <v>0</v>
      </c>
      <c r="AC117" s="82" t="str">
        <f>CONCATENATE(IF(D119&lt;&gt;SUM(D120,D121,D122)," * Total CXCA Screening positive for Age "&amp;D20&amp;" "&amp;D21&amp;" is Not equal to  the sum of (Cryotherapy and Leep and Thermocoagulation)"&amp;CHAR(10),""),IF(E119&lt;&gt;SUM(E120,E121,E122)," * Total CXCA Screening positive for Age "&amp;D20&amp;" "&amp;E21&amp;" is Not equal to  the sum of (Cryotherapy and Leep and Thermocoagulation)"&amp;CHAR(10),""),IF(F119&lt;&gt;SUM(F120,F121,F122)," * Total CXCA Screening positive for Age "&amp;F20&amp;" "&amp;F21&amp;" is Not equal to  the sum of (Cryotherapy and Leep and Thermocoagulation)"&amp;CHAR(10),""),IF(G119&lt;&gt;SUM(G120,G121,G122)," * Total CXCA Screening positive for Age "&amp;F20&amp;" "&amp;G21&amp;" is Not equal to  the sum of (Cryotherapy and Leep and Thermocoagulation)"&amp;CHAR(10),""),IF(H119&lt;&gt;SUM(H120,H121,H122)," * Total CXCA Screening positive for Age "&amp;H20&amp;" "&amp;H21&amp;" is Not equal to  the sum of (Cryotherapy and Leep and Thermocoagulation)"&amp;CHAR(10),""),IF(I119&lt;&gt;SUM(I120,I121,I122)," * Total CXCA Screening positive for Age "&amp;H20&amp;" "&amp;I21&amp;" is Not equal to  the sum of (Cryotherapy and Leep and Thermocoagulation)"&amp;CHAR(10),""),IF(J119&lt;&gt;SUM(J120,J121,J122)," * Total CXCA Screening positive for Age "&amp;J20&amp;" "&amp;J21&amp;" is Not equal to  the sum of (Cryotherapy and Leep and Thermocoagulation)"&amp;CHAR(10),""),IF(K119&lt;&gt;SUM(K120,K121,K122)," * Total CXCA Screening positive for Age "&amp;J20&amp;" "&amp;K21&amp;" is Not equal to  the sum of (Cryotherapy and Leep and Thermocoagulation)"&amp;CHAR(10),""),IF(L119&lt;&gt;SUM(L120,L121,L122)," * Total CXCA Screening positive for Age "&amp;L20&amp;" "&amp;L21&amp;" is Not equal to  the sum of (Cryotherapy and Leep and Thermocoagulation)"&amp;CHAR(10),""),IF(M119&lt;&gt;SUM(M120,M121,M122)," * Total CXCA Screening positive for Age "&amp;L20&amp;" "&amp;M21&amp;" is Not equal to  the sum of (Cryotherapy and Leep and Thermocoagulation)"&amp;CHAR(10),""),IF(N119&lt;&gt;SUM(N120,N121,N122)," * Total CXCA Screening positive for Age "&amp;N20&amp;" "&amp;N21&amp;" is Not equal to  the sum of (Cryotherapy and Leep and Thermocoagulation)"&amp;CHAR(10),""),IF(O119&lt;&gt;SUM(O120,O121,O122)," * Total CXCA Screening positive for Age "&amp;N20&amp;" "&amp;O21&amp;" is Not equal to  the sum of (Cryotherapy and Leep and Thermocoagulation)"&amp;CHAR(10),""),IF(P119&lt;&gt;SUM(P120,P121,P122)," * Total CXCA Screening positive for Age "&amp;P20&amp;" "&amp;P21&amp;" is Not equal to  the sum of (Cryotherapy and Leep and Thermocoagulation)"&amp;CHAR(10),""),IF(Q119&lt;&gt;SUM(Q120,Q121,Q122)," * Total CXCA Screening positive for Age "&amp;P20&amp;" "&amp;Q21&amp;" is Not equal to  the sum of (Cryotherapy and Leep and Thermocoagulation)"&amp;CHAR(10),""),IF(R119&lt;&gt;SUM(R120,R121,R122)," * Total CXCA Screening positive for Age "&amp;R20&amp;" "&amp;R21&amp;" is Not equal to  the sum of (Cryotherapy and Leep and Thermocoagulation)"&amp;CHAR(10),""),IF(S119&lt;&gt;SUM(S120,S121,S122)," * Total CXCA Screening positive for Age "&amp;R20&amp;" "&amp;S21&amp;" is Not equal to  the sum of (Cryotherapy and Leep and Thermocoagulation)"&amp;CHAR(10),""),IF(T119&lt;&gt;SUM(T120,T121,T122)," * Total CXCA Screening positive for Age "&amp;T20&amp;" "&amp;T21&amp;" is Not equal to  the sum of (Cryotherapy and Leep and Thermocoagulation)"&amp;CHAR(10),""),IF(U119&lt;&gt;SUM(U120,U121,U122)," * Total CXCA Screening positive for Age "&amp;T20&amp;" "&amp;U21&amp;" is Not equal to  the sum of (Cryotherapy and Leep and Thermocoagulation)"&amp;CHAR(10),""),IF(V119&lt;&gt;SUM(V120,V121,V122)," * Total CXCA Screening positive for Age "&amp;V20&amp;" "&amp;V21&amp;" is Not equal to  the sum of (Cryotherapy and Leep and Thermocoagulation)"&amp;CHAR(10),""),IF(W119&lt;&gt;SUM(W120,W121,W122)," * Total CXCA Screening positive for Age "&amp;V20&amp;" "&amp;W21&amp;" is Not equal to  the sum of (Cryotherapy and Leep and Thermocoagulation)"&amp;CHAR(10),""),IF(X119&lt;&gt;SUM(X120,X121,X122)," * Total CXCA Screening positive for Age "&amp;X20&amp;" "&amp;X21&amp;" is Not equal to  the sum of (Cryotherapy and Leep and Thermocoagulation)"&amp;CHAR(10),""),IF(Y119&lt;&gt;SUM(Y120,Y121,Y122)," * Total CXCA Screening positive for Age "&amp;X20&amp;" "&amp;Y21&amp;" is Not equal to  the sum of (Cryotherapy and Leep and Thermocoagulation)"&amp;CHAR(10),""),IF(Z119&lt;&gt;SUM(Z120,Z121,Z122)," * Total CXCA Screening positive for Age "&amp;Z20&amp;" "&amp;Z21&amp;" is Not equal to  the sum of (Cryotherapy and Leep and Thermocoagulation)"&amp;CHAR(10),""),IF(AA119&lt;&gt;SUM(AA120,AA121,AA122)," * Total CXCA Screening positive for Age "&amp;Z20&amp;" "&amp;AA21&amp;" is Not equal to  the sum of (Cryotherapy and Leep and Thermocoagulation)"&amp;CHAR(10),""))</f>
        <v/>
      </c>
      <c r="AD117" s="647"/>
      <c r="AE117" s="80"/>
      <c r="AF117" s="755"/>
      <c r="AG117" s="404">
        <v>114</v>
      </c>
    </row>
    <row r="118" spans="1:33" x14ac:dyDescent="0.5">
      <c r="A118" s="686"/>
      <c r="B118" s="256" t="s">
        <v>682</v>
      </c>
      <c r="C118" s="131" t="s">
        <v>360</v>
      </c>
      <c r="D118" s="124"/>
      <c r="E118" s="18"/>
      <c r="F118" s="18"/>
      <c r="G118" s="18"/>
      <c r="H118" s="18"/>
      <c r="I118" s="18"/>
      <c r="J118" s="18"/>
      <c r="K118" s="18"/>
      <c r="L118" s="18"/>
      <c r="M118" s="19"/>
      <c r="N118" s="18"/>
      <c r="O118" s="19"/>
      <c r="P118" s="18"/>
      <c r="Q118" s="19"/>
      <c r="R118" s="18"/>
      <c r="S118" s="19"/>
      <c r="T118" s="18"/>
      <c r="U118" s="19"/>
      <c r="V118" s="18"/>
      <c r="W118" s="19"/>
      <c r="X118" s="25"/>
      <c r="Y118" s="19"/>
      <c r="Z118" s="25"/>
      <c r="AA118" s="19"/>
      <c r="AB118" s="36">
        <f t="shared" si="19"/>
        <v>0</v>
      </c>
      <c r="AC118" s="82"/>
      <c r="AD118" s="647"/>
      <c r="AE118" s="80"/>
      <c r="AF118" s="755"/>
      <c r="AG118" s="404">
        <v>115</v>
      </c>
    </row>
    <row r="119" spans="1:33" ht="32.25" x14ac:dyDescent="0.5">
      <c r="A119" s="686"/>
      <c r="B119" s="342" t="s">
        <v>889</v>
      </c>
      <c r="C119" s="131" t="s">
        <v>890</v>
      </c>
      <c r="D119" s="124"/>
      <c r="E119" s="18"/>
      <c r="F119" s="18"/>
      <c r="G119" s="18"/>
      <c r="H119" s="18"/>
      <c r="I119" s="18"/>
      <c r="J119" s="18"/>
      <c r="K119" s="18"/>
      <c r="L119" s="18"/>
      <c r="M119" s="217">
        <f>M118+M117</f>
        <v>0</v>
      </c>
      <c r="N119" s="320"/>
      <c r="O119" s="217">
        <f>O118+O117</f>
        <v>0</v>
      </c>
      <c r="P119" s="212"/>
      <c r="Q119" s="217">
        <f>Q118+Q117</f>
        <v>0</v>
      </c>
      <c r="R119" s="212"/>
      <c r="S119" s="217">
        <f>S118+S117</f>
        <v>0</v>
      </c>
      <c r="T119" s="212"/>
      <c r="U119" s="217">
        <f>U118+U117</f>
        <v>0</v>
      </c>
      <c r="V119" s="212"/>
      <c r="W119" s="217">
        <f>W118+W117</f>
        <v>0</v>
      </c>
      <c r="X119" s="216"/>
      <c r="Y119" s="217">
        <f>Y118+Y117</f>
        <v>0</v>
      </c>
      <c r="Z119" s="216"/>
      <c r="AA119" s="217">
        <f>AA118+AA117</f>
        <v>0</v>
      </c>
      <c r="AB119" s="36">
        <f t="shared" si="19"/>
        <v>0</v>
      </c>
      <c r="AC119" s="199"/>
      <c r="AD119" s="647"/>
      <c r="AE119" s="80"/>
      <c r="AF119" s="755"/>
      <c r="AG119" s="404">
        <v>116</v>
      </c>
    </row>
    <row r="120" spans="1:33" x14ac:dyDescent="0.5">
      <c r="A120" s="686"/>
      <c r="B120" s="256" t="s">
        <v>683</v>
      </c>
      <c r="C120" s="131" t="s">
        <v>230</v>
      </c>
      <c r="D120" s="124"/>
      <c r="E120" s="18"/>
      <c r="F120" s="18"/>
      <c r="G120" s="18"/>
      <c r="H120" s="18"/>
      <c r="I120" s="18"/>
      <c r="J120" s="18"/>
      <c r="K120" s="18"/>
      <c r="L120" s="18"/>
      <c r="M120" s="213"/>
      <c r="N120" s="212"/>
      <c r="O120" s="213"/>
      <c r="P120" s="212"/>
      <c r="Q120" s="213"/>
      <c r="R120" s="212"/>
      <c r="S120" s="213"/>
      <c r="T120" s="212"/>
      <c r="U120" s="213"/>
      <c r="V120" s="212"/>
      <c r="W120" s="213"/>
      <c r="X120" s="216"/>
      <c r="Y120" s="213"/>
      <c r="Z120" s="216"/>
      <c r="AA120" s="213"/>
      <c r="AB120" s="36">
        <f t="shared" si="19"/>
        <v>0</v>
      </c>
      <c r="AC120" s="82"/>
      <c r="AD120" s="647"/>
      <c r="AE120" s="80"/>
      <c r="AF120" s="755"/>
      <c r="AG120" s="404">
        <v>117</v>
      </c>
    </row>
    <row r="121" spans="1:33" x14ac:dyDescent="0.5">
      <c r="A121" s="686"/>
      <c r="B121" s="256" t="s">
        <v>684</v>
      </c>
      <c r="C121" s="131" t="s">
        <v>231</v>
      </c>
      <c r="D121" s="124"/>
      <c r="E121" s="18"/>
      <c r="F121" s="18"/>
      <c r="G121" s="18"/>
      <c r="H121" s="18"/>
      <c r="I121" s="18"/>
      <c r="J121" s="18"/>
      <c r="K121" s="18"/>
      <c r="L121" s="18"/>
      <c r="M121" s="213"/>
      <c r="N121" s="212"/>
      <c r="O121" s="213"/>
      <c r="P121" s="212"/>
      <c r="Q121" s="213"/>
      <c r="R121" s="212"/>
      <c r="S121" s="213"/>
      <c r="T121" s="212"/>
      <c r="U121" s="213"/>
      <c r="V121" s="212"/>
      <c r="W121" s="213"/>
      <c r="X121" s="216"/>
      <c r="Y121" s="213"/>
      <c r="Z121" s="216"/>
      <c r="AA121" s="213"/>
      <c r="AB121" s="36">
        <f t="shared" si="19"/>
        <v>0</v>
      </c>
      <c r="AC121" s="82"/>
      <c r="AD121" s="647"/>
      <c r="AE121" s="80"/>
      <c r="AF121" s="755"/>
      <c r="AG121" s="404">
        <v>118</v>
      </c>
    </row>
    <row r="122" spans="1:33" ht="31.5" thickBot="1" x14ac:dyDescent="0.55000000000000004">
      <c r="A122" s="660"/>
      <c r="B122" s="262" t="s">
        <v>685</v>
      </c>
      <c r="C122" s="133" t="s">
        <v>232</v>
      </c>
      <c r="D122" s="138"/>
      <c r="E122" s="37"/>
      <c r="F122" s="37"/>
      <c r="G122" s="37"/>
      <c r="H122" s="37"/>
      <c r="I122" s="37"/>
      <c r="J122" s="37"/>
      <c r="K122" s="37"/>
      <c r="L122" s="37"/>
      <c r="M122" s="226"/>
      <c r="N122" s="225"/>
      <c r="O122" s="226"/>
      <c r="P122" s="225"/>
      <c r="Q122" s="226"/>
      <c r="R122" s="225"/>
      <c r="S122" s="226"/>
      <c r="T122" s="225"/>
      <c r="U122" s="226"/>
      <c r="V122" s="225"/>
      <c r="W122" s="226"/>
      <c r="X122" s="230"/>
      <c r="Y122" s="226"/>
      <c r="Z122" s="230"/>
      <c r="AA122" s="226"/>
      <c r="AB122" s="39">
        <f t="shared" si="19"/>
        <v>0</v>
      </c>
      <c r="AC122" s="82"/>
      <c r="AD122" s="647"/>
      <c r="AE122" s="80"/>
      <c r="AF122" s="755"/>
      <c r="AG122" s="404">
        <v>119</v>
      </c>
    </row>
    <row r="123" spans="1:33" x14ac:dyDescent="0.5">
      <c r="A123" s="659" t="s">
        <v>469</v>
      </c>
      <c r="B123" s="264" t="s">
        <v>681</v>
      </c>
      <c r="C123" s="129" t="s">
        <v>361</v>
      </c>
      <c r="D123" s="136"/>
      <c r="E123" s="33"/>
      <c r="F123" s="33"/>
      <c r="G123" s="33"/>
      <c r="H123" s="33"/>
      <c r="I123" s="33"/>
      <c r="J123" s="33"/>
      <c r="K123" s="33"/>
      <c r="L123" s="33"/>
      <c r="M123" s="34"/>
      <c r="N123" s="33"/>
      <c r="O123" s="34"/>
      <c r="P123" s="33"/>
      <c r="Q123" s="34"/>
      <c r="R123" s="33"/>
      <c r="S123" s="34"/>
      <c r="T123" s="33"/>
      <c r="U123" s="34"/>
      <c r="V123" s="33"/>
      <c r="W123" s="34"/>
      <c r="X123" s="56"/>
      <c r="Y123" s="34"/>
      <c r="Z123" s="56"/>
      <c r="AA123" s="34"/>
      <c r="AB123" s="35">
        <f t="shared" si="19"/>
        <v>0</v>
      </c>
      <c r="AC123" s="82"/>
      <c r="AD123" s="647"/>
      <c r="AE123" s="80"/>
      <c r="AF123" s="755"/>
      <c r="AG123" s="404">
        <v>120</v>
      </c>
    </row>
    <row r="124" spans="1:33" x14ac:dyDescent="0.5">
      <c r="A124" s="686"/>
      <c r="B124" s="256" t="s">
        <v>153</v>
      </c>
      <c r="C124" s="131" t="s">
        <v>362</v>
      </c>
      <c r="D124" s="124"/>
      <c r="E124" s="18"/>
      <c r="F124" s="18"/>
      <c r="G124" s="18"/>
      <c r="H124" s="18"/>
      <c r="I124" s="18"/>
      <c r="J124" s="18"/>
      <c r="K124" s="18"/>
      <c r="L124" s="18"/>
      <c r="M124" s="19"/>
      <c r="N124" s="18"/>
      <c r="O124" s="19"/>
      <c r="P124" s="18"/>
      <c r="Q124" s="19"/>
      <c r="R124" s="18"/>
      <c r="S124" s="19"/>
      <c r="T124" s="18"/>
      <c r="U124" s="19"/>
      <c r="V124" s="18"/>
      <c r="W124" s="19"/>
      <c r="X124" s="25"/>
      <c r="Y124" s="19"/>
      <c r="Z124" s="25"/>
      <c r="AA124" s="19"/>
      <c r="AB124" s="36">
        <f t="shared" si="19"/>
        <v>0</v>
      </c>
      <c r="AC124" s="236" t="str">
        <f>CONCATENATE(IF(D126&lt;&gt;SUM(D127,D128,D129)," * Total CXCA Screening positive for Age "&amp;D20&amp;" "&amp;D21&amp;" is Not equal to  the sum of (Cryotherapy and Leep and Thermocoagulation)"&amp;CHAR(10),""),IF(E126&lt;&gt;SUM(E127,E128,E129)," * Total CXCA Screening positive for Age "&amp;D20&amp;" "&amp;E21&amp;" is Not equal to  the sum of (Cryotherapy and Leep and Thermocoagulation)"&amp;CHAR(10),""),IF(F126&lt;&gt;SUM(F127,F128,F129)," * Total CXCA Screening positive for Age "&amp;F20&amp;" "&amp;F21&amp;" is Not equal to  the sum of (Cryotherapy and Leep and Thermocoagulation)"&amp;CHAR(10),""),IF(G126&lt;&gt;SUM(G127,G128,G129)," * Total CXCA Screening positive for Age "&amp;F20&amp;" "&amp;G21&amp;" is Not equal to  the sum of (Cryotherapy and Leep and Thermocoagulation)"&amp;CHAR(10),""),IF(H126&lt;&gt;SUM(H127,H128,H129)," * Total CXCA Screening positive for Age "&amp;H20&amp;" "&amp;H21&amp;" is Not equal to  the sum of (Cryotherapy and Leep and Thermocoagulation)"&amp;CHAR(10),""),IF(I126&lt;&gt;SUM(I127,I128,I129)," * Total CXCA Screening positive for Age "&amp;H20&amp;" "&amp;I21&amp;" is Not equal to  the sum of (Cryotherapy and Leep and Thermocoagulation)"&amp;CHAR(10),""),IF(J126&lt;&gt;SUM(J127,J128,J129)," * Total CXCA Screening positive for Age "&amp;J20&amp;" "&amp;J21&amp;" is Not equal to  the sum of (Cryotherapy and Leep and Thermocoagulation)"&amp;CHAR(10),""),IF(K126&lt;&gt;SUM(K127,K128,K129)," * Total CXCA Screening positive for Age "&amp;J20&amp;" "&amp;K21&amp;" is Not equal to  the sum of (Cryotherapy and Leep and Thermocoagulation)"&amp;CHAR(10),""),IF(L126&lt;&gt;SUM(L127,L128,L129)," * Total CXCA Screening positive for Age "&amp;L20&amp;" "&amp;L21&amp;" is Not equal to  the sum of (Cryotherapy and Leep and Thermocoagulation)"&amp;CHAR(10),""),IF(M126&lt;&gt;SUM(M127,M128,M129)," * Total CXCA Screening positive for Age "&amp;L20&amp;" "&amp;M21&amp;" is Not equal to  the sum of (Cryotherapy and Leep and Thermocoagulation)"&amp;CHAR(10),""),IF(N126&lt;&gt;SUM(N127,N128,N129)," * Total CXCA Screening positive for Age "&amp;N20&amp;" "&amp;N21&amp;" is Not equal to  the sum of (Cryotherapy and Leep and Thermocoagulation)"&amp;CHAR(10),""),IF(O126&lt;&gt;SUM(O127,O128,O129)," * Total CXCA Screening positive for Age "&amp;N20&amp;" "&amp;O21&amp;" is Not equal to  the sum of (Cryotherapy and Leep and Thermocoagulation)"&amp;CHAR(10),""),IF(P126&lt;&gt;SUM(P127,P128,P129)," * Total CXCA Screening positive for Age "&amp;P20&amp;" "&amp;P21&amp;" is Not equal to  the sum of (Cryotherapy and Leep and Thermocoagulation)"&amp;CHAR(10),""),IF(Q126&lt;&gt;SUM(Q127,Q128,Q129)," * Total CXCA Screening positive for Age "&amp;P20&amp;" "&amp;Q21&amp;" is Not equal to  the sum of (Cryotherapy and Leep and Thermocoagulation)"&amp;CHAR(10),""),IF(R126&lt;&gt;SUM(R127,R128,R129)," * Total CXCA Screening positive for Age "&amp;R20&amp;" "&amp;R21&amp;" is Not equal to  the sum of (Cryotherapy and Leep and Thermocoagulation)"&amp;CHAR(10),""),IF(S126&lt;&gt;SUM(S127,S128,S129)," * Total CXCA Screening positive for Age "&amp;R20&amp;" "&amp;S21&amp;" is Not equal to  the sum of (Cryotherapy and Leep and Thermocoagulation)"&amp;CHAR(10),""),IF(T126&lt;&gt;SUM(T127,T128,T129)," * Total CXCA Screening positive for Age "&amp;T20&amp;" "&amp;T21&amp;" is Not equal to  the sum of (Cryotherapy and Leep and Thermocoagulation)"&amp;CHAR(10),""),IF(U126&lt;&gt;SUM(U127,U128,U129)," * Total CXCA Screening positive for Age "&amp;T20&amp;" "&amp;U21&amp;" is Not equal to  the sum of (Cryotherapy and Leep and Thermocoagulation)"&amp;CHAR(10),""),IF(V126&lt;&gt;SUM(V127,V128,V129)," * Total CXCA Screening positive for Age "&amp;V20&amp;" "&amp;V21&amp;" is Not equal to  the sum of (Cryotherapy and Leep and Thermocoagulation)"&amp;CHAR(10),""),IF(W126&lt;&gt;SUM(W127,W128,W129)," * Total CXCA Screening positive for Age "&amp;V20&amp;" "&amp;W21&amp;" is Not equal to  the sum of (Cryotherapy and Leep and Thermocoagulation)"&amp;CHAR(10),""),IF(X126&lt;&gt;SUM(X127,X128,X129)," * Total CXCA Screening positive for Age "&amp;X20&amp;" "&amp;X21&amp;" is Not equal to  the sum of (Cryotherapy and Leep and Thermocoagulation)"&amp;CHAR(10),""),IF(Y126&lt;&gt;SUM(Y127,Y128,Y129)," * Total CXCA Screening positive for Age "&amp;X20&amp;" "&amp;Y21&amp;" is Not equal to  the sum of (Cryotherapy and Leep and Thermocoagulation)"&amp;CHAR(10),""),IF(Z126&lt;&gt;SUM(Z127,Z128,Z129)," * Total CXCA Screening positive for Age "&amp;Z20&amp;" "&amp;Z21&amp;" is Not equal to  the sum of (Cryotherapy and Leep and Thermocoagulation)"&amp;CHAR(10),""),IF(AA126&lt;&gt;SUM(AA127,AA128,AA129)," * Total CXCA Screening positive for Age "&amp;Z20&amp;" "&amp;AA21&amp;" is Not equal to  the sum of (Cryotherapy and Leep and Thermocoagulation)"&amp;CHAR(10),""))</f>
        <v/>
      </c>
      <c r="AD124" s="647"/>
      <c r="AE124" s="80"/>
      <c r="AF124" s="755"/>
      <c r="AG124" s="404">
        <v>121</v>
      </c>
    </row>
    <row r="125" spans="1:33" x14ac:dyDescent="0.5">
      <c r="A125" s="686"/>
      <c r="B125" s="256" t="s">
        <v>682</v>
      </c>
      <c r="C125" s="131" t="s">
        <v>240</v>
      </c>
      <c r="D125" s="124"/>
      <c r="E125" s="18"/>
      <c r="F125" s="18"/>
      <c r="G125" s="18"/>
      <c r="H125" s="18"/>
      <c r="I125" s="18"/>
      <c r="J125" s="18"/>
      <c r="K125" s="18"/>
      <c r="L125" s="18"/>
      <c r="M125" s="19"/>
      <c r="N125" s="18"/>
      <c r="O125" s="19"/>
      <c r="P125" s="18"/>
      <c r="Q125" s="19"/>
      <c r="R125" s="18"/>
      <c r="S125" s="19"/>
      <c r="T125" s="18"/>
      <c r="U125" s="19"/>
      <c r="V125" s="18"/>
      <c r="W125" s="19"/>
      <c r="X125" s="25"/>
      <c r="Y125" s="19"/>
      <c r="Z125" s="25"/>
      <c r="AA125" s="19"/>
      <c r="AB125" s="36">
        <f t="shared" si="19"/>
        <v>0</v>
      </c>
      <c r="AC125" s="82"/>
      <c r="AD125" s="647"/>
      <c r="AE125" s="80"/>
      <c r="AF125" s="755"/>
      <c r="AG125" s="404">
        <v>122</v>
      </c>
    </row>
    <row r="126" spans="1:33" ht="32.25" x14ac:dyDescent="0.5">
      <c r="A126" s="686"/>
      <c r="B126" s="342" t="s">
        <v>889</v>
      </c>
      <c r="C126" s="131" t="s">
        <v>891</v>
      </c>
      <c r="D126" s="124"/>
      <c r="E126" s="18"/>
      <c r="F126" s="18"/>
      <c r="G126" s="18"/>
      <c r="H126" s="18"/>
      <c r="I126" s="18"/>
      <c r="J126" s="18"/>
      <c r="K126" s="18"/>
      <c r="L126" s="18"/>
      <c r="M126" s="28">
        <f>M125+M124</f>
        <v>0</v>
      </c>
      <c r="N126" s="206"/>
      <c r="O126" s="28">
        <f>O125+O124</f>
        <v>0</v>
      </c>
      <c r="P126" s="18"/>
      <c r="Q126" s="28">
        <f>Q125+Q124</f>
        <v>0</v>
      </c>
      <c r="R126" s="18"/>
      <c r="S126" s="28">
        <f>S125+S124</f>
        <v>0</v>
      </c>
      <c r="T126" s="18"/>
      <c r="U126" s="28">
        <f>U125+U124</f>
        <v>0</v>
      </c>
      <c r="V126" s="18"/>
      <c r="W126" s="28">
        <f>W125+W124</f>
        <v>0</v>
      </c>
      <c r="X126" s="25"/>
      <c r="Y126" s="28">
        <f>Y125+Y124</f>
        <v>0</v>
      </c>
      <c r="Z126" s="25"/>
      <c r="AA126" s="28">
        <f>AA125+AA124</f>
        <v>0</v>
      </c>
      <c r="AB126" s="36">
        <f t="shared" si="19"/>
        <v>0</v>
      </c>
      <c r="AC126" s="199"/>
      <c r="AD126" s="647"/>
      <c r="AE126" s="80"/>
      <c r="AF126" s="755"/>
      <c r="AG126" s="404">
        <v>123</v>
      </c>
    </row>
    <row r="127" spans="1:33" x14ac:dyDescent="0.5">
      <c r="A127" s="686"/>
      <c r="B127" s="256" t="s">
        <v>683</v>
      </c>
      <c r="C127" s="131" t="s">
        <v>241</v>
      </c>
      <c r="D127" s="124"/>
      <c r="E127" s="18"/>
      <c r="F127" s="18"/>
      <c r="G127" s="18"/>
      <c r="H127" s="18"/>
      <c r="I127" s="18"/>
      <c r="J127" s="18"/>
      <c r="K127" s="18"/>
      <c r="L127" s="18"/>
      <c r="M127" s="19"/>
      <c r="N127" s="18"/>
      <c r="O127" s="19"/>
      <c r="P127" s="18"/>
      <c r="Q127" s="19"/>
      <c r="R127" s="18"/>
      <c r="S127" s="19"/>
      <c r="T127" s="18"/>
      <c r="U127" s="19"/>
      <c r="V127" s="18"/>
      <c r="W127" s="19"/>
      <c r="X127" s="25"/>
      <c r="Y127" s="19"/>
      <c r="Z127" s="25"/>
      <c r="AA127" s="19"/>
      <c r="AB127" s="36">
        <f t="shared" si="19"/>
        <v>0</v>
      </c>
      <c r="AC127" s="82"/>
      <c r="AD127" s="647"/>
      <c r="AE127" s="80"/>
      <c r="AF127" s="755"/>
      <c r="AG127" s="404">
        <v>124</v>
      </c>
    </row>
    <row r="128" spans="1:33" x14ac:dyDescent="0.5">
      <c r="A128" s="686"/>
      <c r="B128" s="256" t="s">
        <v>684</v>
      </c>
      <c r="C128" s="131" t="s">
        <v>363</v>
      </c>
      <c r="D128" s="124"/>
      <c r="E128" s="18"/>
      <c r="F128" s="18"/>
      <c r="G128" s="18"/>
      <c r="H128" s="18"/>
      <c r="I128" s="18"/>
      <c r="J128" s="18"/>
      <c r="K128" s="18"/>
      <c r="L128" s="18"/>
      <c r="M128" s="19"/>
      <c r="N128" s="18"/>
      <c r="O128" s="19"/>
      <c r="P128" s="18"/>
      <c r="Q128" s="19"/>
      <c r="R128" s="18"/>
      <c r="S128" s="19"/>
      <c r="T128" s="18"/>
      <c r="U128" s="19"/>
      <c r="V128" s="18"/>
      <c r="W128" s="19"/>
      <c r="X128" s="25"/>
      <c r="Y128" s="19"/>
      <c r="Z128" s="25"/>
      <c r="AA128" s="19"/>
      <c r="AB128" s="36">
        <f t="shared" si="19"/>
        <v>0</v>
      </c>
      <c r="AC128" s="82"/>
      <c r="AD128" s="647"/>
      <c r="AE128" s="80"/>
      <c r="AF128" s="755"/>
      <c r="AG128" s="404">
        <v>125</v>
      </c>
    </row>
    <row r="129" spans="1:34" ht="31.5" thickBot="1" x14ac:dyDescent="0.55000000000000004">
      <c r="A129" s="660"/>
      <c r="B129" s="262" t="s">
        <v>685</v>
      </c>
      <c r="C129" s="133" t="s">
        <v>243</v>
      </c>
      <c r="D129" s="138"/>
      <c r="E129" s="37"/>
      <c r="F129" s="37"/>
      <c r="G129" s="37"/>
      <c r="H129" s="37"/>
      <c r="I129" s="37"/>
      <c r="J129" s="37"/>
      <c r="K129" s="37"/>
      <c r="L129" s="37"/>
      <c r="M129" s="38"/>
      <c r="N129" s="37"/>
      <c r="O129" s="38"/>
      <c r="P129" s="37"/>
      <c r="Q129" s="38"/>
      <c r="R129" s="37"/>
      <c r="S129" s="38"/>
      <c r="T129" s="37"/>
      <c r="U129" s="38"/>
      <c r="V129" s="37"/>
      <c r="W129" s="38"/>
      <c r="X129" s="57"/>
      <c r="Y129" s="38"/>
      <c r="Z129" s="57"/>
      <c r="AA129" s="38"/>
      <c r="AB129" s="39">
        <f t="shared" si="19"/>
        <v>0</v>
      </c>
      <c r="AC129" s="236"/>
      <c r="AD129" s="647"/>
      <c r="AE129" s="80"/>
      <c r="AF129" s="755"/>
      <c r="AG129" s="404">
        <v>126</v>
      </c>
    </row>
    <row r="130" spans="1:34" x14ac:dyDescent="0.5">
      <c r="A130" s="659" t="s">
        <v>25</v>
      </c>
      <c r="B130" s="264" t="s">
        <v>681</v>
      </c>
      <c r="C130" s="129" t="s">
        <v>364</v>
      </c>
      <c r="D130" s="136"/>
      <c r="E130" s="33"/>
      <c r="F130" s="33"/>
      <c r="G130" s="33"/>
      <c r="H130" s="33"/>
      <c r="I130" s="33"/>
      <c r="J130" s="33"/>
      <c r="K130" s="33"/>
      <c r="L130" s="33"/>
      <c r="M130" s="34"/>
      <c r="N130" s="33"/>
      <c r="O130" s="34"/>
      <c r="P130" s="33"/>
      <c r="Q130" s="34"/>
      <c r="R130" s="33"/>
      <c r="S130" s="34"/>
      <c r="T130" s="33"/>
      <c r="U130" s="34"/>
      <c r="V130" s="33"/>
      <c r="W130" s="34"/>
      <c r="X130" s="56"/>
      <c r="Y130" s="34"/>
      <c r="Z130" s="56"/>
      <c r="AA130" s="34"/>
      <c r="AB130" s="35">
        <f t="shared" si="19"/>
        <v>0</v>
      </c>
      <c r="AC130" s="82"/>
      <c r="AD130" s="647"/>
      <c r="AE130" s="80"/>
      <c r="AF130" s="755"/>
      <c r="AG130" s="404">
        <v>127</v>
      </c>
    </row>
    <row r="131" spans="1:34" x14ac:dyDescent="0.5">
      <c r="A131" s="686"/>
      <c r="B131" s="256" t="s">
        <v>153</v>
      </c>
      <c r="C131" s="131" t="s">
        <v>365</v>
      </c>
      <c r="D131" s="124"/>
      <c r="E131" s="18"/>
      <c r="F131" s="18"/>
      <c r="G131" s="18"/>
      <c r="H131" s="18"/>
      <c r="I131" s="18"/>
      <c r="J131" s="18"/>
      <c r="K131" s="18"/>
      <c r="L131" s="18"/>
      <c r="M131" s="19"/>
      <c r="N131" s="18"/>
      <c r="O131" s="19"/>
      <c r="P131" s="18"/>
      <c r="Q131" s="19"/>
      <c r="R131" s="18"/>
      <c r="S131" s="19"/>
      <c r="T131" s="18"/>
      <c r="U131" s="19"/>
      <c r="V131" s="18"/>
      <c r="W131" s="19"/>
      <c r="X131" s="25"/>
      <c r="Y131" s="19"/>
      <c r="Z131" s="25"/>
      <c r="AA131" s="19"/>
      <c r="AB131" s="36">
        <f t="shared" si="19"/>
        <v>0</v>
      </c>
      <c r="AC131" s="236" t="str">
        <f>CONCATENATE(IF(D133&lt;&gt;SUM(D134,D135,D136)," Total CXCA Screening positive for Age "&amp;D20&amp;" "&amp;D21&amp;" is not equal to the sum of (Cryotherapy and Leep and Thermocoagulation)"&amp;CHAR(10),""),IF(E133&lt;&gt;SUM(E134,E135,E136)," Total CXCA Screening positive for Age "&amp;D20&amp;" "&amp;E21&amp;" is not equal to the sum of (Cryotherapy and Leep and Thermocoagulation)"&amp;CHAR(10),""),IF(F133&lt;&gt;SUM(F134,F135,F136)," Total CXCA Screening positive for Age "&amp;F20&amp;" "&amp;F21&amp;" is not equal to the sum of (Cryotherapy and Leep and Thermocoagulation)"&amp;CHAR(10),""),IF(G133&lt;&gt;SUM(G134,G135,G136)," Total CXCA Screening positive for Age "&amp;F20&amp;" "&amp;G21&amp;" is not equal to the sum of (Cryotherapy and Leep and Thermocoagulation)"&amp;CHAR(10),""),IF(H133&lt;&gt;SUM(H134,H135,H136)," Total CXCA Screening positive for Age "&amp;H20&amp;" "&amp;H21&amp;" is not equal to the sum of (Cryotherapy and Leep and Thermocoagulation)"&amp;CHAR(10),""),IF(I133&lt;&gt;SUM(I134,I135,I136)," Total CXCA Screening positive for Age "&amp;H20&amp;" "&amp;I21&amp;" is not equal to the sum of (Cryotherapy and Leep and Thermocoagulation)"&amp;CHAR(10),""),IF(J133&lt;&gt;SUM(J134,J135,J136)," Total CXCA Screening positive for Age "&amp;J20&amp;" "&amp;J21&amp;" is not equal to the sum of (Cryotherapy and Leep and Thermocoagulation)"&amp;CHAR(10),""),IF(K133&lt;&gt;SUM(K134,K135,K136)," Total CXCA Screening positive for Age "&amp;J20&amp;" "&amp;K21&amp;" is not equal to the sum of (Cryotherapy and Leep and Thermocoagulation)"&amp;CHAR(10),""),IF(L133&lt;&gt;SUM(L134,L135,L136)," Total CXCA Screening positive for Age "&amp;L20&amp;" "&amp;L21&amp;" is not equal to the sum of (Cryotherapy and Leep and Thermocoagulation)"&amp;CHAR(10),""),IF(M133&lt;&gt;SUM(M134,M135,M136)," Total CXCA Screening positive for Age "&amp;L20&amp;" "&amp;M21&amp;" is not equal to the sum of (Cryotherapy and Leep and Thermocoagulation)"&amp;CHAR(10),""),IF(N133&lt;&gt;SUM(N134,N135,N136)," Total CXCA Screening positive for Age "&amp;N20&amp;" "&amp;N21&amp;" is not equal to the sum of (Cryotherapy and Leep and Thermocoagulation)"&amp;CHAR(10),""),IF(O133&lt;&gt;SUM(O134,O135,O136)," Total CXCA Screening positive for Age "&amp;N20&amp;" "&amp;O21&amp;" is not equal to the sum of (Cryotherapy and Leep and Thermocoagulation)"&amp;CHAR(10),""),IF(P133&lt;&gt;SUM(P134,P135,P136)," Total CXCA Screening positive for Age "&amp;P20&amp;" "&amp;P21&amp;" is not equal to the sum of (Cryotherapy and Leep and Thermocoagulation)"&amp;CHAR(10),""),IF(Q133&lt;&gt;SUM(Q134,Q135,Q136)," Total CXCA Screening positive for Age "&amp;P20&amp;" "&amp;Q21&amp;" is not equal to the sum of (Cryotherapy and Leep and Thermocoagulation)"&amp;CHAR(10),""),IF(R133&lt;&gt;SUM(R134,R135,R136)," Total CXCA Screening positive for Age "&amp;R20&amp;" "&amp;R21&amp;" is not equal to the sum of (Cryotherapy and Leep and Thermocoagulation)"&amp;CHAR(10),""),IF(S133&lt;&gt;SUM(S134,S135,S136)," Total CXCA Screening positive for Age "&amp;R20&amp;" "&amp;S21&amp;" is not equal to the sum of (Cryotherapy and Leep and Thermocoagulation)"&amp;CHAR(10),""),IF(T133&lt;&gt;SUM(T134,T135,T136)," Total CXCA Screening positive for Age "&amp;T20&amp;" "&amp;T21&amp;" is not equal to the sum of (Cryotherapy and Leep and Thermocoagulation)"&amp;CHAR(10),""),IF(U133&lt;&gt;SUM(U134,U135,U136)," Total CXCA Screening positive for Age "&amp;T20&amp;" "&amp;U21&amp;" is not equal to the sum of (Cryotherapy and Leep and Thermocoagulation)"&amp;CHAR(10),""),IF(V133&lt;&gt;SUM(V134,V135,V136)," Total CXCA Screening positive for Age "&amp;V20&amp;" "&amp;V21&amp;" is not equal to the sum of (Cryotherapy and Leep and Thermocoagulation)"&amp;CHAR(10),""),IF(W133&lt;&gt;SUM(W134,W135,W136)," Total CXCA Screening positive for Age "&amp;V20&amp;" "&amp;W21&amp;" is not equal to the sum of (Cryotherapy and Leep and Thermocoagulation)"&amp;CHAR(10),""),IF(X133&lt;&gt;SUM(X134,X135,X136)," Total CXCA Screening positive for Age "&amp;X20&amp;" "&amp;X21&amp;" is not equal to the sum of (Cryotherapy and Leep and Thermocoagulation)"&amp;CHAR(10),""),IF(Y133&lt;&gt;SUM(Y134,Y135,Y136)," Total CXCA Screening positive for Age "&amp;X20&amp;" "&amp;Y21&amp;" is not equal to the sum of (Cryotherapy and Leep and Thermocoagulation)"&amp;CHAR(10),""),IF(Z133&lt;&gt;SUM(Z134,Z135,Z136)," Total CXCA Screening positive for Age "&amp;Z20&amp;" "&amp;Z21&amp;" is not equal to the sum of (Cryotherapy and Leep and Thermocoagulation)"&amp;CHAR(10),""),IF(AA133&lt;&gt;SUM(AA134,AA135,AA136)," Total CXCA Screening positive for Age "&amp;Z20&amp;" "&amp;AA21&amp;" is not equal to the sum of (Cryotherapy and Leep and Thermocoagulation)"&amp;CHAR(10),""))</f>
        <v/>
      </c>
      <c r="AD131" s="647"/>
      <c r="AE131" s="80"/>
      <c r="AF131" s="755"/>
      <c r="AG131" s="404">
        <v>128</v>
      </c>
    </row>
    <row r="132" spans="1:34" x14ac:dyDescent="0.5">
      <c r="A132" s="686"/>
      <c r="B132" s="256" t="s">
        <v>682</v>
      </c>
      <c r="C132" s="131" t="s">
        <v>366</v>
      </c>
      <c r="D132" s="124"/>
      <c r="E132" s="18"/>
      <c r="F132" s="18"/>
      <c r="G132" s="18"/>
      <c r="H132" s="18"/>
      <c r="I132" s="18"/>
      <c r="J132" s="18"/>
      <c r="K132" s="18"/>
      <c r="L132" s="18"/>
      <c r="M132" s="19"/>
      <c r="N132" s="18"/>
      <c r="O132" s="19"/>
      <c r="P132" s="18"/>
      <c r="Q132" s="19"/>
      <c r="R132" s="18"/>
      <c r="S132" s="19"/>
      <c r="T132" s="18"/>
      <c r="U132" s="19"/>
      <c r="V132" s="18"/>
      <c r="W132" s="19"/>
      <c r="X132" s="25"/>
      <c r="Y132" s="19"/>
      <c r="Z132" s="25"/>
      <c r="AA132" s="19"/>
      <c r="AB132" s="36">
        <f t="shared" si="19"/>
        <v>0</v>
      </c>
      <c r="AC132" s="82"/>
      <c r="AD132" s="647"/>
      <c r="AE132" s="80"/>
      <c r="AF132" s="755"/>
      <c r="AG132" s="404">
        <v>129</v>
      </c>
    </row>
    <row r="133" spans="1:34" ht="32.25" x14ac:dyDescent="0.5">
      <c r="A133" s="686"/>
      <c r="B133" s="342" t="s">
        <v>889</v>
      </c>
      <c r="C133" s="131" t="s">
        <v>892</v>
      </c>
      <c r="D133" s="124"/>
      <c r="E133" s="18"/>
      <c r="F133" s="18"/>
      <c r="G133" s="18"/>
      <c r="H133" s="18"/>
      <c r="I133" s="18"/>
      <c r="J133" s="18"/>
      <c r="K133" s="18"/>
      <c r="L133" s="18"/>
      <c r="M133" s="217">
        <f>M132+M131</f>
        <v>0</v>
      </c>
      <c r="N133" s="320"/>
      <c r="O133" s="217">
        <f>O132+O131</f>
        <v>0</v>
      </c>
      <c r="P133" s="212"/>
      <c r="Q133" s="217">
        <f>Q132+Q131</f>
        <v>0</v>
      </c>
      <c r="R133" s="212"/>
      <c r="S133" s="217">
        <f>S132+S131</f>
        <v>0</v>
      </c>
      <c r="T133" s="212"/>
      <c r="U133" s="217">
        <f>U132+U131</f>
        <v>0</v>
      </c>
      <c r="V133" s="212"/>
      <c r="W133" s="217">
        <f>W132+W131</f>
        <v>0</v>
      </c>
      <c r="X133" s="216"/>
      <c r="Y133" s="217">
        <f>Y132+Y131</f>
        <v>0</v>
      </c>
      <c r="Z133" s="216"/>
      <c r="AA133" s="217">
        <f>AA132+AA131</f>
        <v>0</v>
      </c>
      <c r="AB133" s="36">
        <f t="shared" si="19"/>
        <v>0</v>
      </c>
      <c r="AC133" s="199"/>
      <c r="AD133" s="647"/>
      <c r="AE133" s="80"/>
      <c r="AF133" s="755"/>
      <c r="AG133" s="404">
        <v>130</v>
      </c>
    </row>
    <row r="134" spans="1:34" x14ac:dyDescent="0.5">
      <c r="A134" s="686"/>
      <c r="B134" s="256" t="s">
        <v>683</v>
      </c>
      <c r="C134" s="131" t="s">
        <v>251</v>
      </c>
      <c r="D134" s="124"/>
      <c r="E134" s="18"/>
      <c r="F134" s="18"/>
      <c r="G134" s="18"/>
      <c r="H134" s="18"/>
      <c r="I134" s="18"/>
      <c r="J134" s="18"/>
      <c r="K134" s="18"/>
      <c r="L134" s="18"/>
      <c r="M134" s="213"/>
      <c r="N134" s="212"/>
      <c r="O134" s="213"/>
      <c r="P134" s="212"/>
      <c r="Q134" s="213"/>
      <c r="R134" s="212"/>
      <c r="S134" s="213"/>
      <c r="T134" s="212"/>
      <c r="U134" s="213"/>
      <c r="V134" s="212"/>
      <c r="W134" s="213"/>
      <c r="X134" s="216"/>
      <c r="Y134" s="213"/>
      <c r="Z134" s="216"/>
      <c r="AA134" s="213"/>
      <c r="AB134" s="36">
        <f t="shared" si="19"/>
        <v>0</v>
      </c>
      <c r="AC134" s="82"/>
      <c r="AD134" s="647"/>
      <c r="AE134" s="80"/>
      <c r="AF134" s="755"/>
      <c r="AG134" s="404">
        <v>131</v>
      </c>
    </row>
    <row r="135" spans="1:34" x14ac:dyDescent="0.5">
      <c r="A135" s="686"/>
      <c r="B135" s="256" t="s">
        <v>684</v>
      </c>
      <c r="C135" s="131" t="s">
        <v>367</v>
      </c>
      <c r="D135" s="124"/>
      <c r="E135" s="18"/>
      <c r="F135" s="18"/>
      <c r="G135" s="18"/>
      <c r="H135" s="18"/>
      <c r="I135" s="18"/>
      <c r="J135" s="18"/>
      <c r="K135" s="18"/>
      <c r="L135" s="18"/>
      <c r="M135" s="213"/>
      <c r="N135" s="212"/>
      <c r="O135" s="213"/>
      <c r="P135" s="212"/>
      <c r="Q135" s="213"/>
      <c r="R135" s="212"/>
      <c r="S135" s="213"/>
      <c r="T135" s="212"/>
      <c r="U135" s="213"/>
      <c r="V135" s="212"/>
      <c r="W135" s="213"/>
      <c r="X135" s="216"/>
      <c r="Y135" s="213"/>
      <c r="Z135" s="216"/>
      <c r="AA135" s="213"/>
      <c r="AB135" s="36">
        <f t="shared" si="19"/>
        <v>0</v>
      </c>
      <c r="AC135" s="82"/>
      <c r="AD135" s="647"/>
      <c r="AE135" s="80"/>
      <c r="AF135" s="755"/>
      <c r="AG135" s="404">
        <v>132</v>
      </c>
    </row>
    <row r="136" spans="1:34" ht="31.5" thickBot="1" x14ac:dyDescent="0.55000000000000004">
      <c r="A136" s="735"/>
      <c r="B136" s="257" t="s">
        <v>685</v>
      </c>
      <c r="C136" s="133" t="s">
        <v>368</v>
      </c>
      <c r="D136" s="125"/>
      <c r="E136" s="49"/>
      <c r="F136" s="49"/>
      <c r="G136" s="49"/>
      <c r="H136" s="49"/>
      <c r="I136" s="49"/>
      <c r="J136" s="49"/>
      <c r="K136" s="49"/>
      <c r="L136" s="49"/>
      <c r="M136" s="226"/>
      <c r="N136" s="225"/>
      <c r="O136" s="226"/>
      <c r="P136" s="225"/>
      <c r="Q136" s="226"/>
      <c r="R136" s="225"/>
      <c r="S136" s="226"/>
      <c r="T136" s="225"/>
      <c r="U136" s="226"/>
      <c r="V136" s="225"/>
      <c r="W136" s="226"/>
      <c r="X136" s="230"/>
      <c r="Y136" s="226"/>
      <c r="Z136" s="230"/>
      <c r="AA136" s="226"/>
      <c r="AB136" s="88">
        <f t="shared" si="19"/>
        <v>0</v>
      </c>
      <c r="AC136" s="178"/>
      <c r="AD136" s="648"/>
      <c r="AE136" s="94"/>
      <c r="AF136" s="756"/>
      <c r="AG136" s="404">
        <v>133</v>
      </c>
    </row>
    <row r="137" spans="1:34" ht="36" thickBot="1" x14ac:dyDescent="0.55000000000000004">
      <c r="A137" s="724" t="s">
        <v>128</v>
      </c>
      <c r="B137" s="711"/>
      <c r="C137" s="711"/>
      <c r="D137" s="711"/>
      <c r="E137" s="711"/>
      <c r="F137" s="711"/>
      <c r="G137" s="711"/>
      <c r="H137" s="711"/>
      <c r="I137" s="711"/>
      <c r="J137" s="711"/>
      <c r="K137" s="711"/>
      <c r="L137" s="711"/>
      <c r="M137" s="711"/>
      <c r="N137" s="711"/>
      <c r="O137" s="711"/>
      <c r="P137" s="711"/>
      <c r="Q137" s="711"/>
      <c r="R137" s="711"/>
      <c r="S137" s="711"/>
      <c r="T137" s="711"/>
      <c r="U137" s="711"/>
      <c r="V137" s="711"/>
      <c r="W137" s="711"/>
      <c r="X137" s="711"/>
      <c r="Y137" s="711"/>
      <c r="Z137" s="711"/>
      <c r="AA137" s="711"/>
      <c r="AB137" s="711"/>
      <c r="AC137" s="711"/>
      <c r="AD137" s="711"/>
      <c r="AE137" s="711"/>
      <c r="AF137" s="712"/>
      <c r="AG137" s="404">
        <v>134</v>
      </c>
    </row>
    <row r="138" spans="1:34" ht="26.25" customHeight="1" x14ac:dyDescent="0.5">
      <c r="A138" s="661" t="s">
        <v>37</v>
      </c>
      <c r="B138" s="687" t="s">
        <v>347</v>
      </c>
      <c r="C138" s="666" t="s">
        <v>328</v>
      </c>
      <c r="D138" s="649" t="s">
        <v>0</v>
      </c>
      <c r="E138" s="649"/>
      <c r="F138" s="649" t="s">
        <v>1</v>
      </c>
      <c r="G138" s="649"/>
      <c r="H138" s="649" t="s">
        <v>2</v>
      </c>
      <c r="I138" s="649"/>
      <c r="J138" s="649" t="s">
        <v>3</v>
      </c>
      <c r="K138" s="649"/>
      <c r="L138" s="649" t="s">
        <v>4</v>
      </c>
      <c r="M138" s="649"/>
      <c r="N138" s="649" t="s">
        <v>5</v>
      </c>
      <c r="O138" s="649"/>
      <c r="P138" s="649" t="s">
        <v>6</v>
      </c>
      <c r="Q138" s="649"/>
      <c r="R138" s="649" t="s">
        <v>7</v>
      </c>
      <c r="S138" s="649"/>
      <c r="T138" s="649" t="s">
        <v>8</v>
      </c>
      <c r="U138" s="649"/>
      <c r="V138" s="649" t="s">
        <v>23</v>
      </c>
      <c r="W138" s="649"/>
      <c r="X138" s="649" t="s">
        <v>24</v>
      </c>
      <c r="Y138" s="649"/>
      <c r="Z138" s="649" t="s">
        <v>9</v>
      </c>
      <c r="AA138" s="649"/>
      <c r="AB138" s="719" t="s">
        <v>19</v>
      </c>
      <c r="AC138" s="642" t="s">
        <v>381</v>
      </c>
      <c r="AD138" s="644" t="s">
        <v>387</v>
      </c>
      <c r="AE138" s="702" t="s">
        <v>388</v>
      </c>
      <c r="AF138" s="725" t="s">
        <v>388</v>
      </c>
      <c r="AG138" s="404">
        <v>135</v>
      </c>
    </row>
    <row r="139" spans="1:34" ht="27" customHeight="1" thickBot="1" x14ac:dyDescent="0.55000000000000004">
      <c r="A139" s="798"/>
      <c r="B139" s="688"/>
      <c r="C139" s="742"/>
      <c r="D139" s="218" t="s">
        <v>10</v>
      </c>
      <c r="E139" s="218" t="s">
        <v>11</v>
      </c>
      <c r="F139" s="218" t="s">
        <v>10</v>
      </c>
      <c r="G139" s="218" t="s">
        <v>11</v>
      </c>
      <c r="H139" s="218" t="s">
        <v>10</v>
      </c>
      <c r="I139" s="218" t="s">
        <v>11</v>
      </c>
      <c r="J139" s="218" t="s">
        <v>10</v>
      </c>
      <c r="K139" s="218" t="s">
        <v>11</v>
      </c>
      <c r="L139" s="218" t="s">
        <v>10</v>
      </c>
      <c r="M139" s="218" t="s">
        <v>11</v>
      </c>
      <c r="N139" s="218" t="s">
        <v>10</v>
      </c>
      <c r="O139" s="218" t="s">
        <v>11</v>
      </c>
      <c r="P139" s="218" t="s">
        <v>10</v>
      </c>
      <c r="Q139" s="218" t="s">
        <v>11</v>
      </c>
      <c r="R139" s="218" t="s">
        <v>10</v>
      </c>
      <c r="S139" s="218" t="s">
        <v>11</v>
      </c>
      <c r="T139" s="218" t="s">
        <v>10</v>
      </c>
      <c r="U139" s="218" t="s">
        <v>11</v>
      </c>
      <c r="V139" s="218" t="s">
        <v>10</v>
      </c>
      <c r="W139" s="218" t="s">
        <v>11</v>
      </c>
      <c r="X139" s="218" t="s">
        <v>10</v>
      </c>
      <c r="Y139" s="218" t="s">
        <v>11</v>
      </c>
      <c r="Z139" s="218" t="s">
        <v>10</v>
      </c>
      <c r="AA139" s="218" t="s">
        <v>11</v>
      </c>
      <c r="AB139" s="672"/>
      <c r="AC139" s="643"/>
      <c r="AD139" s="645"/>
      <c r="AE139" s="702"/>
      <c r="AF139" s="726"/>
      <c r="AG139" s="404">
        <v>136</v>
      </c>
    </row>
    <row r="140" spans="1:34" ht="30.75" hidden="1" customHeight="1" x14ac:dyDescent="0.5">
      <c r="A140" s="737" t="s">
        <v>1033</v>
      </c>
      <c r="B140" s="335" t="s">
        <v>686</v>
      </c>
      <c r="C140" s="316" t="s">
        <v>523</v>
      </c>
      <c r="D140" s="348">
        <f>D8</f>
        <v>0</v>
      </c>
      <c r="E140" s="348">
        <f t="shared" ref="E140:AA140" si="20">E8</f>
        <v>0</v>
      </c>
      <c r="F140" s="348">
        <f t="shared" si="20"/>
        <v>0</v>
      </c>
      <c r="G140" s="348">
        <f t="shared" si="20"/>
        <v>0</v>
      </c>
      <c r="H140" s="348">
        <f t="shared" si="20"/>
        <v>0</v>
      </c>
      <c r="I140" s="348">
        <f t="shared" si="20"/>
        <v>0</v>
      </c>
      <c r="J140" s="348">
        <f t="shared" si="20"/>
        <v>0</v>
      </c>
      <c r="K140" s="348">
        <f t="shared" si="20"/>
        <v>0</v>
      </c>
      <c r="L140" s="348">
        <f t="shared" si="20"/>
        <v>0</v>
      </c>
      <c r="M140" s="348">
        <f t="shared" si="20"/>
        <v>0</v>
      </c>
      <c r="N140" s="348">
        <f t="shared" si="20"/>
        <v>0</v>
      </c>
      <c r="O140" s="348">
        <f t="shared" si="20"/>
        <v>0</v>
      </c>
      <c r="P140" s="348">
        <f t="shared" si="20"/>
        <v>0</v>
      </c>
      <c r="Q140" s="348">
        <f t="shared" si="20"/>
        <v>0</v>
      </c>
      <c r="R140" s="348">
        <f t="shared" si="20"/>
        <v>0</v>
      </c>
      <c r="S140" s="348">
        <f t="shared" si="20"/>
        <v>0</v>
      </c>
      <c r="T140" s="348">
        <f t="shared" si="20"/>
        <v>0</v>
      </c>
      <c r="U140" s="348">
        <f t="shared" si="20"/>
        <v>0</v>
      </c>
      <c r="V140" s="348">
        <f t="shared" si="20"/>
        <v>0</v>
      </c>
      <c r="W140" s="348">
        <f t="shared" si="20"/>
        <v>0</v>
      </c>
      <c r="X140" s="348">
        <f t="shared" si="20"/>
        <v>0</v>
      </c>
      <c r="Y140" s="348">
        <f t="shared" si="20"/>
        <v>0</v>
      </c>
      <c r="Z140" s="348">
        <f t="shared" si="20"/>
        <v>0</v>
      </c>
      <c r="AA140" s="348">
        <f t="shared" si="20"/>
        <v>0</v>
      </c>
      <c r="AB140" s="348">
        <f t="shared" ref="AB140" si="21">AB8</f>
        <v>0</v>
      </c>
      <c r="AC140" s="233" t="str">
        <f>CONCATENATE(IF(D141&gt;D140," * No Screened for GBV "&amp;$D$20&amp;" "&amp;$D$21&amp;" is more than Clients Seen at OPD"&amp;CHAR(10),""),IF(E141&gt;E140," * No Screened For GBV "&amp;$D$20&amp;" "&amp;$E$21&amp;" is more than Clients Seen at OPD"&amp;CHAR(10),""),IF(F141&gt;F140," * No Screened For GBV "&amp;$F$20&amp;" "&amp;$F$21&amp;" is more than Clients Seen at OPD"&amp;CHAR(10),""),IF(G141&gt;G140," * No Screened For GBV "&amp;$F$20&amp;" "&amp;$G$21&amp;" is more than Clients Seen at OPD"&amp;CHAR(10),""),IF(H141&gt;H140," * No Screened For GBV "&amp;$H$20&amp;" "&amp;$H$21&amp;" is more than Clients Seen at OPD"&amp;CHAR(10),""),IF(I141&gt;I140," * No Screened For GBV "&amp;$H$20&amp;" "&amp;$I$21&amp;" is more than Clients Seen at OPD"&amp;CHAR(10),""),IF(J141&gt;J140," * No Screened For GBV "&amp;$J$20&amp;" "&amp;$J$21&amp;" is more than Clients Seen at OPD"&amp;CHAR(10),""),IF(K141&gt;K140," * No Screened For GBV "&amp;$J$20&amp;" "&amp;$K$21&amp;" is more than Clients Seen at OPD"&amp;CHAR(10),""),IF(L141&gt;L140," * No Screened For GBV "&amp;$L$20&amp;" "&amp;$L$21&amp;" is more than Clients Seen at OPD"&amp;CHAR(10),""),IF(M141&gt;M140," * No Screened For GBV "&amp;$L$20&amp;" "&amp;$M$21&amp;" is more than Clients Seen at OPD"&amp;CHAR(10),""),IF(N141&gt;N140," * No Screened For GBV "&amp;$N$20&amp;" "&amp;$N$21&amp;" is more than Clients Seen at OPD"&amp;CHAR(10),""),IF(O141&gt;O140," * No Screened For GBV "&amp;$N$20&amp;" "&amp;$O$21&amp;" is more than Clients Seen at OPD"&amp;CHAR(10),""),IF(P141&gt;P140," * No Screened For GBV "&amp;$P$20&amp;" "&amp;$P$21&amp;" is more than Clients Seen at OPD"&amp;CHAR(10),""),IF(Q141&gt;Q140," * No Screened For GBV "&amp;$P$20&amp;" "&amp;$Q$21&amp;" is more than Clients Seen at OPD"&amp;CHAR(10),""),IF(R141&gt;R140," * No Screened For GBV "&amp;$R$20&amp;" "&amp;$R$21&amp;" is more than Clients Seen at OPD"&amp;CHAR(10),""),IF(S141&gt;S140," * No Screened For GBV "&amp;$R$20&amp;" "&amp;$S$21&amp;" is more than Clients Seen at OPD"&amp;CHAR(10),""),IF(T141&gt;T140," * No Screened For GBV "&amp;$T$20&amp;" "&amp;$T$21&amp;" is more than Clients Seen at OPD"&amp;CHAR(10),""),IF(U141&gt;U140," * No Screened For GBV "&amp;$T$20&amp;" "&amp;$U$21&amp;" is more than Clients Seen at OPD"&amp;CHAR(10),""),IF(V141&gt;V140," * No Screened For GBV "&amp;$V$20&amp;" "&amp;$V$21&amp;" is more than Clients Seen at OPD"&amp;CHAR(10),""),IF(W141&gt;W140," * No Screened For GBV "&amp;$V$20&amp;" "&amp;$W$21&amp;" is more than Clients Seen at OPD"&amp;CHAR(10),""),IF(X141&gt;X140," * No Screened For GBV "&amp;$X$20&amp;" "&amp;$X$21&amp;" is more than Clients Seen at OPD"&amp;CHAR(10),""),IF(Y141&gt;Y140," * No Screened For GBV "&amp;$X$20&amp;" "&amp;$Y$21&amp;" is more than Clients Seen at OPD"&amp;CHAR(10),""),IF(Z141&gt;Z140," * No Screened For GBV "&amp;$Z$20&amp;" "&amp;$Z$21&amp;" is more than Clients Seen at OPD"&amp;CHAR(10),""),IF(AA141&gt;AA140," * No Screened For GBV "&amp;$Z$20&amp;" "&amp;$AA$21&amp;" is more than Clients Seen at OPD"&amp;CHAR(10),""))</f>
        <v/>
      </c>
      <c r="AD140" s="674" t="str">
        <f>CONCATENATE(AC140,AC141,AC142,AC143,AC144,AC145,AC146,AC147,AC148)</f>
        <v/>
      </c>
      <c r="AE140" s="96"/>
      <c r="AF140" s="775" t="str">
        <f>CONCATENATE(AE140,AE177,AE178,AE179,AE180,AE181,AE182,AE183,AE184,AE185,AE186,AE187,AE188,AE189,AE190)</f>
        <v/>
      </c>
      <c r="AG140" s="404">
        <v>137</v>
      </c>
    </row>
    <row r="141" spans="1:34" hidden="1" x14ac:dyDescent="0.5">
      <c r="A141" s="738"/>
      <c r="B141" s="336" t="s">
        <v>937</v>
      </c>
      <c r="C141" s="325" t="s">
        <v>524</v>
      </c>
      <c r="D141" s="327"/>
      <c r="E141" s="327"/>
      <c r="F141" s="327"/>
      <c r="G141" s="327"/>
      <c r="H141" s="327"/>
      <c r="I141" s="327"/>
      <c r="J141" s="327"/>
      <c r="K141" s="327"/>
      <c r="L141" s="327"/>
      <c r="M141" s="327"/>
      <c r="N141" s="327"/>
      <c r="O141" s="327"/>
      <c r="P141" s="327"/>
      <c r="Q141" s="327"/>
      <c r="R141" s="327"/>
      <c r="S141" s="327"/>
      <c r="T141" s="327"/>
      <c r="U141" s="327"/>
      <c r="V141" s="327"/>
      <c r="W141" s="327"/>
      <c r="X141" s="327"/>
      <c r="Y141" s="327"/>
      <c r="Z141" s="327"/>
      <c r="AA141" s="327"/>
      <c r="AB141" s="224">
        <f>SUM(D141:AA141)</f>
        <v>0</v>
      </c>
      <c r="AC141" s="241"/>
      <c r="AD141" s="675"/>
      <c r="AE141" s="80"/>
      <c r="AF141" s="776"/>
      <c r="AG141" s="404">
        <v>138</v>
      </c>
    </row>
    <row r="142" spans="1:34" s="207" customFormat="1" ht="32.25" hidden="1" x14ac:dyDescent="0.5">
      <c r="A142" s="738"/>
      <c r="B142" s="341" t="s">
        <v>941</v>
      </c>
      <c r="C142" s="325" t="s">
        <v>902</v>
      </c>
      <c r="D142" s="347">
        <f>D143+D145+D147+D148</f>
        <v>0</v>
      </c>
      <c r="E142" s="347">
        <f t="shared" ref="E142:AA142" si="22">E143+E145+E147+E148</f>
        <v>0</v>
      </c>
      <c r="F142" s="347">
        <f t="shared" si="22"/>
        <v>0</v>
      </c>
      <c r="G142" s="347">
        <f t="shared" si="22"/>
        <v>0</v>
      </c>
      <c r="H142" s="347">
        <f t="shared" si="22"/>
        <v>0</v>
      </c>
      <c r="I142" s="347">
        <f t="shared" si="22"/>
        <v>0</v>
      </c>
      <c r="J142" s="347">
        <f t="shared" si="22"/>
        <v>0</v>
      </c>
      <c r="K142" s="347">
        <f t="shared" si="22"/>
        <v>0</v>
      </c>
      <c r="L142" s="347">
        <f t="shared" si="22"/>
        <v>0</v>
      </c>
      <c r="M142" s="347">
        <f t="shared" si="22"/>
        <v>0</v>
      </c>
      <c r="N142" s="347">
        <f t="shared" si="22"/>
        <v>0</v>
      </c>
      <c r="O142" s="347">
        <f t="shared" si="22"/>
        <v>0</v>
      </c>
      <c r="P142" s="347">
        <f t="shared" si="22"/>
        <v>0</v>
      </c>
      <c r="Q142" s="347">
        <f t="shared" si="22"/>
        <v>0</v>
      </c>
      <c r="R142" s="347">
        <f t="shared" si="22"/>
        <v>0</v>
      </c>
      <c r="S142" s="347">
        <f t="shared" si="22"/>
        <v>0</v>
      </c>
      <c r="T142" s="347">
        <f t="shared" si="22"/>
        <v>0</v>
      </c>
      <c r="U142" s="347">
        <f t="shared" si="22"/>
        <v>0</v>
      </c>
      <c r="V142" s="347">
        <f t="shared" si="22"/>
        <v>0</v>
      </c>
      <c r="W142" s="347">
        <f t="shared" si="22"/>
        <v>0</v>
      </c>
      <c r="X142" s="347">
        <f t="shared" si="22"/>
        <v>0</v>
      </c>
      <c r="Y142" s="347">
        <f t="shared" si="22"/>
        <v>0</v>
      </c>
      <c r="Z142" s="347">
        <f t="shared" si="22"/>
        <v>0</v>
      </c>
      <c r="AA142" s="347">
        <f t="shared" si="22"/>
        <v>0</v>
      </c>
      <c r="AB142" s="345">
        <f t="shared" ref="AB142:AB148" si="23">SUM(D142:AA142)</f>
        <v>0</v>
      </c>
      <c r="AC142" s="241"/>
      <c r="AD142" s="675"/>
      <c r="AE142" s="234"/>
      <c r="AF142" s="776"/>
      <c r="AG142" s="404">
        <v>139</v>
      </c>
      <c r="AH142" s="310"/>
    </row>
    <row r="143" spans="1:34" s="207" customFormat="1" hidden="1" x14ac:dyDescent="0.5">
      <c r="A143" s="738"/>
      <c r="B143" s="336" t="s">
        <v>893</v>
      </c>
      <c r="C143" s="325" t="s">
        <v>903</v>
      </c>
      <c r="D143" s="346"/>
      <c r="E143" s="346"/>
      <c r="F143" s="346"/>
      <c r="G143" s="346"/>
      <c r="H143" s="346"/>
      <c r="I143" s="346"/>
      <c r="J143" s="346"/>
      <c r="K143" s="346"/>
      <c r="L143" s="346"/>
      <c r="M143" s="346"/>
      <c r="N143" s="346"/>
      <c r="O143" s="346"/>
      <c r="P143" s="346"/>
      <c r="Q143" s="346"/>
      <c r="R143" s="346"/>
      <c r="S143" s="346"/>
      <c r="T143" s="346"/>
      <c r="U143" s="346"/>
      <c r="V143" s="346"/>
      <c r="W143" s="346"/>
      <c r="X143" s="346"/>
      <c r="Y143" s="346"/>
      <c r="Z143" s="346"/>
      <c r="AA143" s="346"/>
      <c r="AB143" s="224">
        <f t="shared" si="23"/>
        <v>0</v>
      </c>
      <c r="AC143" s="233" t="str">
        <f>CONCATENATE(IF(D144&gt;D143," * OPD Sexual Violence Initiated Pep "&amp;$D$20&amp;" "&amp;$D$21&amp;" is more than OPD Sexual Violence Rape Survivors"&amp;CHAR(10),""),IF(E144&gt;E143," * OPD Sexual Violence Initiated Pep "&amp;$D$20&amp;" "&amp;$E$21&amp;" is more than OPD Sexual Violence Rape Survivors"&amp;CHAR(10),""),IF(F144&gt;F143," * OPD Sexual Violence Initiated Pep "&amp;$F$20&amp;" "&amp;$F$21&amp;" is more than OPD Sexual Violence Rape Survivors"&amp;CHAR(10),""),IF(G144&gt;G143," * OPD Sexual Violence Initiated Pep "&amp;$F$20&amp;" "&amp;$G$21&amp;" is more than OPD Sexual Violence Rape Survivors"&amp;CHAR(10),""),IF(H144&gt;H143," * OPD Sexual Violence Initiated Pep "&amp;$H$20&amp;" "&amp;$H$21&amp;" is more than OPD Sexual Violence Rape Survivors"&amp;CHAR(10),""),IF(I144&gt;I143," * OPD Sexual Violence Initiated Pep "&amp;$H$20&amp;" "&amp;$I$21&amp;" is more than OPD Sexual Violence Rape Survivors"&amp;CHAR(10),""),IF(J144&gt;J143," * OPD Sexual Violence Initiated Pep "&amp;$J$20&amp;" "&amp;$J$21&amp;" is more than OPD Sexual Violence Rape Survivors"&amp;CHAR(10),""),IF(K144&gt;K143," * OPD Sexual Violence Initiated Pep "&amp;$J$20&amp;" "&amp;$K$21&amp;" is more than OPD Sexual Violence Rape Survivors"&amp;CHAR(10),""),IF(L144&gt;L143," * OPD Sexual Violence Initiated Pep "&amp;$L$20&amp;" "&amp;$L$21&amp;" is more than OPD Sexual Violence Rape Survivors"&amp;CHAR(10),""),IF(M144&gt;M143," * OPD Sexual Violence Initiated Pep "&amp;$L$20&amp;" "&amp;$M$21&amp;" is more than OPD Sexual Violence Rape Survivors"&amp;CHAR(10),""),IF(N144&gt;N143," * OPD Sexual Violence Initiated Pep "&amp;$N$20&amp;" "&amp;$N$21&amp;" is more than OPD Sexual Violence Rape Survivors"&amp;CHAR(10),""),IF(O144&gt;O143," * OPD Sexual Violence Initiated Pep "&amp;$N$20&amp;" "&amp;$O$21&amp;" is more than OPD Sexual Violence Rape Survivors"&amp;CHAR(10),""),IF(P144&gt;P143," * OPD Sexual Violence Initiated Pep "&amp;$P$20&amp;" "&amp;$P$21&amp;" is more than OPD Sexual Violence Rape Survivors"&amp;CHAR(10),""),IF(Q144&gt;Q143," * OPD Sexual Violence Initiated Pep "&amp;$P$20&amp;" "&amp;$Q$21&amp;" is more than OPD Sexual Violence Rape Survivors"&amp;CHAR(10),""),IF(R144&gt;R143," * OPD Sexual Violence Initiated Pep "&amp;$R$20&amp;" "&amp;$R$21&amp;" is more than OPD Sexual Violence Rape Survivors"&amp;CHAR(10),""),IF(S144&gt;S143," * OPD Sexual Violence Initiated Pep "&amp;$R$20&amp;" "&amp;$S$21&amp;" is more than OPD Sexual Violence Rape Survivors"&amp;CHAR(10),""),IF(T144&gt;T143," * OPD Sexual Violence Initiated Pep "&amp;$T$20&amp;" "&amp;$T$21&amp;" is more than OPD Sexual Violence Rape Survivors"&amp;CHAR(10),""),IF(U144&gt;U143," * OPD Sexual Violence Initiated Pep "&amp;$T$20&amp;" "&amp;$U$21&amp;" is more than OPD Sexual Violence Rape Survivors"&amp;CHAR(10),""),IF(V144&gt;V143," * OPD Sexual Violence Initiated Pep "&amp;$V$20&amp;" "&amp;$V$21&amp;" is more than OPD Sexual Violence Rape Survivors"&amp;CHAR(10),""),IF(W144&gt;W143," * OPD Sexual Violence Initiated Pep "&amp;$V$20&amp;" "&amp;$W$21&amp;" is more than OPD Sexual Violence Rape Survivors"&amp;CHAR(10),""),IF(X144&gt;X143," * OPD Sexual Violence Initiated Pep "&amp;$X$20&amp;" "&amp;$X$21&amp;" is more than OPD Sexual Violence Rape Survivors"&amp;CHAR(10),""),IF(Y144&gt;Y143," * OPD Sexual Violence Initiated Pep "&amp;$X$20&amp;" "&amp;$Y$21&amp;" is more than OPD Sexual Violence Rape Survivors"&amp;CHAR(10),""),IF(Z144&gt;Z143," * OPD Sexual Violence Initiated Pep "&amp;$Z$20&amp;" "&amp;$Z$21&amp;" is more than OPD Sexual Violence Rape Survivors"&amp;CHAR(10),""),IF(AA144&gt;AA143," * OPD Sexual Violence Initiated Pep "&amp;$Z$20&amp;" "&amp;$AA$21&amp;" is more than OPD Sexual Violence Rape Survivors"&amp;CHAR(10),""))</f>
        <v/>
      </c>
      <c r="AD143" s="675"/>
      <c r="AE143" s="234"/>
      <c r="AF143" s="776"/>
      <c r="AG143" s="404">
        <v>140</v>
      </c>
      <c r="AH143" s="310"/>
    </row>
    <row r="144" spans="1:34" s="207" customFormat="1" hidden="1" x14ac:dyDescent="0.5">
      <c r="A144" s="738"/>
      <c r="B144" s="336" t="s">
        <v>894</v>
      </c>
      <c r="C144" s="325" t="s">
        <v>904</v>
      </c>
      <c r="D144" s="329"/>
      <c r="E144" s="329"/>
      <c r="F144" s="329"/>
      <c r="G144" s="329"/>
      <c r="H144" s="329"/>
      <c r="I144" s="329"/>
      <c r="J144" s="329"/>
      <c r="K144" s="329"/>
      <c r="L144" s="329"/>
      <c r="M144" s="329"/>
      <c r="N144" s="329"/>
      <c r="O144" s="329"/>
      <c r="P144" s="329"/>
      <c r="Q144" s="329"/>
      <c r="R144" s="329"/>
      <c r="S144" s="329"/>
      <c r="T144" s="329"/>
      <c r="U144" s="329"/>
      <c r="V144" s="329"/>
      <c r="W144" s="329"/>
      <c r="X144" s="329"/>
      <c r="Y144" s="329"/>
      <c r="Z144" s="329"/>
      <c r="AA144" s="329"/>
      <c r="AB144" s="224">
        <f t="shared" si="23"/>
        <v>0</v>
      </c>
      <c r="AC144" s="241"/>
      <c r="AD144" s="675"/>
      <c r="AE144" s="234"/>
      <c r="AF144" s="776"/>
      <c r="AG144" s="404">
        <v>141</v>
      </c>
      <c r="AH144" s="310"/>
    </row>
    <row r="145" spans="1:34" s="207" customFormat="1" hidden="1" x14ac:dyDescent="0.5">
      <c r="A145" s="738"/>
      <c r="B145" s="336" t="s">
        <v>895</v>
      </c>
      <c r="C145" s="325" t="s">
        <v>905</v>
      </c>
      <c r="D145" s="346"/>
      <c r="E145" s="346"/>
      <c r="F145" s="346"/>
      <c r="G145" s="346"/>
      <c r="H145" s="346"/>
      <c r="I145" s="346"/>
      <c r="J145" s="346"/>
      <c r="K145" s="346"/>
      <c r="L145" s="346"/>
      <c r="M145" s="346"/>
      <c r="N145" s="346"/>
      <c r="O145" s="346"/>
      <c r="P145" s="346"/>
      <c r="Q145" s="346"/>
      <c r="R145" s="346"/>
      <c r="S145" s="346"/>
      <c r="T145" s="346"/>
      <c r="U145" s="346"/>
      <c r="V145" s="346"/>
      <c r="W145" s="346"/>
      <c r="X145" s="346"/>
      <c r="Y145" s="346"/>
      <c r="Z145" s="346"/>
      <c r="AA145" s="346"/>
      <c r="AB145" s="224">
        <f t="shared" si="23"/>
        <v>0</v>
      </c>
      <c r="AC145" s="233" t="str">
        <f>CONCATENATE(IF(D146&gt;D145," * OPD  Physical Violence Initiated Pep "&amp;$D$20&amp;" "&amp;$D$21&amp;" is more than OPD Physical Violence Rape Survivors"&amp;CHAR(10),""),IF(E146&gt;E145," * OPD  Physical Violence Initiated Pep "&amp;$D$20&amp;" "&amp;$E$21&amp;" is more than OPD Physical Violence Rape Survivors"&amp;CHAR(10),""),IF(F146&gt;F145," * OPD  Physical Violence Initiated Pep "&amp;$F$20&amp;" "&amp;$F$21&amp;" is more than OPD Physical Violence Rape Survivors"&amp;CHAR(10),""),IF(G146&gt;G145," * OPD  Physical Violence Initiated Pep "&amp;$F$20&amp;" "&amp;$G$21&amp;" is more than OPD Physical Violence Rape Survivors"&amp;CHAR(10),""),IF(H146&gt;H145," * OPD  Physical Violence Initiated Pep "&amp;$H$20&amp;" "&amp;$H$21&amp;" is more than OPD Physical Violence Rape Survivors"&amp;CHAR(10),""),IF(I146&gt;I145," * OPD  Physical Violence Initiated Pep "&amp;$H$20&amp;" "&amp;$I$21&amp;" is more than OPD Physical Violence Rape Survivors"&amp;CHAR(10),""),IF(J146&gt;J145," * OPD  Physical Violence Initiated Pep "&amp;$J$20&amp;" "&amp;$J$21&amp;" is more than OPD Physical Violence Rape Survivors"&amp;CHAR(10),""),IF(K146&gt;K145," * OPD  Physical Violence Initiated Pep "&amp;$J$20&amp;" "&amp;$K$21&amp;" is more than OPD Physical Violence Rape Survivors"&amp;CHAR(10),""),IF(L146&gt;L145," * OPD  Physical Violence Initiated Pep "&amp;$L$20&amp;" "&amp;$L$21&amp;" is more than OPD Physical Violence Rape Survivors"&amp;CHAR(10),""),IF(M146&gt;M145," * OPD  Physical Violence Initiated Pep "&amp;$L$20&amp;" "&amp;$M$21&amp;" is more than OPD Physical Violence Rape Survivors"&amp;CHAR(10),""),IF(N146&gt;N145," * OPD  Physical Violence Initiated Pep "&amp;$N$20&amp;" "&amp;$N$21&amp;" is more than OPD Physical Violence Rape Survivors"&amp;CHAR(10),""),IF(O146&gt;O145," * OPD  Physical Violence Initiated Pep "&amp;$N$20&amp;" "&amp;$O$21&amp;" is more than OPD Physical Violence Rape Survivors"&amp;CHAR(10),""),IF(P146&gt;P145," * OPD  Physical Violence Initiated Pep "&amp;$P$20&amp;" "&amp;$P$21&amp;" is more than OPD Physical Violence Rape Survivors"&amp;CHAR(10),""),IF(Q146&gt;Q145," * OPD  Physical Violence Initiated Pep "&amp;$P$20&amp;" "&amp;$Q$21&amp;" is more than OPD Physical Violence Rape Survivors"&amp;CHAR(10),""),IF(R146&gt;R145," * OPD  Physical Violence Initiated Pep "&amp;$R$20&amp;" "&amp;$R$21&amp;" is more than OPD Physical Violence Rape Survivors"&amp;CHAR(10),""),IF(S146&gt;S145," * OPD  Physical Violence Initiated Pep "&amp;$R$20&amp;" "&amp;$S$21&amp;" is more than OPD Physical Violence Rape Survivors"&amp;CHAR(10),""),IF(T146&gt;T145," * OPD  Physical Violence Initiated Pep "&amp;$T$20&amp;" "&amp;$T$21&amp;" is more than OPD Physical Violence Rape Survivors"&amp;CHAR(10),""),IF(U146&gt;U145," * OPD  Physical Violence Initiated Pep "&amp;$T$20&amp;" "&amp;$U$21&amp;" is more than OPD Physical Violence Rape Survivors"&amp;CHAR(10),""),IF(V146&gt;V145," * OPD  Physical Violence Initiated Pep "&amp;$V$20&amp;" "&amp;$V$21&amp;" is more than OPD Physical Violence Rape Survivors"&amp;CHAR(10),""),IF(W146&gt;W145," * OPD  Physical Violence Initiated Pep "&amp;$V$20&amp;" "&amp;$W$21&amp;" is more than OPD Physical Violence Rape Survivors"&amp;CHAR(10),""),IF(X146&gt;X145," * OPD  Physical Violence Initiated Pep "&amp;$X$20&amp;" "&amp;$X$21&amp;" is more than OPD Physical Violence Rape Survivors"&amp;CHAR(10),""),IF(Y146&gt;Y145," * OPD  Physical Violence Initiated Pep "&amp;$X$20&amp;" "&amp;$Y$21&amp;" is more than OPD Physical Violence Rape Survivors"&amp;CHAR(10),""),IF(Z146&gt;Z145," * OPD  Physical Violence Initiated Pep "&amp;$Z$20&amp;" "&amp;$Z$21&amp;" is more than OPD Physical Violence Rape Survivors"&amp;CHAR(10),""),IF(AA146&gt;AA145," * OPD  Physical Violence Initiated Pep "&amp;$Z$20&amp;" "&amp;$AA$21&amp;" is more than OPD Physical Violence Rape Survivors"&amp;CHAR(10),""))</f>
        <v/>
      </c>
      <c r="AD145" s="675"/>
      <c r="AE145" s="234"/>
      <c r="AF145" s="776"/>
      <c r="AG145" s="404">
        <v>142</v>
      </c>
      <c r="AH145" s="310"/>
    </row>
    <row r="146" spans="1:34" s="207" customFormat="1" hidden="1" x14ac:dyDescent="0.5">
      <c r="A146" s="738"/>
      <c r="B146" s="336" t="s">
        <v>896</v>
      </c>
      <c r="C146" s="325" t="s">
        <v>906</v>
      </c>
      <c r="D146" s="329"/>
      <c r="E146" s="329"/>
      <c r="F146" s="329"/>
      <c r="G146" s="329"/>
      <c r="H146" s="329"/>
      <c r="I146" s="329"/>
      <c r="J146" s="329"/>
      <c r="K146" s="329"/>
      <c r="L146" s="329"/>
      <c r="M146" s="329"/>
      <c r="N146" s="329"/>
      <c r="O146" s="329"/>
      <c r="P146" s="329"/>
      <c r="Q146" s="329"/>
      <c r="R146" s="329"/>
      <c r="S146" s="329"/>
      <c r="T146" s="329"/>
      <c r="U146" s="329"/>
      <c r="V146" s="329"/>
      <c r="W146" s="329"/>
      <c r="X146" s="329"/>
      <c r="Y146" s="329"/>
      <c r="Z146" s="329"/>
      <c r="AA146" s="329"/>
      <c r="AB146" s="224">
        <f t="shared" si="23"/>
        <v>0</v>
      </c>
      <c r="AC146" s="241"/>
      <c r="AD146" s="675"/>
      <c r="AE146" s="234"/>
      <c r="AF146" s="776"/>
      <c r="AG146" s="404">
        <v>143</v>
      </c>
      <c r="AH146" s="310"/>
    </row>
    <row r="147" spans="1:34" s="207" customFormat="1" hidden="1" x14ac:dyDescent="0.5">
      <c r="A147" s="738"/>
      <c r="B147" s="336" t="s">
        <v>897</v>
      </c>
      <c r="C147" s="325" t="s">
        <v>907</v>
      </c>
      <c r="D147" s="330"/>
      <c r="E147" s="329"/>
      <c r="F147" s="329"/>
      <c r="G147" s="329"/>
      <c r="H147" s="329"/>
      <c r="I147" s="329"/>
      <c r="J147" s="329"/>
      <c r="K147" s="329"/>
      <c r="L147" s="329"/>
      <c r="M147" s="329"/>
      <c r="N147" s="329"/>
      <c r="O147" s="329"/>
      <c r="P147" s="329"/>
      <c r="Q147" s="329"/>
      <c r="R147" s="329"/>
      <c r="S147" s="329"/>
      <c r="T147" s="329"/>
      <c r="U147" s="329"/>
      <c r="V147" s="329"/>
      <c r="W147" s="329"/>
      <c r="X147" s="329"/>
      <c r="Y147" s="329"/>
      <c r="Z147" s="329"/>
      <c r="AA147" s="338"/>
      <c r="AB147" s="224">
        <f t="shared" si="23"/>
        <v>0</v>
      </c>
      <c r="AC147" s="241"/>
      <c r="AD147" s="675"/>
      <c r="AE147" s="234"/>
      <c r="AF147" s="776"/>
      <c r="AG147" s="404">
        <v>144</v>
      </c>
      <c r="AH147" s="310"/>
    </row>
    <row r="148" spans="1:34" s="207" customFormat="1" ht="31.5" hidden="1" thickBot="1" x14ac:dyDescent="0.55000000000000004">
      <c r="A148" s="739"/>
      <c r="B148" s="337" t="s">
        <v>932</v>
      </c>
      <c r="C148" s="333" t="s">
        <v>908</v>
      </c>
      <c r="D148" s="331"/>
      <c r="E148" s="332"/>
      <c r="F148" s="332"/>
      <c r="G148" s="332"/>
      <c r="H148" s="332"/>
      <c r="I148" s="332"/>
      <c r="J148" s="332"/>
      <c r="K148" s="332"/>
      <c r="L148" s="332"/>
      <c r="M148" s="332"/>
      <c r="N148" s="332"/>
      <c r="O148" s="332"/>
      <c r="P148" s="332"/>
      <c r="Q148" s="332"/>
      <c r="R148" s="332"/>
      <c r="S148" s="332"/>
      <c r="T148" s="332"/>
      <c r="U148" s="332"/>
      <c r="V148" s="332"/>
      <c r="W148" s="332"/>
      <c r="X148" s="332"/>
      <c r="Y148" s="332"/>
      <c r="Z148" s="332"/>
      <c r="AA148" s="339"/>
      <c r="AB148" s="224">
        <f t="shared" si="23"/>
        <v>0</v>
      </c>
      <c r="AC148" s="241"/>
      <c r="AD148" s="676"/>
      <c r="AE148" s="242"/>
      <c r="AF148" s="776"/>
      <c r="AG148" s="404">
        <v>145</v>
      </c>
      <c r="AH148" s="310"/>
    </row>
    <row r="149" spans="1:34" s="207" customFormat="1" hidden="1" x14ac:dyDescent="0.5">
      <c r="A149" s="737" t="s">
        <v>899</v>
      </c>
      <c r="B149" s="335" t="s">
        <v>944</v>
      </c>
      <c r="C149" s="316" t="s">
        <v>909</v>
      </c>
      <c r="D149" s="348">
        <f>D11</f>
        <v>0</v>
      </c>
      <c r="E149" s="348">
        <f t="shared" ref="E149:AA149" si="24">E11</f>
        <v>0</v>
      </c>
      <c r="F149" s="348">
        <f t="shared" si="24"/>
        <v>0</v>
      </c>
      <c r="G149" s="348">
        <f t="shared" si="24"/>
        <v>0</v>
      </c>
      <c r="H149" s="348">
        <f t="shared" si="24"/>
        <v>0</v>
      </c>
      <c r="I149" s="348">
        <f t="shared" si="24"/>
        <v>0</v>
      </c>
      <c r="J149" s="348">
        <f t="shared" si="24"/>
        <v>0</v>
      </c>
      <c r="K149" s="348">
        <f t="shared" si="24"/>
        <v>0</v>
      </c>
      <c r="L149" s="348">
        <f t="shared" si="24"/>
        <v>0</v>
      </c>
      <c r="M149" s="348">
        <f t="shared" si="24"/>
        <v>0</v>
      </c>
      <c r="N149" s="348">
        <f t="shared" si="24"/>
        <v>0</v>
      </c>
      <c r="O149" s="348">
        <f t="shared" si="24"/>
        <v>0</v>
      </c>
      <c r="P149" s="348">
        <f t="shared" si="24"/>
        <v>0</v>
      </c>
      <c r="Q149" s="348">
        <f t="shared" si="24"/>
        <v>0</v>
      </c>
      <c r="R149" s="348">
        <f t="shared" si="24"/>
        <v>0</v>
      </c>
      <c r="S149" s="348">
        <f t="shared" si="24"/>
        <v>0</v>
      </c>
      <c r="T149" s="348">
        <f t="shared" si="24"/>
        <v>0</v>
      </c>
      <c r="U149" s="348">
        <f t="shared" si="24"/>
        <v>0</v>
      </c>
      <c r="V149" s="348">
        <f t="shared" si="24"/>
        <v>0</v>
      </c>
      <c r="W149" s="348">
        <f t="shared" si="24"/>
        <v>0</v>
      </c>
      <c r="X149" s="348">
        <f t="shared" si="24"/>
        <v>0</v>
      </c>
      <c r="Y149" s="348">
        <f t="shared" si="24"/>
        <v>0</v>
      </c>
      <c r="Z149" s="348">
        <f t="shared" si="24"/>
        <v>0</v>
      </c>
      <c r="AA149" s="348">
        <f t="shared" si="24"/>
        <v>0</v>
      </c>
      <c r="AB149" s="348">
        <f t="shared" ref="AB149" si="25">AB11</f>
        <v>0</v>
      </c>
      <c r="AC149" s="233" t="str">
        <f>CONCATENATE(IF(D150&gt;D149," * No Screened for GBV "&amp;$D$20&amp;" "&amp;$D$21&amp;" is more than Clients Seen at IPD"&amp;CHAR(10),""),IF(E150&gt;E149," * No Screened For GBV "&amp;$D$20&amp;" "&amp;$E$21&amp;" is more than Clients Seen at IPD"&amp;CHAR(10),""),IF(F150&gt;F149," * No Screened For GBV "&amp;$F$20&amp;" "&amp;$F$21&amp;" is more than Clients Seen at IPD"&amp;CHAR(10),""),IF(G150&gt;G149," * No Screened For GBV "&amp;$F$20&amp;" "&amp;$G$21&amp;" is more than Clients Seen at IPD"&amp;CHAR(10),""),IF(H150&gt;H149," * No Screened For GBV "&amp;$H$20&amp;" "&amp;$H$21&amp;" is more than Clients Seen at IPD"&amp;CHAR(10),""),IF(I150&gt;I149," * No Screened For GBV "&amp;$H$20&amp;" "&amp;$I$21&amp;" is more than Clients Seen at IPD"&amp;CHAR(10),""),IF(J150&gt;J149," * No Screened For GBV "&amp;$J$20&amp;" "&amp;$J$21&amp;" is more than Clients Seen at IPD"&amp;CHAR(10),""),IF(K150&gt;K149," * No Screened For GBV "&amp;$J$20&amp;" "&amp;$K$21&amp;" is more than Clients Seen at IPD"&amp;CHAR(10),""),IF(L150&gt;L149," * No Screened For GBV "&amp;$L$20&amp;" "&amp;$L$21&amp;" is more than Clients Seen at IPD"&amp;CHAR(10),""),IF(M150&gt;M149," * No Screened For GBV "&amp;$L$20&amp;" "&amp;$M$21&amp;" is more than Clients Seen at IPD"&amp;CHAR(10),""),IF(N150&gt;N149," * No Screened For GBV "&amp;$N$20&amp;" "&amp;$N$21&amp;" is more than Clients Seen at IPD"&amp;CHAR(10),""),IF(O150&gt;O149," * No Screened For GBV "&amp;$N$20&amp;" "&amp;$O$21&amp;" is more than Clients Seen at IPD"&amp;CHAR(10),""),IF(P150&gt;P149," * No Screened For GBV "&amp;$P$20&amp;" "&amp;$P$21&amp;" is more than Clients Seen at IPD"&amp;CHAR(10),""),IF(Q150&gt;Q149," * No Screened For GBV "&amp;$P$20&amp;" "&amp;$Q$21&amp;" is more than Clients Seen at IPD"&amp;CHAR(10),""),IF(R150&gt;R149," * No Screened For GBV "&amp;$R$20&amp;" "&amp;$R$21&amp;" is more than Clients Seen at IPD"&amp;CHAR(10),""),IF(S150&gt;S149," * No Screened For GBV "&amp;$R$20&amp;" "&amp;$S$21&amp;" is more than Clients Seen at IPD"&amp;CHAR(10),""),IF(T150&gt;T149," * No Screened For GBV "&amp;$T$20&amp;" "&amp;$T$21&amp;" is more than Clients Seen at IPD"&amp;CHAR(10),""),IF(U150&gt;U149," * No Screened For GBV "&amp;$T$20&amp;" "&amp;$U$21&amp;" is more than Clients Seen at IPD"&amp;CHAR(10),""),IF(V150&gt;V149," * No Screened For GBV "&amp;$V$20&amp;" "&amp;$V$21&amp;" is more than Clients Seen at IPD"&amp;CHAR(10),""),IF(W150&gt;W149," * No Screened For GBV "&amp;$V$20&amp;" "&amp;$W$21&amp;" is more than Clients Seen at IPD"&amp;CHAR(10),""),IF(X150&gt;X149," * No Screened For GBV "&amp;$X$20&amp;" "&amp;$X$21&amp;" is more than Clients Seen at IPD"&amp;CHAR(10),""),IF(Y150&gt;Y149," * No Screened For GBV "&amp;$X$20&amp;" "&amp;$Y$21&amp;" is more than Clients Seen at IPD"&amp;CHAR(10),""),IF(Z150&gt;Z149," * No Screened For GBV "&amp;$Z$20&amp;" "&amp;$Z$21&amp;" is more than Clients Seen at IPD"&amp;CHAR(10),""),IF(AA150&gt;AA149," * No Screened For GBV "&amp;$Z$20&amp;" "&amp;$AA$21&amp;" is more than Clients Seen at IPD"&amp;CHAR(10),""))</f>
        <v/>
      </c>
      <c r="AD149" s="616" t="str">
        <f>CONCATENATE(AC149,AC150,AC151,AC152,AC153,AC154,AC155,AC156,AC157)</f>
        <v/>
      </c>
      <c r="AE149" s="242"/>
      <c r="AF149" s="776"/>
      <c r="AG149" s="404">
        <v>146</v>
      </c>
      <c r="AH149" s="310"/>
    </row>
    <row r="150" spans="1:34" s="207" customFormat="1" hidden="1" x14ac:dyDescent="0.5">
      <c r="A150" s="738"/>
      <c r="B150" s="336" t="s">
        <v>938</v>
      </c>
      <c r="C150" s="325" t="s">
        <v>910</v>
      </c>
      <c r="D150" s="327"/>
      <c r="E150" s="327"/>
      <c r="F150" s="327"/>
      <c r="G150" s="327"/>
      <c r="H150" s="327"/>
      <c r="I150" s="327"/>
      <c r="J150" s="327"/>
      <c r="K150" s="327"/>
      <c r="L150" s="327"/>
      <c r="M150" s="327"/>
      <c r="N150" s="327"/>
      <c r="O150" s="327"/>
      <c r="P150" s="327"/>
      <c r="Q150" s="327"/>
      <c r="R150" s="327"/>
      <c r="S150" s="327"/>
      <c r="T150" s="327"/>
      <c r="U150" s="327"/>
      <c r="V150" s="327"/>
      <c r="W150" s="327"/>
      <c r="X150" s="327"/>
      <c r="Y150" s="327"/>
      <c r="Z150" s="327"/>
      <c r="AA150" s="327"/>
      <c r="AB150" s="238">
        <f t="shared" ref="AB150:AB175" si="26">SUM(D150:AA150)</f>
        <v>0</v>
      </c>
      <c r="AC150" s="241"/>
      <c r="AD150" s="617"/>
      <c r="AE150" s="234"/>
      <c r="AF150" s="776"/>
      <c r="AG150" s="404">
        <v>147</v>
      </c>
      <c r="AH150" s="310"/>
    </row>
    <row r="151" spans="1:34" s="207" customFormat="1" ht="32.25" hidden="1" x14ac:dyDescent="0.5">
      <c r="A151" s="738"/>
      <c r="B151" s="341" t="s">
        <v>947</v>
      </c>
      <c r="C151" s="325" t="s">
        <v>911</v>
      </c>
      <c r="D151" s="347">
        <f>D152+D154+D156+D157</f>
        <v>0</v>
      </c>
      <c r="E151" s="347">
        <f t="shared" ref="E151" si="27">E152+E154+E156+E157</f>
        <v>0</v>
      </c>
      <c r="F151" s="347">
        <f t="shared" ref="F151" si="28">F152+F154+F156+F157</f>
        <v>0</v>
      </c>
      <c r="G151" s="347">
        <f t="shared" ref="G151" si="29">G152+G154+G156+G157</f>
        <v>0</v>
      </c>
      <c r="H151" s="347">
        <f t="shared" ref="H151" si="30">H152+H154+H156+H157</f>
        <v>0</v>
      </c>
      <c r="I151" s="347">
        <f t="shared" ref="I151" si="31">I152+I154+I156+I157</f>
        <v>0</v>
      </c>
      <c r="J151" s="347">
        <f t="shared" ref="J151" si="32">J152+J154+J156+J157</f>
        <v>0</v>
      </c>
      <c r="K151" s="347">
        <f t="shared" ref="K151" si="33">K152+K154+K156+K157</f>
        <v>0</v>
      </c>
      <c r="L151" s="347">
        <f t="shared" ref="L151" si="34">L152+L154+L156+L157</f>
        <v>0</v>
      </c>
      <c r="M151" s="347">
        <f t="shared" ref="M151" si="35">M152+M154+M156+M157</f>
        <v>0</v>
      </c>
      <c r="N151" s="347">
        <f t="shared" ref="N151" si="36">N152+N154+N156+N157</f>
        <v>0</v>
      </c>
      <c r="O151" s="347">
        <f t="shared" ref="O151" si="37">O152+O154+O156+O157</f>
        <v>0</v>
      </c>
      <c r="P151" s="347">
        <f t="shared" ref="P151" si="38">P152+P154+P156+P157</f>
        <v>0</v>
      </c>
      <c r="Q151" s="347">
        <f t="shared" ref="Q151" si="39">Q152+Q154+Q156+Q157</f>
        <v>0</v>
      </c>
      <c r="R151" s="347">
        <f t="shared" ref="R151" si="40">R152+R154+R156+R157</f>
        <v>0</v>
      </c>
      <c r="S151" s="347">
        <f t="shared" ref="S151" si="41">S152+S154+S156+S157</f>
        <v>0</v>
      </c>
      <c r="T151" s="347">
        <f t="shared" ref="T151" si="42">T152+T154+T156+T157</f>
        <v>0</v>
      </c>
      <c r="U151" s="347">
        <f t="shared" ref="U151" si="43">U152+U154+U156+U157</f>
        <v>0</v>
      </c>
      <c r="V151" s="347">
        <f t="shared" ref="V151" si="44">V152+V154+V156+V157</f>
        <v>0</v>
      </c>
      <c r="W151" s="347">
        <f t="shared" ref="W151" si="45">W152+W154+W156+W157</f>
        <v>0</v>
      </c>
      <c r="X151" s="347">
        <f t="shared" ref="X151" si="46">X152+X154+X156+X157</f>
        <v>0</v>
      </c>
      <c r="Y151" s="347">
        <f t="shared" ref="Y151" si="47">Y152+Y154+Y156+Y157</f>
        <v>0</v>
      </c>
      <c r="Z151" s="347">
        <f t="shared" ref="Z151" si="48">Z152+Z154+Z156+Z157</f>
        <v>0</v>
      </c>
      <c r="AA151" s="347">
        <f t="shared" ref="AA151" si="49">AA152+AA154+AA156+AA157</f>
        <v>0</v>
      </c>
      <c r="AB151" s="238">
        <f t="shared" si="26"/>
        <v>0</v>
      </c>
      <c r="AC151" s="241"/>
      <c r="AD151" s="617"/>
      <c r="AE151" s="234"/>
      <c r="AF151" s="776"/>
      <c r="AG151" s="404">
        <v>148</v>
      </c>
      <c r="AH151" s="310"/>
    </row>
    <row r="152" spans="1:34" s="207" customFormat="1" hidden="1" x14ac:dyDescent="0.5">
      <c r="A152" s="738"/>
      <c r="B152" s="336" t="s">
        <v>893</v>
      </c>
      <c r="C152" s="325" t="s">
        <v>912</v>
      </c>
      <c r="D152" s="346"/>
      <c r="E152" s="346"/>
      <c r="F152" s="346"/>
      <c r="G152" s="346"/>
      <c r="H152" s="346"/>
      <c r="I152" s="346"/>
      <c r="J152" s="346"/>
      <c r="K152" s="346"/>
      <c r="L152" s="346"/>
      <c r="M152" s="346"/>
      <c r="N152" s="346"/>
      <c r="O152" s="346"/>
      <c r="P152" s="346"/>
      <c r="Q152" s="346"/>
      <c r="R152" s="346"/>
      <c r="S152" s="346"/>
      <c r="T152" s="346"/>
      <c r="U152" s="346"/>
      <c r="V152" s="346"/>
      <c r="W152" s="346"/>
      <c r="X152" s="346"/>
      <c r="Y152" s="346"/>
      <c r="Z152" s="346"/>
      <c r="AA152" s="346"/>
      <c r="AB152" s="238">
        <f t="shared" si="26"/>
        <v>0</v>
      </c>
      <c r="AC152" s="233" t="str">
        <f>CONCATENATE(IF(D153&gt;D152," * IPD Sexual Violence Initiated Pep "&amp;$D$20&amp;" "&amp;$D$21&amp;" is more than IPD Sexual Violence Rape Survivors"&amp;CHAR(10),""),IF(E153&gt;E152," * IPD Sexual Violence Initiated Pep "&amp;$D$20&amp;" "&amp;$E$21&amp;" is more than IPD Sexual Violence Rape Survivors"&amp;CHAR(10),""),IF(F153&gt;F152," * IPD Sexual Violence Initiated Pep "&amp;$F$20&amp;" "&amp;$F$21&amp;" is more than IPD Sexual Violence Rape Survivors"&amp;CHAR(10),""),IF(G153&gt;G152," * IPD Sexual Violence Initiated Pep "&amp;$F$20&amp;" "&amp;$G$21&amp;" is more than IPD Sexual Violence Rape Survivors"&amp;CHAR(10),""),IF(H153&gt;H152," * IPD Sexual Violence Initiated Pep "&amp;$H$20&amp;" "&amp;$H$21&amp;" is more than IPD Sexual Violence Rape Survivors"&amp;CHAR(10),""),IF(I153&gt;I152," * IPD Sexual Violence Initiated Pep "&amp;$H$20&amp;" "&amp;$I$21&amp;" is more than IPD Sexual Violence Rape Survivors"&amp;CHAR(10),""),IF(J153&gt;J152," * IPD Sexual Violence Initiated Pep "&amp;$J$20&amp;" "&amp;$J$21&amp;" is more than IPD Sexual Violence Rape Survivors"&amp;CHAR(10),""),IF(K153&gt;K152," * IPD Sexual Violence Initiated Pep "&amp;$J$20&amp;" "&amp;$K$21&amp;" is more than IPD Sexual Violence Rape Survivors"&amp;CHAR(10),""),IF(L153&gt;L152," * IPD Sexual Violence Initiated Pep "&amp;$L$20&amp;" "&amp;$L$21&amp;" is more than IPD Sexual Violence Rape Survivors"&amp;CHAR(10),""),IF(M153&gt;M152," * IPD Sexual Violence Initiated Pep "&amp;$L$20&amp;" "&amp;$M$21&amp;" is more than IPD Sexual Violence Rape Survivors"&amp;CHAR(10),""),IF(N153&gt;N152," * IPD Sexual Violence Initiated Pep "&amp;$N$20&amp;" "&amp;$N$21&amp;" is more than IPD Sexual Violence Rape Survivors"&amp;CHAR(10),""),IF(O153&gt;O152," * IPD Sexual Violence Initiated Pep "&amp;$N$20&amp;" "&amp;$O$21&amp;" is more than IPD Sexual Violence Rape Survivors"&amp;CHAR(10),""),IF(P153&gt;P152," * IPD Sexual Violence Initiated Pep "&amp;$P$20&amp;" "&amp;$P$21&amp;" is more than IPD Sexual Violence Rape Survivors"&amp;CHAR(10),""),IF(Q153&gt;Q152," * IPD Sexual Violence Initiated Pep "&amp;$P$20&amp;" "&amp;$Q$21&amp;" is more than IPD Sexual Violence Rape Survivors"&amp;CHAR(10),""),IF(R153&gt;R152," * IPD Sexual Violence Initiated Pep "&amp;$R$20&amp;" "&amp;$R$21&amp;" is more than IPD Sexual Violence Rape Survivors"&amp;CHAR(10),""),IF(S153&gt;S152," * IPD Sexual Violence Initiated Pep "&amp;$R$20&amp;" "&amp;$S$21&amp;" is more than IPD Sexual Violence Rape Survivors"&amp;CHAR(10),""),IF(T153&gt;T152," * IPD Sexual Violence Initiated Pep "&amp;$T$20&amp;" "&amp;$T$21&amp;" is more than IPD Sexual Violence Rape Survivors"&amp;CHAR(10),""),IF(U153&gt;U152," * IPD Sexual Violence Initiated Pep "&amp;$T$20&amp;" "&amp;$U$21&amp;" is more than IPD Sexual Violence Rape Survivors"&amp;CHAR(10),""),IF(V153&gt;V152," * IPD Sexual Violence Initiated Pep "&amp;$V$20&amp;" "&amp;$V$21&amp;" is more than IPD Sexual Violence Rape Survivors"&amp;CHAR(10),""),IF(W153&gt;W152," * IPD Sexual Violence Initiated Pep "&amp;$V$20&amp;" "&amp;$W$21&amp;" is more than IPD Sexual Violence Rape Survivors"&amp;CHAR(10),""),IF(X153&gt;X152," * IPD Sexual Violence Initiated Pep "&amp;$X$20&amp;" "&amp;$X$21&amp;" is more than IPD Sexual Violence Rape Survivors"&amp;CHAR(10),""),IF(Y153&gt;Y152," * IPD Sexual Violence Initiated Pep "&amp;$X$20&amp;" "&amp;$Y$21&amp;" is more than IPD Sexual Violence Rape Survivors"&amp;CHAR(10),""),IF(Z153&gt;Z152," * IPD Sexual Violence Initiated Pep "&amp;$Z$20&amp;" "&amp;$Z$21&amp;" is more than IPD Sexual Violence Rape Survivors"&amp;CHAR(10),""),IF(AA153&gt;AA152," * IPD Sexual Violence Initiated Pep "&amp;$Z$20&amp;" "&amp;$AA$21&amp;" is more than IPD Sexual Violence Rape Survivors"&amp;CHAR(10),""))</f>
        <v/>
      </c>
      <c r="AD152" s="617"/>
      <c r="AE152" s="234"/>
      <c r="AF152" s="776"/>
      <c r="AG152" s="404">
        <v>149</v>
      </c>
      <c r="AH152" s="310"/>
    </row>
    <row r="153" spans="1:34" s="207" customFormat="1" hidden="1" x14ac:dyDescent="0.5">
      <c r="A153" s="738"/>
      <c r="B153" s="336" t="s">
        <v>894</v>
      </c>
      <c r="C153" s="325" t="s">
        <v>913</v>
      </c>
      <c r="D153" s="329"/>
      <c r="E153" s="329"/>
      <c r="F153" s="329"/>
      <c r="G153" s="329"/>
      <c r="H153" s="329"/>
      <c r="I153" s="329"/>
      <c r="J153" s="329"/>
      <c r="K153" s="329"/>
      <c r="L153" s="329"/>
      <c r="M153" s="329"/>
      <c r="N153" s="329"/>
      <c r="O153" s="329"/>
      <c r="P153" s="329"/>
      <c r="Q153" s="329"/>
      <c r="R153" s="329"/>
      <c r="S153" s="329"/>
      <c r="T153" s="329"/>
      <c r="U153" s="329"/>
      <c r="V153" s="329"/>
      <c r="W153" s="329"/>
      <c r="X153" s="329"/>
      <c r="Y153" s="329"/>
      <c r="Z153" s="329"/>
      <c r="AA153" s="329"/>
      <c r="AB153" s="238">
        <f t="shared" si="26"/>
        <v>0</v>
      </c>
      <c r="AC153" s="241"/>
      <c r="AD153" s="617"/>
      <c r="AE153" s="234"/>
      <c r="AF153" s="776"/>
      <c r="AG153" s="404">
        <v>150</v>
      </c>
      <c r="AH153" s="310"/>
    </row>
    <row r="154" spans="1:34" s="207" customFormat="1" hidden="1" x14ac:dyDescent="0.5">
      <c r="A154" s="738"/>
      <c r="B154" s="336" t="s">
        <v>895</v>
      </c>
      <c r="C154" s="325" t="s">
        <v>914</v>
      </c>
      <c r="D154" s="346"/>
      <c r="E154" s="346"/>
      <c r="F154" s="346"/>
      <c r="G154" s="346"/>
      <c r="H154" s="346"/>
      <c r="I154" s="346"/>
      <c r="J154" s="346"/>
      <c r="K154" s="346"/>
      <c r="L154" s="346"/>
      <c r="M154" s="346"/>
      <c r="N154" s="346"/>
      <c r="O154" s="346"/>
      <c r="P154" s="346"/>
      <c r="Q154" s="346"/>
      <c r="R154" s="346"/>
      <c r="S154" s="346"/>
      <c r="T154" s="346"/>
      <c r="U154" s="346"/>
      <c r="V154" s="346"/>
      <c r="W154" s="346"/>
      <c r="X154" s="346"/>
      <c r="Y154" s="346"/>
      <c r="Z154" s="346"/>
      <c r="AA154" s="346"/>
      <c r="AB154" s="238">
        <f t="shared" si="26"/>
        <v>0</v>
      </c>
      <c r="AC154" s="233" t="str">
        <f>CONCATENATE(IF(D155&gt;D154," * IPD  Physical Violence Initiated Pep "&amp;$D$20&amp;" "&amp;$D$21&amp;" is more than IPD Physical Violence Rape Survivors"&amp;CHAR(10),""),IF(E155&gt;E154," * IPD  Physical Violence Initiated Pep "&amp;$D$20&amp;" "&amp;$E$21&amp;" is more than IPD Physical Violence Rape Survivors"&amp;CHAR(10),""),IF(F155&gt;F154," * IPD  Physical Violence Initiated Pep "&amp;$F$20&amp;" "&amp;$F$21&amp;" is more than IPD Physical Violence Rape Survivors"&amp;CHAR(10),""),IF(G155&gt;G154," * IPD  Physical Violence Initiated Pep "&amp;$F$20&amp;" "&amp;$G$21&amp;" is more than IPD Physical Violence Rape Survivors"&amp;CHAR(10),""),IF(H155&gt;H154," * IPD  Physical Violence Initiated Pep "&amp;$H$20&amp;" "&amp;$H$21&amp;" is more than IPD Physical Violence Rape Survivors"&amp;CHAR(10),""),IF(I155&gt;I154," * IPD  Physical Violence Initiated Pep "&amp;$H$20&amp;" "&amp;$I$21&amp;" is more than IPD Physical Violence Rape Survivors"&amp;CHAR(10),""),IF(J155&gt;J154," * IPD  Physical Violence Initiated Pep "&amp;$J$20&amp;" "&amp;$J$21&amp;" is more than IPD Physical Violence Rape Survivors"&amp;CHAR(10),""),IF(K155&gt;K154," * IPD  Physical Violence Initiated Pep "&amp;$J$20&amp;" "&amp;$K$21&amp;" is more than IPD Physical Violence Rape Survivors"&amp;CHAR(10),""),IF(L155&gt;L154," * IPD  Physical Violence Initiated Pep "&amp;$L$20&amp;" "&amp;$L$21&amp;" is more than IPD Physical Violence Rape Survivors"&amp;CHAR(10),""),IF(M155&gt;M154," * IPD  Physical Violence Initiated Pep "&amp;$L$20&amp;" "&amp;$M$21&amp;" is more than IPD Physical Violence Rape Survivors"&amp;CHAR(10),""),IF(N155&gt;N154," * IPD  Physical Violence Initiated Pep "&amp;$N$20&amp;" "&amp;$N$21&amp;" is more than IPD Physical Violence Rape Survivors"&amp;CHAR(10),""),IF(O155&gt;O154," * IPD  Physical Violence Initiated Pep "&amp;$N$20&amp;" "&amp;$O$21&amp;" is more than IPD Physical Violence Rape Survivors"&amp;CHAR(10),""),IF(P155&gt;P154," * IPD  Physical Violence Initiated Pep "&amp;$P$20&amp;" "&amp;$P$21&amp;" is more than IPD Physical Violence Rape Survivors"&amp;CHAR(10),""),IF(Q155&gt;Q154," * IPD  Physical Violence Initiated Pep "&amp;$P$20&amp;" "&amp;$Q$21&amp;" is more than IPD Physical Violence Rape Survivors"&amp;CHAR(10),""),IF(R155&gt;R154," * IPD  Physical Violence Initiated Pep "&amp;$R$20&amp;" "&amp;$R$21&amp;" is more than IPD Physical Violence Rape Survivors"&amp;CHAR(10),""),IF(S155&gt;S154," * IPD  Physical Violence Initiated Pep "&amp;$R$20&amp;" "&amp;$S$21&amp;" is more than IPD Physical Violence Rape Survivors"&amp;CHAR(10),""),IF(T155&gt;T154," * IPD  Physical Violence Initiated Pep "&amp;$T$20&amp;" "&amp;$T$21&amp;" is more than IPD Physical Violence Rape Survivors"&amp;CHAR(10),""),IF(U155&gt;U154," * IPD  Physical Violence Initiated Pep "&amp;$T$20&amp;" "&amp;$U$21&amp;" is more than IPD Physical Violence Rape Survivors"&amp;CHAR(10),""),IF(V155&gt;V154," * IPD  Physical Violence Initiated Pep "&amp;$V$20&amp;" "&amp;$V$21&amp;" is more than IPD Physical Violence Rape Survivors"&amp;CHAR(10),""),IF(W155&gt;W154," * IPD  Physical Violence Initiated Pep "&amp;$V$20&amp;" "&amp;$W$21&amp;" is more than IPD Physical Violence Rape Survivors"&amp;CHAR(10),""),IF(X155&gt;X154," * IPD  Physical Violence Initiated Pep "&amp;$X$20&amp;" "&amp;$X$21&amp;" is more than IPD Physical Violence Rape Survivors"&amp;CHAR(10),""),IF(Y155&gt;Y154," * IPD  Physical Violence Initiated Pep "&amp;$X$20&amp;" "&amp;$Y$21&amp;" is more than IPD Physical Violence Rape Survivors"&amp;CHAR(10),""),IF(Z155&gt;Z154," * IPD  Physical Violence Initiated Pep "&amp;$Z$20&amp;" "&amp;$Z$21&amp;" is more than IPD Physical Violence Rape Survivors"&amp;CHAR(10),""),IF(AA155&gt;AA154," * IPD  Physical Violence Initiated Pep "&amp;$Z$20&amp;" "&amp;$AA$21&amp;" is more than IPD Physical Violence Rape Survivors"&amp;CHAR(10),""))</f>
        <v/>
      </c>
      <c r="AD154" s="617"/>
      <c r="AE154" s="234"/>
      <c r="AF154" s="776"/>
      <c r="AG154" s="404">
        <v>151</v>
      </c>
      <c r="AH154" s="310"/>
    </row>
    <row r="155" spans="1:34" s="207" customFormat="1" hidden="1" x14ac:dyDescent="0.5">
      <c r="A155" s="738"/>
      <c r="B155" s="336" t="s">
        <v>896</v>
      </c>
      <c r="C155" s="325" t="s">
        <v>915</v>
      </c>
      <c r="D155" s="329"/>
      <c r="E155" s="329"/>
      <c r="F155" s="329"/>
      <c r="G155" s="329"/>
      <c r="H155" s="329"/>
      <c r="I155" s="329"/>
      <c r="J155" s="329"/>
      <c r="K155" s="329"/>
      <c r="L155" s="329"/>
      <c r="M155" s="329"/>
      <c r="N155" s="329"/>
      <c r="O155" s="329"/>
      <c r="P155" s="329"/>
      <c r="Q155" s="329"/>
      <c r="R155" s="329"/>
      <c r="S155" s="329"/>
      <c r="T155" s="329"/>
      <c r="U155" s="329"/>
      <c r="V155" s="329"/>
      <c r="W155" s="329"/>
      <c r="X155" s="329"/>
      <c r="Y155" s="329"/>
      <c r="Z155" s="329"/>
      <c r="AA155" s="329"/>
      <c r="AB155" s="238">
        <f t="shared" si="26"/>
        <v>0</v>
      </c>
      <c r="AC155" s="241"/>
      <c r="AD155" s="617"/>
      <c r="AE155" s="234"/>
      <c r="AF155" s="776"/>
      <c r="AG155" s="404">
        <v>152</v>
      </c>
      <c r="AH155" s="310"/>
    </row>
    <row r="156" spans="1:34" s="207" customFormat="1" hidden="1" x14ac:dyDescent="0.5">
      <c r="A156" s="738"/>
      <c r="B156" s="336" t="s">
        <v>897</v>
      </c>
      <c r="C156" s="325" t="s">
        <v>916</v>
      </c>
      <c r="D156" s="330"/>
      <c r="E156" s="329"/>
      <c r="F156" s="329"/>
      <c r="G156" s="329"/>
      <c r="H156" s="329"/>
      <c r="I156" s="329"/>
      <c r="J156" s="329"/>
      <c r="K156" s="329"/>
      <c r="L156" s="329"/>
      <c r="M156" s="329"/>
      <c r="N156" s="329"/>
      <c r="O156" s="329"/>
      <c r="P156" s="329"/>
      <c r="Q156" s="329"/>
      <c r="R156" s="329"/>
      <c r="S156" s="329"/>
      <c r="T156" s="329"/>
      <c r="U156" s="329"/>
      <c r="V156" s="329"/>
      <c r="W156" s="329"/>
      <c r="X156" s="329"/>
      <c r="Y156" s="329"/>
      <c r="Z156" s="329"/>
      <c r="AA156" s="338"/>
      <c r="AB156" s="340">
        <f t="shared" si="26"/>
        <v>0</v>
      </c>
      <c r="AC156" s="241"/>
      <c r="AD156" s="617"/>
      <c r="AE156" s="234"/>
      <c r="AF156" s="776"/>
      <c r="AG156" s="404">
        <v>153</v>
      </c>
      <c r="AH156" s="310"/>
    </row>
    <row r="157" spans="1:34" s="207" customFormat="1" ht="31.5" hidden="1" thickBot="1" x14ac:dyDescent="0.55000000000000004">
      <c r="A157" s="739"/>
      <c r="B157" s="337" t="s">
        <v>932</v>
      </c>
      <c r="C157" s="333" t="s">
        <v>917</v>
      </c>
      <c r="D157" s="331"/>
      <c r="E157" s="332"/>
      <c r="F157" s="332"/>
      <c r="G157" s="332"/>
      <c r="H157" s="332"/>
      <c r="I157" s="332"/>
      <c r="J157" s="332"/>
      <c r="K157" s="332"/>
      <c r="L157" s="332"/>
      <c r="M157" s="332"/>
      <c r="N157" s="332"/>
      <c r="O157" s="332"/>
      <c r="P157" s="332"/>
      <c r="Q157" s="332"/>
      <c r="R157" s="332"/>
      <c r="S157" s="332"/>
      <c r="T157" s="332"/>
      <c r="U157" s="332"/>
      <c r="V157" s="332"/>
      <c r="W157" s="332"/>
      <c r="X157" s="332"/>
      <c r="Y157" s="332"/>
      <c r="Z157" s="332"/>
      <c r="AA157" s="339"/>
      <c r="AB157" s="340">
        <f t="shared" si="26"/>
        <v>0</v>
      </c>
      <c r="AC157" s="241"/>
      <c r="AD157" s="618"/>
      <c r="AE157" s="242"/>
      <c r="AF157" s="776"/>
      <c r="AG157" s="404">
        <v>154</v>
      </c>
      <c r="AH157" s="310"/>
    </row>
    <row r="158" spans="1:34" s="207" customFormat="1" hidden="1" x14ac:dyDescent="0.5">
      <c r="A158" s="737" t="s">
        <v>901</v>
      </c>
      <c r="B158" s="335" t="s">
        <v>945</v>
      </c>
      <c r="C158" s="316" t="s">
        <v>918</v>
      </c>
      <c r="D158" s="351"/>
      <c r="E158" s="351"/>
      <c r="F158" s="351"/>
      <c r="G158" s="351"/>
      <c r="H158" s="351"/>
      <c r="I158" s="351"/>
      <c r="J158" s="351"/>
      <c r="K158" s="351"/>
      <c r="L158" s="351"/>
      <c r="M158" s="351"/>
      <c r="N158" s="351"/>
      <c r="O158" s="351"/>
      <c r="P158" s="351"/>
      <c r="Q158" s="351"/>
      <c r="R158" s="351"/>
      <c r="S158" s="351"/>
      <c r="T158" s="351"/>
      <c r="U158" s="351"/>
      <c r="V158" s="351"/>
      <c r="W158" s="351"/>
      <c r="X158" s="351"/>
      <c r="Y158" s="351"/>
      <c r="Z158" s="351"/>
      <c r="AA158" s="351"/>
      <c r="AB158" s="340">
        <f t="shared" si="26"/>
        <v>0</v>
      </c>
      <c r="AC158" s="233" t="str">
        <f>CONCATENATE(IF(D159&gt;D158," * No Screened for GBV "&amp;$D$20&amp;" "&amp;$D$21&amp;" is more than Clients Seen at CCC"&amp;CHAR(10),""),IF(E159&gt;E158," * No Screened For GBV "&amp;$D$20&amp;" "&amp;$E$21&amp;" is more than Clients Seen at CCC"&amp;CHAR(10),""),IF(F159&gt;F158," * No Screened For GBV "&amp;$F$20&amp;" "&amp;$F$21&amp;" is more than Clients Seen at CCC"&amp;CHAR(10),""),IF(G159&gt;G158," * No Screened For GBV "&amp;$F$20&amp;" "&amp;$G$21&amp;" is more than Clients Seen at CCC"&amp;CHAR(10),""),IF(H159&gt;H158," * No Screened For GBV "&amp;$H$20&amp;" "&amp;$H$21&amp;" is more than Clients Seen at CCC"&amp;CHAR(10),""),IF(I159&gt;I158," * No Screened For GBV "&amp;$H$20&amp;" "&amp;$I$21&amp;" is more than Clients Seen at CCC"&amp;CHAR(10),""),IF(J159&gt;J158," * No Screened For GBV "&amp;$J$20&amp;" "&amp;$J$21&amp;" is more than Clients Seen at CCC"&amp;CHAR(10),""),IF(K159&gt;K158," * No Screened For GBV "&amp;$J$20&amp;" "&amp;$K$21&amp;" is more than Clients Seen at CCC"&amp;CHAR(10),""),IF(L159&gt;L158," * No Screened For GBV "&amp;$L$20&amp;" "&amp;$L$21&amp;" is more than Clients Seen at CCC"&amp;CHAR(10),""),IF(M159&gt;M158," * No Screened For GBV "&amp;$L$20&amp;" "&amp;$M$21&amp;" is more than Clients Seen at CCC"&amp;CHAR(10),""),IF(N159&gt;N158," * No Screened For GBV "&amp;$N$20&amp;" "&amp;$N$21&amp;" is more than Clients Seen at CCC"&amp;CHAR(10),""),IF(O159&gt;O158," * No Screened For GBV "&amp;$N$20&amp;" "&amp;$O$21&amp;" is more than Clients Seen at CCC"&amp;CHAR(10),""),IF(P159&gt;P158," * No Screened For GBV "&amp;$P$20&amp;" "&amp;$P$21&amp;" is more than Clients Seen at CCC"&amp;CHAR(10),""),IF(Q159&gt;Q158," * No Screened For GBV "&amp;$P$20&amp;" "&amp;$Q$21&amp;" is more than Clients Seen at CCC"&amp;CHAR(10),""),IF(R159&gt;R158," * No Screened For GBV "&amp;$R$20&amp;" "&amp;$R$21&amp;" is more than Clients Seen at CCC"&amp;CHAR(10),""),IF(S159&gt;S158," * No Screened For GBV "&amp;$R$20&amp;" "&amp;$S$21&amp;" is more than Clients Seen at CCC"&amp;CHAR(10),""),IF(T159&gt;T158," * No Screened For GBV "&amp;$T$20&amp;" "&amp;$T$21&amp;" is more than Clients Seen at CCC"&amp;CHAR(10),""),IF(U159&gt;U158," * No Screened For GBV "&amp;$T$20&amp;" "&amp;$U$21&amp;" is more than Clients Seen at CCC"&amp;CHAR(10),""),IF(V159&gt;V158," * No Screened For GBV "&amp;$V$20&amp;" "&amp;$V$21&amp;" is more than Clients Seen at CCC"&amp;CHAR(10),""),IF(W159&gt;W158," * No Screened For GBV "&amp;$V$20&amp;" "&amp;$W$21&amp;" is more than Clients Seen at CCC"&amp;CHAR(10),""),IF(X159&gt;X158," * No Screened For GBV "&amp;$X$20&amp;" "&amp;$X$21&amp;" is more than Clients Seen at CCC"&amp;CHAR(10),""),IF(Y159&gt;Y158," * No Screened For GBV "&amp;$X$20&amp;" "&amp;$Y$21&amp;" is more than Clients Seen at CCC"&amp;CHAR(10),""),IF(Z159&gt;Z158," * No Screened For GBV "&amp;$Z$20&amp;" "&amp;$Z$21&amp;" is more than Clients Seen at CCC"&amp;CHAR(10),""),IF(AA159&gt;AA158," * No Screened For GBV "&amp;$Z$20&amp;" "&amp;$AA$21&amp;" is more than Clients Seen at CCC"&amp;CHAR(10),""))</f>
        <v/>
      </c>
      <c r="AD158" s="616" t="str">
        <f>CONCATENATE(AC158,AC159,AC160,AC161,AC162,AC163,AC164,AC165,AC166)</f>
        <v/>
      </c>
      <c r="AE158" s="242"/>
      <c r="AF158" s="776"/>
      <c r="AG158" s="404">
        <v>155</v>
      </c>
      <c r="AH158" s="310"/>
    </row>
    <row r="159" spans="1:34" s="207" customFormat="1" hidden="1" x14ac:dyDescent="0.5">
      <c r="A159" s="738"/>
      <c r="B159" s="336" t="s">
        <v>939</v>
      </c>
      <c r="C159" s="325" t="s">
        <v>919</v>
      </c>
      <c r="D159" s="327"/>
      <c r="E159" s="327"/>
      <c r="F159" s="327"/>
      <c r="G159" s="327"/>
      <c r="H159" s="327"/>
      <c r="I159" s="327"/>
      <c r="J159" s="327"/>
      <c r="K159" s="327"/>
      <c r="L159" s="327"/>
      <c r="M159" s="327"/>
      <c r="N159" s="327"/>
      <c r="O159" s="327"/>
      <c r="P159" s="327"/>
      <c r="Q159" s="327"/>
      <c r="R159" s="327"/>
      <c r="S159" s="327"/>
      <c r="T159" s="327"/>
      <c r="U159" s="327"/>
      <c r="V159" s="327"/>
      <c r="W159" s="327"/>
      <c r="X159" s="327"/>
      <c r="Y159" s="327"/>
      <c r="Z159" s="327"/>
      <c r="AA159" s="327"/>
      <c r="AB159" s="340">
        <f t="shared" si="26"/>
        <v>0</v>
      </c>
      <c r="AC159" s="241"/>
      <c r="AD159" s="617"/>
      <c r="AE159" s="234"/>
      <c r="AF159" s="776"/>
      <c r="AG159" s="404">
        <v>156</v>
      </c>
      <c r="AH159" s="310"/>
    </row>
    <row r="160" spans="1:34" s="207" customFormat="1" ht="32.25" hidden="1" x14ac:dyDescent="0.5">
      <c r="A160" s="738"/>
      <c r="B160" s="341" t="s">
        <v>948</v>
      </c>
      <c r="C160" s="325" t="s">
        <v>920</v>
      </c>
      <c r="D160" s="347">
        <f>D161+D163+D165+D166</f>
        <v>0</v>
      </c>
      <c r="E160" s="347">
        <f t="shared" ref="E160" si="50">E161+E163+E165+E166</f>
        <v>0</v>
      </c>
      <c r="F160" s="347">
        <f t="shared" ref="F160" si="51">F161+F163+F165+F166</f>
        <v>0</v>
      </c>
      <c r="G160" s="347">
        <f t="shared" ref="G160" si="52">G161+G163+G165+G166</f>
        <v>0</v>
      </c>
      <c r="H160" s="347">
        <f t="shared" ref="H160" si="53">H161+H163+H165+H166</f>
        <v>0</v>
      </c>
      <c r="I160" s="347">
        <f t="shared" ref="I160" si="54">I161+I163+I165+I166</f>
        <v>0</v>
      </c>
      <c r="J160" s="347">
        <f t="shared" ref="J160" si="55">J161+J163+J165+J166</f>
        <v>0</v>
      </c>
      <c r="K160" s="347">
        <f t="shared" ref="K160" si="56">K161+K163+K165+K166</f>
        <v>0</v>
      </c>
      <c r="L160" s="347">
        <f t="shared" ref="L160" si="57">L161+L163+L165+L166</f>
        <v>0</v>
      </c>
      <c r="M160" s="347">
        <f t="shared" ref="M160" si="58">M161+M163+M165+M166</f>
        <v>0</v>
      </c>
      <c r="N160" s="347">
        <f t="shared" ref="N160" si="59">N161+N163+N165+N166</f>
        <v>0</v>
      </c>
      <c r="O160" s="347">
        <f t="shared" ref="O160" si="60">O161+O163+O165+O166</f>
        <v>0</v>
      </c>
      <c r="P160" s="347">
        <f t="shared" ref="P160" si="61">P161+P163+P165+P166</f>
        <v>0</v>
      </c>
      <c r="Q160" s="347">
        <f t="shared" ref="Q160" si="62">Q161+Q163+Q165+Q166</f>
        <v>0</v>
      </c>
      <c r="R160" s="347">
        <f t="shared" ref="R160" si="63">R161+R163+R165+R166</f>
        <v>0</v>
      </c>
      <c r="S160" s="347">
        <f t="shared" ref="S160" si="64">S161+S163+S165+S166</f>
        <v>0</v>
      </c>
      <c r="T160" s="347">
        <f t="shared" ref="T160" si="65">T161+T163+T165+T166</f>
        <v>0</v>
      </c>
      <c r="U160" s="347">
        <f t="shared" ref="U160" si="66">U161+U163+U165+U166</f>
        <v>0</v>
      </c>
      <c r="V160" s="347">
        <f t="shared" ref="V160" si="67">V161+V163+V165+V166</f>
        <v>0</v>
      </c>
      <c r="W160" s="347">
        <f t="shared" ref="W160" si="68">W161+W163+W165+W166</f>
        <v>0</v>
      </c>
      <c r="X160" s="347">
        <f t="shared" ref="X160" si="69">X161+X163+X165+X166</f>
        <v>0</v>
      </c>
      <c r="Y160" s="347">
        <f t="shared" ref="Y160" si="70">Y161+Y163+Y165+Y166</f>
        <v>0</v>
      </c>
      <c r="Z160" s="347">
        <f t="shared" ref="Z160" si="71">Z161+Z163+Z165+Z166</f>
        <v>0</v>
      </c>
      <c r="AA160" s="347">
        <f t="shared" ref="AA160" si="72">AA161+AA163+AA165+AA166</f>
        <v>0</v>
      </c>
      <c r="AB160" s="340">
        <f t="shared" si="26"/>
        <v>0</v>
      </c>
      <c r="AC160" s="241"/>
      <c r="AD160" s="617"/>
      <c r="AE160" s="234"/>
      <c r="AF160" s="776"/>
      <c r="AG160" s="404">
        <v>157</v>
      </c>
      <c r="AH160" s="310"/>
    </row>
    <row r="161" spans="1:34" s="207" customFormat="1" hidden="1" x14ac:dyDescent="0.5">
      <c r="A161" s="738"/>
      <c r="B161" s="336" t="s">
        <v>893</v>
      </c>
      <c r="C161" s="325" t="s">
        <v>921</v>
      </c>
      <c r="D161" s="346"/>
      <c r="E161" s="346"/>
      <c r="F161" s="346"/>
      <c r="G161" s="346"/>
      <c r="H161" s="346"/>
      <c r="I161" s="346"/>
      <c r="J161" s="346"/>
      <c r="K161" s="346"/>
      <c r="L161" s="346"/>
      <c r="M161" s="346"/>
      <c r="N161" s="346"/>
      <c r="O161" s="346"/>
      <c r="P161" s="346"/>
      <c r="Q161" s="346"/>
      <c r="R161" s="346"/>
      <c r="S161" s="346"/>
      <c r="T161" s="346"/>
      <c r="U161" s="346"/>
      <c r="V161" s="346"/>
      <c r="W161" s="346"/>
      <c r="X161" s="346"/>
      <c r="Y161" s="346"/>
      <c r="Z161" s="346"/>
      <c r="AA161" s="346"/>
      <c r="AB161" s="340">
        <f t="shared" si="26"/>
        <v>0</v>
      </c>
      <c r="AC161" s="233" t="str">
        <f>CONCATENATE(IF(D162&gt;D161," * CCC Sexual Violence Initiated Pep "&amp;$D$20&amp;" "&amp;$D$21&amp;" is more than CCC Sexual Violence Rape Survivors"&amp;CHAR(10),""),IF(E162&gt;E161," * CCC Sexual Violence Initiated Pep "&amp;$D$20&amp;" "&amp;$E$21&amp;" is more than CCC Sexual Violence Rape Survivors"&amp;CHAR(10),""),IF(F162&gt;F161," * CCC Sexual Violence Initiated Pep "&amp;$F$20&amp;" "&amp;$F$21&amp;" is more than CCC Sexual Violence Rape Survivors"&amp;CHAR(10),""),IF(G162&gt;G161," * CCC Sexual Violence Initiated Pep "&amp;$F$20&amp;" "&amp;$G$21&amp;" is more than CCC Sexual Violence Rape Survivors"&amp;CHAR(10),""),IF(H162&gt;H161," * CCC Sexual Violence Initiated Pep "&amp;$H$20&amp;" "&amp;$H$21&amp;" is more than CCC Sexual Violence Rape Survivors"&amp;CHAR(10),""),IF(I162&gt;I161," * CCC Sexual Violence Initiated Pep "&amp;$H$20&amp;" "&amp;$I$21&amp;" is more than CCC Sexual Violence Rape Survivors"&amp;CHAR(10),""),IF(J162&gt;J161," * CCC Sexual Violence Initiated Pep "&amp;$J$20&amp;" "&amp;$J$21&amp;" is more than CCC Sexual Violence Rape Survivors"&amp;CHAR(10),""),IF(K162&gt;K161," * CCC Sexual Violence Initiated Pep "&amp;$J$20&amp;" "&amp;$K$21&amp;" is more than CCC Sexual Violence Rape Survivors"&amp;CHAR(10),""),IF(L162&gt;L161," * CCC Sexual Violence Initiated Pep "&amp;$L$20&amp;" "&amp;$L$21&amp;" is more than CCC Sexual Violence Rape Survivors"&amp;CHAR(10),""),IF(M162&gt;M161," * CCC Sexual Violence Initiated Pep "&amp;$L$20&amp;" "&amp;$M$21&amp;" is more than CCC Sexual Violence Rape Survivors"&amp;CHAR(10),""),IF(N162&gt;N161," * CCC Sexual Violence Initiated Pep "&amp;$N$20&amp;" "&amp;$N$21&amp;" is more than CCC Sexual Violence Rape Survivors"&amp;CHAR(10),""),IF(O162&gt;O161," * CCC Sexual Violence Initiated Pep "&amp;$N$20&amp;" "&amp;$O$21&amp;" is more than CCC Sexual Violence Rape Survivors"&amp;CHAR(10),""),IF(P162&gt;P161," * CCC Sexual Violence Initiated Pep "&amp;$P$20&amp;" "&amp;$P$21&amp;" is more than CCC Sexual Violence Rape Survivors"&amp;CHAR(10),""),IF(Q162&gt;Q161," * CCC Sexual Violence Initiated Pep "&amp;$P$20&amp;" "&amp;$Q$21&amp;" is more than CCC Sexual Violence Rape Survivors"&amp;CHAR(10),""),IF(R162&gt;R161," * CCC Sexual Violence Initiated Pep "&amp;$R$20&amp;" "&amp;$R$21&amp;" is more than CCC Sexual Violence Rape Survivors"&amp;CHAR(10),""),IF(S162&gt;S161," * CCC Sexual Violence Initiated Pep "&amp;$R$20&amp;" "&amp;$S$21&amp;" is more than CCC Sexual Violence Rape Survivors"&amp;CHAR(10),""),IF(T162&gt;T161," * CCC Sexual Violence Initiated Pep "&amp;$T$20&amp;" "&amp;$T$21&amp;" is more than CCC Sexual Violence Rape Survivors"&amp;CHAR(10),""),IF(U162&gt;U161," * CCC Sexual Violence Initiated Pep "&amp;$T$20&amp;" "&amp;$U$21&amp;" is more than CCC Sexual Violence Rape Survivors"&amp;CHAR(10),""),IF(V162&gt;V161," * CCC Sexual Violence Initiated Pep "&amp;$V$20&amp;" "&amp;$V$21&amp;" is more than CCC Sexual Violence Rape Survivors"&amp;CHAR(10),""),IF(W162&gt;W161," * CCC Sexual Violence Initiated Pep "&amp;$V$20&amp;" "&amp;$W$21&amp;" is more than CCC Sexual Violence Rape Survivors"&amp;CHAR(10),""),IF(X162&gt;X161," * CCC Sexual Violence Initiated Pep "&amp;$X$20&amp;" "&amp;$X$21&amp;" is more than CCC Sexual Violence Rape Survivors"&amp;CHAR(10),""),IF(Y162&gt;Y161," * CCC Sexual Violence Initiated Pep "&amp;$X$20&amp;" "&amp;$Y$21&amp;" is more than CCC Sexual Violence Rape Survivors"&amp;CHAR(10),""),IF(Z162&gt;Z161," * CCC Sexual Violence Initiated Pep "&amp;$Z$20&amp;" "&amp;$Z$21&amp;" is more than CCC Sexual Violence Rape Survivors"&amp;CHAR(10),""),IF(AA162&gt;AA161," * CCC Sexual Violence Initiated Pep "&amp;$Z$20&amp;" "&amp;$AA$21&amp;" is more than CCC Sexual Violence Rape Survivors"&amp;CHAR(10),""))</f>
        <v/>
      </c>
      <c r="AD161" s="617"/>
      <c r="AE161" s="234"/>
      <c r="AF161" s="776"/>
      <c r="AG161" s="404">
        <v>158</v>
      </c>
      <c r="AH161" s="310"/>
    </row>
    <row r="162" spans="1:34" s="207" customFormat="1" hidden="1" x14ac:dyDescent="0.5">
      <c r="A162" s="738"/>
      <c r="B162" s="336" t="s">
        <v>894</v>
      </c>
      <c r="C162" s="325" t="s">
        <v>922</v>
      </c>
      <c r="D162" s="329"/>
      <c r="E162" s="329"/>
      <c r="F162" s="329"/>
      <c r="G162" s="329"/>
      <c r="H162" s="329"/>
      <c r="I162" s="329"/>
      <c r="J162" s="329"/>
      <c r="K162" s="329"/>
      <c r="L162" s="329"/>
      <c r="M162" s="329"/>
      <c r="N162" s="329"/>
      <c r="O162" s="329"/>
      <c r="P162" s="329"/>
      <c r="Q162" s="329"/>
      <c r="R162" s="329"/>
      <c r="S162" s="329"/>
      <c r="T162" s="329"/>
      <c r="U162" s="329"/>
      <c r="V162" s="329"/>
      <c r="W162" s="329"/>
      <c r="X162" s="329"/>
      <c r="Y162" s="329"/>
      <c r="Z162" s="329"/>
      <c r="AA162" s="329"/>
      <c r="AB162" s="340">
        <f t="shared" si="26"/>
        <v>0</v>
      </c>
      <c r="AC162" s="241"/>
      <c r="AD162" s="617"/>
      <c r="AE162" s="234"/>
      <c r="AF162" s="776"/>
      <c r="AG162" s="404">
        <v>159</v>
      </c>
      <c r="AH162" s="310"/>
    </row>
    <row r="163" spans="1:34" s="207" customFormat="1" hidden="1" x14ac:dyDescent="0.5">
      <c r="A163" s="738"/>
      <c r="B163" s="336" t="s">
        <v>895</v>
      </c>
      <c r="C163" s="325" t="s">
        <v>923</v>
      </c>
      <c r="D163" s="346"/>
      <c r="E163" s="346"/>
      <c r="F163" s="346"/>
      <c r="G163" s="346"/>
      <c r="H163" s="346"/>
      <c r="I163" s="346"/>
      <c r="J163" s="346"/>
      <c r="K163" s="346"/>
      <c r="L163" s="346"/>
      <c r="M163" s="346"/>
      <c r="N163" s="346"/>
      <c r="O163" s="346"/>
      <c r="P163" s="346"/>
      <c r="Q163" s="346"/>
      <c r="R163" s="346"/>
      <c r="S163" s="346"/>
      <c r="T163" s="346"/>
      <c r="U163" s="346"/>
      <c r="V163" s="346"/>
      <c r="W163" s="346"/>
      <c r="X163" s="346"/>
      <c r="Y163" s="346"/>
      <c r="Z163" s="346"/>
      <c r="AA163" s="346"/>
      <c r="AB163" s="340">
        <f t="shared" si="26"/>
        <v>0</v>
      </c>
      <c r="AC163" s="233" t="str">
        <f>CONCATENATE(IF(D164&gt;D163," * CCC  Physical Violence Initiated Pep "&amp;$D$20&amp;" "&amp;$D$21&amp;" is more than CCC Physical Violence Rape Survivors"&amp;CHAR(10),""),IF(E164&gt;E163," * CCC  Physical Violence Initiated Pep "&amp;$D$20&amp;" "&amp;$E$21&amp;" is more than CCC Physical Violence Rape Survivors"&amp;CHAR(10),""),IF(F164&gt;F163," * CCC  Physical Violence Initiated Pep "&amp;$F$20&amp;" "&amp;$F$21&amp;" is more than CCC Physical Violence Rape Survivors"&amp;CHAR(10),""),IF(G164&gt;G163," * CCC  Physical Violence Initiated Pep "&amp;$F$20&amp;" "&amp;$G$21&amp;" is more than CCC Physical Violence Rape Survivors"&amp;CHAR(10),""),IF(H164&gt;H163," * CCC  Physical Violence Initiated Pep "&amp;$H$20&amp;" "&amp;$H$21&amp;" is more than CCC Physical Violence Rape Survivors"&amp;CHAR(10),""),IF(I164&gt;I163," * CCC  Physical Violence Initiated Pep "&amp;$H$20&amp;" "&amp;$I$21&amp;" is more than CCC Physical Violence Rape Survivors"&amp;CHAR(10),""),IF(J164&gt;J163," * CCC  Physical Violence Initiated Pep "&amp;$J$20&amp;" "&amp;$J$21&amp;" is more than CCC Physical Violence Rape Survivors"&amp;CHAR(10),""),IF(K164&gt;K163," * CCC  Physical Violence Initiated Pep "&amp;$J$20&amp;" "&amp;$K$21&amp;" is more than CCC Physical Violence Rape Survivors"&amp;CHAR(10),""),IF(L164&gt;L163," * CCC  Physical Violence Initiated Pep "&amp;$L$20&amp;" "&amp;$L$21&amp;" is more than CCC Physical Violence Rape Survivors"&amp;CHAR(10),""),IF(M164&gt;M163," * CCC  Physical Violence Initiated Pep "&amp;$L$20&amp;" "&amp;$M$21&amp;" is more than CCC Physical Violence Rape Survivors"&amp;CHAR(10),""),IF(N164&gt;N163," * CCC  Physical Violence Initiated Pep "&amp;$N$20&amp;" "&amp;$N$21&amp;" is more than CCC Physical Violence Rape Survivors"&amp;CHAR(10),""),IF(O164&gt;O163," * CCC  Physical Violence Initiated Pep "&amp;$N$20&amp;" "&amp;$O$21&amp;" is more than CCC Physical Violence Rape Survivors"&amp;CHAR(10),""),IF(P164&gt;P163," * CCC  Physical Violence Initiated Pep "&amp;$P$20&amp;" "&amp;$P$21&amp;" is more than CCC Physical Violence Rape Survivors"&amp;CHAR(10),""),IF(Q164&gt;Q163," * CCC  Physical Violence Initiated Pep "&amp;$P$20&amp;" "&amp;$Q$21&amp;" is more than CCC Physical Violence Rape Survivors"&amp;CHAR(10),""),IF(R164&gt;R163," * CCC  Physical Violence Initiated Pep "&amp;$R$20&amp;" "&amp;$R$21&amp;" is more than CCC Physical Violence Rape Survivors"&amp;CHAR(10),""),IF(S164&gt;S163," * CCC  Physical Violence Initiated Pep "&amp;$R$20&amp;" "&amp;$S$21&amp;" is more than CCC Physical Violence Rape Survivors"&amp;CHAR(10),""),IF(T164&gt;T163," * CCC  Physical Violence Initiated Pep "&amp;$T$20&amp;" "&amp;$T$21&amp;" is more than CCC Physical Violence Rape Survivors"&amp;CHAR(10),""),IF(U164&gt;U163," * CCC  Physical Violence Initiated Pep "&amp;$T$20&amp;" "&amp;$U$21&amp;" is more than CCC Physical Violence Rape Survivors"&amp;CHAR(10),""),IF(V164&gt;V163," * CCC  Physical Violence Initiated Pep "&amp;$V$20&amp;" "&amp;$V$21&amp;" is more than CCC Physical Violence Rape Survivors"&amp;CHAR(10),""),IF(W164&gt;W163," * CCC  Physical Violence Initiated Pep "&amp;$V$20&amp;" "&amp;$W$21&amp;" is more than CCC Physical Violence Rape Survivors"&amp;CHAR(10),""),IF(X164&gt;X163," * CCC  Physical Violence Initiated Pep "&amp;$X$20&amp;" "&amp;$X$21&amp;" is more than CCC Physical Violence Rape Survivors"&amp;CHAR(10),""),IF(Y164&gt;Y163," * CCC  Physical Violence Initiated Pep "&amp;$X$20&amp;" "&amp;$Y$21&amp;" is more than CCC Physical Violence Rape Survivors"&amp;CHAR(10),""),IF(Z164&gt;Z163," * CCC  Physical Violence Initiated Pep "&amp;$Z$20&amp;" "&amp;$Z$21&amp;" is more than CCC Physical Violence Rape Survivors"&amp;CHAR(10),""),IF(AA164&gt;AA163," * CCC  Physical Violence Initiated Pep "&amp;$Z$20&amp;" "&amp;$AA$21&amp;" is more than CCC Physical Violence Rape Survivors"&amp;CHAR(10),""))</f>
        <v/>
      </c>
      <c r="AD163" s="617"/>
      <c r="AE163" s="234"/>
      <c r="AF163" s="776"/>
      <c r="AG163" s="404">
        <v>160</v>
      </c>
      <c r="AH163" s="310"/>
    </row>
    <row r="164" spans="1:34" s="207" customFormat="1" hidden="1" x14ac:dyDescent="0.5">
      <c r="A164" s="738"/>
      <c r="B164" s="336" t="s">
        <v>896</v>
      </c>
      <c r="C164" s="325" t="s">
        <v>924</v>
      </c>
      <c r="D164" s="329"/>
      <c r="E164" s="329"/>
      <c r="F164" s="329"/>
      <c r="G164" s="329"/>
      <c r="H164" s="329"/>
      <c r="I164" s="329"/>
      <c r="J164" s="329"/>
      <c r="K164" s="329"/>
      <c r="L164" s="329"/>
      <c r="M164" s="329"/>
      <c r="N164" s="329"/>
      <c r="O164" s="329"/>
      <c r="P164" s="329"/>
      <c r="Q164" s="329"/>
      <c r="R164" s="329"/>
      <c r="S164" s="329"/>
      <c r="T164" s="329"/>
      <c r="U164" s="329"/>
      <c r="V164" s="329"/>
      <c r="W164" s="329"/>
      <c r="X164" s="329"/>
      <c r="Y164" s="329"/>
      <c r="Z164" s="329"/>
      <c r="AA164" s="329"/>
      <c r="AB164" s="340">
        <f t="shared" si="26"/>
        <v>0</v>
      </c>
      <c r="AC164" s="241"/>
      <c r="AD164" s="617"/>
      <c r="AE164" s="234"/>
      <c r="AF164" s="776"/>
      <c r="AG164" s="404">
        <v>161</v>
      </c>
      <c r="AH164" s="310"/>
    </row>
    <row r="165" spans="1:34" s="207" customFormat="1" hidden="1" x14ac:dyDescent="0.5">
      <c r="A165" s="738"/>
      <c r="B165" s="336" t="s">
        <v>897</v>
      </c>
      <c r="C165" s="325" t="s">
        <v>925</v>
      </c>
      <c r="D165" s="330"/>
      <c r="E165" s="329"/>
      <c r="F165" s="329"/>
      <c r="G165" s="329"/>
      <c r="H165" s="329"/>
      <c r="I165" s="329"/>
      <c r="J165" s="329"/>
      <c r="K165" s="329"/>
      <c r="L165" s="329"/>
      <c r="M165" s="329"/>
      <c r="N165" s="329"/>
      <c r="O165" s="329"/>
      <c r="P165" s="329"/>
      <c r="Q165" s="329"/>
      <c r="R165" s="329"/>
      <c r="S165" s="329"/>
      <c r="T165" s="329"/>
      <c r="U165" s="329"/>
      <c r="V165" s="329"/>
      <c r="W165" s="329"/>
      <c r="X165" s="329"/>
      <c r="Y165" s="329"/>
      <c r="Z165" s="329"/>
      <c r="AA165" s="338"/>
      <c r="AB165" s="340">
        <f t="shared" si="26"/>
        <v>0</v>
      </c>
      <c r="AC165" s="241"/>
      <c r="AD165" s="617"/>
      <c r="AE165" s="234"/>
      <c r="AF165" s="776"/>
      <c r="AG165" s="404">
        <v>162</v>
      </c>
      <c r="AH165" s="310"/>
    </row>
    <row r="166" spans="1:34" s="207" customFormat="1" ht="31.5" hidden="1" thickBot="1" x14ac:dyDescent="0.55000000000000004">
      <c r="A166" s="739"/>
      <c r="B166" s="337" t="s">
        <v>932</v>
      </c>
      <c r="C166" s="333" t="s">
        <v>926</v>
      </c>
      <c r="D166" s="331"/>
      <c r="E166" s="332"/>
      <c r="F166" s="332"/>
      <c r="G166" s="332"/>
      <c r="H166" s="332"/>
      <c r="I166" s="332"/>
      <c r="J166" s="332"/>
      <c r="K166" s="332"/>
      <c r="L166" s="332"/>
      <c r="M166" s="332"/>
      <c r="N166" s="332"/>
      <c r="O166" s="332"/>
      <c r="P166" s="332"/>
      <c r="Q166" s="332"/>
      <c r="R166" s="332"/>
      <c r="S166" s="332"/>
      <c r="T166" s="332"/>
      <c r="U166" s="332"/>
      <c r="V166" s="332"/>
      <c r="W166" s="332"/>
      <c r="X166" s="332"/>
      <c r="Y166" s="332"/>
      <c r="Z166" s="332"/>
      <c r="AA166" s="339"/>
      <c r="AB166" s="340">
        <f t="shared" si="26"/>
        <v>0</v>
      </c>
      <c r="AC166" s="241"/>
      <c r="AD166" s="618"/>
      <c r="AE166" s="242"/>
      <c r="AF166" s="776"/>
      <c r="AG166" s="404">
        <v>163</v>
      </c>
      <c r="AH166" s="310"/>
    </row>
    <row r="167" spans="1:34" s="207" customFormat="1" hidden="1" x14ac:dyDescent="0.5">
      <c r="A167" s="737" t="s">
        <v>900</v>
      </c>
      <c r="B167" s="335" t="s">
        <v>946</v>
      </c>
      <c r="C167" s="316" t="s">
        <v>927</v>
      </c>
      <c r="D167" s="348">
        <f>D15</f>
        <v>0</v>
      </c>
      <c r="E167" s="348">
        <f t="shared" ref="E167:AA167" si="73">E15</f>
        <v>0</v>
      </c>
      <c r="F167" s="348">
        <f t="shared" si="73"/>
        <v>0</v>
      </c>
      <c r="G167" s="348">
        <f t="shared" si="73"/>
        <v>0</v>
      </c>
      <c r="H167" s="348">
        <f t="shared" si="73"/>
        <v>0</v>
      </c>
      <c r="I167" s="348">
        <f t="shared" si="73"/>
        <v>0</v>
      </c>
      <c r="J167" s="348">
        <f t="shared" si="73"/>
        <v>0</v>
      </c>
      <c r="K167" s="348">
        <f t="shared" si="73"/>
        <v>0</v>
      </c>
      <c r="L167" s="348">
        <f t="shared" si="73"/>
        <v>0</v>
      </c>
      <c r="M167" s="348">
        <f t="shared" si="73"/>
        <v>0</v>
      </c>
      <c r="N167" s="348">
        <f t="shared" si="73"/>
        <v>0</v>
      </c>
      <c r="O167" s="348">
        <f t="shared" si="73"/>
        <v>0</v>
      </c>
      <c r="P167" s="348">
        <f t="shared" si="73"/>
        <v>0</v>
      </c>
      <c r="Q167" s="348">
        <f t="shared" si="73"/>
        <v>0</v>
      </c>
      <c r="R167" s="348">
        <f t="shared" si="73"/>
        <v>0</v>
      </c>
      <c r="S167" s="348">
        <f t="shared" si="73"/>
        <v>0</v>
      </c>
      <c r="T167" s="348">
        <f t="shared" si="73"/>
        <v>0</v>
      </c>
      <c r="U167" s="348">
        <f t="shared" si="73"/>
        <v>0</v>
      </c>
      <c r="V167" s="348">
        <f t="shared" si="73"/>
        <v>0</v>
      </c>
      <c r="W167" s="348">
        <f t="shared" si="73"/>
        <v>0</v>
      </c>
      <c r="X167" s="348">
        <f t="shared" si="73"/>
        <v>0</v>
      </c>
      <c r="Y167" s="348">
        <f t="shared" si="73"/>
        <v>0</v>
      </c>
      <c r="Z167" s="348">
        <f t="shared" si="73"/>
        <v>0</v>
      </c>
      <c r="AA167" s="348">
        <f t="shared" si="73"/>
        <v>0</v>
      </c>
      <c r="AB167" s="340">
        <f t="shared" si="26"/>
        <v>0</v>
      </c>
      <c r="AC167" s="233" t="str">
        <f>CONCATENATE(IF(D168&gt;D167," * No Screened for GBV "&amp;$D$20&amp;" "&amp;$D$21&amp;" is more than Clients Seen at MCH"&amp;CHAR(10),""),IF(E168&gt;E167," * No Screened For GBV "&amp;$D$20&amp;" "&amp;$E$21&amp;" is more than Clients Seen at MCH"&amp;CHAR(10),""),IF(F168&gt;F167," * No Screened For GBV "&amp;$F$20&amp;" "&amp;$F$21&amp;" is more than Clients Seen at MCH"&amp;CHAR(10),""),IF(G168&gt;G167," * No Screened For GBV "&amp;$F$20&amp;" "&amp;$G$21&amp;" is more than Clients Seen at MCH"&amp;CHAR(10),""),IF(H168&gt;H167," * No Screened For GBV "&amp;$H$20&amp;" "&amp;$H$21&amp;" is more than Clients Seen at MCH"&amp;CHAR(10),""),IF(I168&gt;I167," * No Screened For GBV "&amp;$H$20&amp;" "&amp;$I$21&amp;" is more than Clients Seen at MCH"&amp;CHAR(10),""),IF(J168&gt;J167," * No Screened For GBV "&amp;$J$20&amp;" "&amp;$J$21&amp;" is more than Clients Seen at MCH"&amp;CHAR(10),""),IF(K168&gt;K167," * No Screened For GBV "&amp;$J$20&amp;" "&amp;$K$21&amp;" is more than Clients Seen at MCH"&amp;CHAR(10),""),IF(L168&gt;L167," * No Screened For GBV "&amp;$L$20&amp;" "&amp;$L$21&amp;" is more than Clients Seen at MCH"&amp;CHAR(10),""),IF(M168&gt;M167," * No Screened For GBV "&amp;$L$20&amp;" "&amp;$M$21&amp;" is more than Clients Seen at MCH"&amp;CHAR(10),""),IF(N168&gt;N167," * No Screened For GBV "&amp;$N$20&amp;" "&amp;$N$21&amp;" is more than Clients Seen at MCH"&amp;CHAR(10),""),IF(O168&gt;O167," * No Screened For GBV "&amp;$N$20&amp;" "&amp;$O$21&amp;" is more than Clients Seen at MCH"&amp;CHAR(10),""),IF(P168&gt;P167," * No Screened For GBV "&amp;$P$20&amp;" "&amp;$P$21&amp;" is more than Clients Seen at MCH"&amp;CHAR(10),""),IF(Q168&gt;Q167," * No Screened For GBV "&amp;$P$20&amp;" "&amp;$Q$21&amp;" is more than Clients Seen at MCH"&amp;CHAR(10),""),IF(R168&gt;R167," * No Screened For GBV "&amp;$R$20&amp;" "&amp;$R$21&amp;" is more than Clients Seen at MCH"&amp;CHAR(10),""),IF(S168&gt;S167," * No Screened For GBV "&amp;$R$20&amp;" "&amp;$S$21&amp;" is more than Clients Seen at MCH"&amp;CHAR(10),""),IF(T168&gt;T167," * No Screened For GBV "&amp;$T$20&amp;" "&amp;$T$21&amp;" is more than Clients Seen at MCH"&amp;CHAR(10),""),IF(U168&gt;U167," * No Screened For GBV "&amp;$T$20&amp;" "&amp;$U$21&amp;" is more than Clients Seen at MCH"&amp;CHAR(10),""),IF(V168&gt;V167," * No Screened For GBV "&amp;$V$20&amp;" "&amp;$V$21&amp;" is more than Clients Seen at MCH"&amp;CHAR(10),""),IF(W168&gt;W167," * No Screened For GBV "&amp;$V$20&amp;" "&amp;$W$21&amp;" is more than Clients Seen at MCH"&amp;CHAR(10),""),IF(X168&gt;X167," * No Screened For GBV "&amp;$X$20&amp;" "&amp;$X$21&amp;" is more than Clients Seen at MCH"&amp;CHAR(10),""),IF(Y168&gt;Y167," * No Screened For GBV "&amp;$X$20&amp;" "&amp;$Y$21&amp;" is more than Clients Seen at MCH"&amp;CHAR(10),""),IF(Z168&gt;Z167," * No Screened For GBV "&amp;$Z$20&amp;" "&amp;$Z$21&amp;" is more than Clients Seen at MCH"&amp;CHAR(10),""),IF(AA168&gt;AA167," * No Screened For GBV "&amp;$Z$20&amp;" "&amp;$AA$21&amp;" is more than Clients Seen at MCH"&amp;CHAR(10),""))</f>
        <v/>
      </c>
      <c r="AD167" s="616" t="str">
        <f>CONCATENATE(AC167,AC168,AC169,AC170,AC171,AC172,AC173,AC174,AC175)</f>
        <v/>
      </c>
      <c r="AE167" s="242"/>
      <c r="AF167" s="776"/>
      <c r="AG167" s="404">
        <v>164</v>
      </c>
      <c r="AH167" s="310"/>
    </row>
    <row r="168" spans="1:34" s="207" customFormat="1" hidden="1" x14ac:dyDescent="0.5">
      <c r="A168" s="738"/>
      <c r="B168" s="336" t="s">
        <v>940</v>
      </c>
      <c r="C168" s="325" t="s">
        <v>928</v>
      </c>
      <c r="D168" s="327"/>
      <c r="E168" s="327"/>
      <c r="F168" s="327"/>
      <c r="G168" s="327"/>
      <c r="H168" s="327"/>
      <c r="I168" s="327"/>
      <c r="J168" s="327"/>
      <c r="K168" s="327"/>
      <c r="L168" s="327"/>
      <c r="M168" s="327"/>
      <c r="N168" s="327"/>
      <c r="O168" s="327"/>
      <c r="P168" s="327"/>
      <c r="Q168" s="327"/>
      <c r="R168" s="327"/>
      <c r="S168" s="327"/>
      <c r="T168" s="327"/>
      <c r="U168" s="327"/>
      <c r="V168" s="327"/>
      <c r="W168" s="327"/>
      <c r="X168" s="327"/>
      <c r="Y168" s="327"/>
      <c r="Z168" s="327"/>
      <c r="AA168" s="327"/>
      <c r="AB168" s="340">
        <f t="shared" si="26"/>
        <v>0</v>
      </c>
      <c r="AC168" s="241"/>
      <c r="AD168" s="617"/>
      <c r="AE168" s="234"/>
      <c r="AF168" s="776"/>
      <c r="AG168" s="404">
        <v>165</v>
      </c>
      <c r="AH168" s="310"/>
    </row>
    <row r="169" spans="1:34" s="207" customFormat="1" ht="32.25" hidden="1" x14ac:dyDescent="0.5">
      <c r="A169" s="738"/>
      <c r="B169" s="341" t="s">
        <v>949</v>
      </c>
      <c r="C169" s="325" t="s">
        <v>929</v>
      </c>
      <c r="D169" s="347">
        <f>D170+D172+D174+D175</f>
        <v>0</v>
      </c>
      <c r="E169" s="347">
        <f t="shared" ref="E169" si="74">E170+E172+E174+E175</f>
        <v>0</v>
      </c>
      <c r="F169" s="347">
        <f t="shared" ref="F169" si="75">F170+F172+F174+F175</f>
        <v>0</v>
      </c>
      <c r="G169" s="347">
        <f t="shared" ref="G169" si="76">G170+G172+G174+G175</f>
        <v>0</v>
      </c>
      <c r="H169" s="347">
        <f t="shared" ref="H169" si="77">H170+H172+H174+H175</f>
        <v>0</v>
      </c>
      <c r="I169" s="347">
        <f t="shared" ref="I169" si="78">I170+I172+I174+I175</f>
        <v>0</v>
      </c>
      <c r="J169" s="347">
        <f t="shared" ref="J169" si="79">J170+J172+J174+J175</f>
        <v>0</v>
      </c>
      <c r="K169" s="347">
        <f t="shared" ref="K169" si="80">K170+K172+K174+K175</f>
        <v>0</v>
      </c>
      <c r="L169" s="347">
        <f t="shared" ref="L169" si="81">L170+L172+L174+L175</f>
        <v>0</v>
      </c>
      <c r="M169" s="347">
        <f t="shared" ref="M169" si="82">M170+M172+M174+M175</f>
        <v>0</v>
      </c>
      <c r="N169" s="347">
        <f t="shared" ref="N169" si="83">N170+N172+N174+N175</f>
        <v>0</v>
      </c>
      <c r="O169" s="347">
        <f t="shared" ref="O169" si="84">O170+O172+O174+O175</f>
        <v>0</v>
      </c>
      <c r="P169" s="347">
        <f t="shared" ref="P169" si="85">P170+P172+P174+P175</f>
        <v>0</v>
      </c>
      <c r="Q169" s="347">
        <f t="shared" ref="Q169" si="86">Q170+Q172+Q174+Q175</f>
        <v>0</v>
      </c>
      <c r="R169" s="347">
        <f t="shared" ref="R169" si="87">R170+R172+R174+R175</f>
        <v>0</v>
      </c>
      <c r="S169" s="347">
        <f t="shared" ref="S169" si="88">S170+S172+S174+S175</f>
        <v>0</v>
      </c>
      <c r="T169" s="347">
        <f t="shared" ref="T169" si="89">T170+T172+T174+T175</f>
        <v>0</v>
      </c>
      <c r="U169" s="347">
        <f t="shared" ref="U169" si="90">U170+U172+U174+U175</f>
        <v>0</v>
      </c>
      <c r="V169" s="347">
        <f t="shared" ref="V169" si="91">V170+V172+V174+V175</f>
        <v>0</v>
      </c>
      <c r="W169" s="347">
        <f t="shared" ref="W169" si="92">W170+W172+W174+W175</f>
        <v>0</v>
      </c>
      <c r="X169" s="347">
        <f t="shared" ref="X169" si="93">X170+X172+X174+X175</f>
        <v>0</v>
      </c>
      <c r="Y169" s="347">
        <f t="shared" ref="Y169" si="94">Y170+Y172+Y174+Y175</f>
        <v>0</v>
      </c>
      <c r="Z169" s="347">
        <f t="shared" ref="Z169" si="95">Z170+Z172+Z174+Z175</f>
        <v>0</v>
      </c>
      <c r="AA169" s="347">
        <f t="shared" ref="AA169" si="96">AA170+AA172+AA174+AA175</f>
        <v>0</v>
      </c>
      <c r="AB169" s="340">
        <f t="shared" si="26"/>
        <v>0</v>
      </c>
      <c r="AC169" s="241"/>
      <c r="AD169" s="617"/>
      <c r="AE169" s="234"/>
      <c r="AF169" s="776"/>
      <c r="AG169" s="404">
        <v>166</v>
      </c>
      <c r="AH169" s="310"/>
    </row>
    <row r="170" spans="1:34" s="207" customFormat="1" hidden="1" x14ac:dyDescent="0.5">
      <c r="A170" s="738"/>
      <c r="B170" s="336" t="s">
        <v>893</v>
      </c>
      <c r="C170" s="325" t="s">
        <v>930</v>
      </c>
      <c r="D170" s="346"/>
      <c r="E170" s="346"/>
      <c r="F170" s="346"/>
      <c r="G170" s="346"/>
      <c r="H170" s="346"/>
      <c r="I170" s="346"/>
      <c r="J170" s="346"/>
      <c r="K170" s="346"/>
      <c r="L170" s="346"/>
      <c r="M170" s="346"/>
      <c r="N170" s="346"/>
      <c r="O170" s="346"/>
      <c r="P170" s="346"/>
      <c r="Q170" s="346"/>
      <c r="R170" s="346"/>
      <c r="S170" s="346"/>
      <c r="T170" s="346"/>
      <c r="U170" s="346"/>
      <c r="V170" s="346"/>
      <c r="W170" s="346"/>
      <c r="X170" s="346"/>
      <c r="Y170" s="346"/>
      <c r="Z170" s="346"/>
      <c r="AA170" s="346"/>
      <c r="AB170" s="340">
        <f t="shared" si="26"/>
        <v>0</v>
      </c>
      <c r="AC170" s="233" t="str">
        <f>CONCATENATE(IF(D171&gt;D170," * OPD Sexual Violence Initiated Pep "&amp;$D$20&amp;" "&amp;$D$21&amp;" is more than OPD Sexual Violence Rape Survivors"&amp;CHAR(10),""),IF(E171&gt;E170," * OPD Sexual Violence Initiated Pep "&amp;$D$20&amp;" "&amp;$E$21&amp;" is more than OPD Sexual Violence Rape Survivors"&amp;CHAR(10),""),IF(F171&gt;F170," * OPD Sexual Violence Initiated Pep "&amp;$F$20&amp;" "&amp;$F$21&amp;" is more than OPD Sexual Violence Rape Survivors"&amp;CHAR(10),""),IF(G171&gt;G170," * OPD Sexual Violence Initiated Pep "&amp;$F$20&amp;" "&amp;$G$21&amp;" is more than OPD Sexual Violence Rape Survivors"&amp;CHAR(10),""),IF(H171&gt;H170," * OPD Sexual Violence Initiated Pep "&amp;$H$20&amp;" "&amp;$H$21&amp;" is more than OPD Sexual Violence Rape Survivors"&amp;CHAR(10),""),IF(I171&gt;I170," * OPD Sexual Violence Initiated Pep "&amp;$H$20&amp;" "&amp;$I$21&amp;" is more than OPD Sexual Violence Rape Survivors"&amp;CHAR(10),""),IF(J171&gt;J170," * OPD Sexual Violence Initiated Pep "&amp;$J$20&amp;" "&amp;$J$21&amp;" is more than OPD Sexual Violence Rape Survivors"&amp;CHAR(10),""),IF(K171&gt;K170," * OPD Sexual Violence Initiated Pep "&amp;$J$20&amp;" "&amp;$K$21&amp;" is more than OPD Sexual Violence Rape Survivors"&amp;CHAR(10),""),IF(L171&gt;L170," * OPD Sexual Violence Initiated Pep "&amp;$L$20&amp;" "&amp;$L$21&amp;" is more than OPD Sexual Violence Rape Survivors"&amp;CHAR(10),""),IF(M171&gt;M170," * OPD Sexual Violence Initiated Pep "&amp;$L$20&amp;" "&amp;$M$21&amp;" is more than OPD Sexual Violence Rape Survivors"&amp;CHAR(10),""),IF(N171&gt;N170," * OPD Sexual Violence Initiated Pep "&amp;$N$20&amp;" "&amp;$N$21&amp;" is more than OPD Sexual Violence Rape Survivors"&amp;CHAR(10),""),IF(O171&gt;O170," * OPD Sexual Violence Initiated Pep "&amp;$N$20&amp;" "&amp;$O$21&amp;" is more than OPD Sexual Violence Rape Survivors"&amp;CHAR(10),""),IF(P171&gt;P170," * OPD Sexual Violence Initiated Pep "&amp;$P$20&amp;" "&amp;$P$21&amp;" is more than OPD Sexual Violence Rape Survivors"&amp;CHAR(10),""),IF(Q171&gt;Q170," * OPD Sexual Violence Initiated Pep "&amp;$P$20&amp;" "&amp;$Q$21&amp;" is more than OPD Sexual Violence Rape Survivors"&amp;CHAR(10),""),IF(R171&gt;R170," * OPD Sexual Violence Initiated Pep "&amp;$R$20&amp;" "&amp;$R$21&amp;" is more than OPD Sexual Violence Rape Survivors"&amp;CHAR(10),""),IF(S171&gt;S170," * OPD Sexual Violence Initiated Pep "&amp;$R$20&amp;" "&amp;$S$21&amp;" is more than OPD Sexual Violence Rape Survivors"&amp;CHAR(10),""),IF(T171&gt;T170," * OPD Sexual Violence Initiated Pep "&amp;$T$20&amp;" "&amp;$T$21&amp;" is more than OPD Sexual Violence Rape Survivors"&amp;CHAR(10),""),IF(U171&gt;U170," * OPD Sexual Violence Initiated Pep "&amp;$T$20&amp;" "&amp;$U$21&amp;" is more than OPD Sexual Violence Rape Survivors"&amp;CHAR(10),""),IF(V171&gt;V170," * OPD Sexual Violence Initiated Pep "&amp;$V$20&amp;" "&amp;$V$21&amp;" is more than OPD Sexual Violence Rape Survivors"&amp;CHAR(10),""),IF(W171&gt;W170," * OPD Sexual Violence Initiated Pep "&amp;$V$20&amp;" "&amp;$W$21&amp;" is more than OPD Sexual Violence Rape Survivors"&amp;CHAR(10),""),IF(X171&gt;X170," * OPD Sexual Violence Initiated Pep "&amp;$X$20&amp;" "&amp;$X$21&amp;" is more than OPD Sexual Violence Rape Survivors"&amp;CHAR(10),""),IF(Y171&gt;Y170," * OPD Sexual Violence Initiated Pep "&amp;$X$20&amp;" "&amp;$Y$21&amp;" is more than OPD Sexual Violence Rape Survivors"&amp;CHAR(10),""),IF(Z171&gt;Z170," * OPD Sexual Violence Initiated Pep "&amp;$Z$20&amp;" "&amp;$Z$21&amp;" is more than OPD Sexual Violence Rape Survivors"&amp;CHAR(10),""),IF(AA171&gt;AA170," * OPD Sexual Violence Initiated Pep "&amp;$Z$20&amp;" "&amp;$AA$21&amp;" is more than OPD Sexual Violence Rape Survivors"&amp;CHAR(10),""))</f>
        <v/>
      </c>
      <c r="AD170" s="617"/>
      <c r="AE170" s="234"/>
      <c r="AF170" s="776"/>
      <c r="AG170" s="404">
        <v>167</v>
      </c>
      <c r="AH170" s="310"/>
    </row>
    <row r="171" spans="1:34" s="207" customFormat="1" hidden="1" x14ac:dyDescent="0.5">
      <c r="A171" s="738"/>
      <c r="B171" s="336" t="s">
        <v>894</v>
      </c>
      <c r="C171" s="325" t="s">
        <v>931</v>
      </c>
      <c r="D171" s="329"/>
      <c r="E171" s="329"/>
      <c r="F171" s="329"/>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40">
        <f t="shared" si="26"/>
        <v>0</v>
      </c>
      <c r="AC171" s="241"/>
      <c r="AD171" s="617"/>
      <c r="AE171" s="234"/>
      <c r="AF171" s="776"/>
      <c r="AG171" s="404">
        <v>168</v>
      </c>
      <c r="AH171" s="310"/>
    </row>
    <row r="172" spans="1:34" s="207" customFormat="1" hidden="1" x14ac:dyDescent="0.5">
      <c r="A172" s="738"/>
      <c r="B172" s="336" t="s">
        <v>895</v>
      </c>
      <c r="C172" s="325" t="s">
        <v>933</v>
      </c>
      <c r="D172" s="346"/>
      <c r="E172" s="346"/>
      <c r="F172" s="346"/>
      <c r="G172" s="346"/>
      <c r="H172" s="346"/>
      <c r="I172" s="346"/>
      <c r="J172" s="346"/>
      <c r="K172" s="346"/>
      <c r="L172" s="346"/>
      <c r="M172" s="346"/>
      <c r="N172" s="346"/>
      <c r="O172" s="346"/>
      <c r="P172" s="346"/>
      <c r="Q172" s="346"/>
      <c r="R172" s="346"/>
      <c r="S172" s="346"/>
      <c r="T172" s="346"/>
      <c r="U172" s="346"/>
      <c r="V172" s="346"/>
      <c r="W172" s="346"/>
      <c r="X172" s="346"/>
      <c r="Y172" s="346"/>
      <c r="Z172" s="346"/>
      <c r="AA172" s="346"/>
      <c r="AB172" s="340">
        <f t="shared" si="26"/>
        <v>0</v>
      </c>
      <c r="AC172" s="233" t="str">
        <f>CONCATENATE(IF(D173&gt;D172," * MCH  Physical Violence Initiated Pep "&amp;$D$20&amp;" "&amp;$D$21&amp;" is more than MCH Physical Violence Rape Survivors"&amp;CHAR(10),""),IF(E173&gt;E172," * MCH  Physical Violence Initiated Pep "&amp;$D$20&amp;" "&amp;$E$21&amp;" is more than MCH Physical Violence Rape Survivors"&amp;CHAR(10),""),IF(F173&gt;F172," * MCH  Physical Violence Initiated Pep "&amp;$F$20&amp;" "&amp;$F$21&amp;" is more than MCH Physical Violence Rape Survivors"&amp;CHAR(10),""),IF(G173&gt;G172," * MCH  Physical Violence Initiated Pep "&amp;$F$20&amp;" "&amp;$G$21&amp;" is more than MCH Physical Violence Rape Survivors"&amp;CHAR(10),""),IF(H173&gt;H172," * MCH  Physical Violence Initiated Pep "&amp;$H$20&amp;" "&amp;$H$21&amp;" is more than MCH Physical Violence Rape Survivors"&amp;CHAR(10),""),IF(I173&gt;I172," * MCH  Physical Violence Initiated Pep "&amp;$H$20&amp;" "&amp;$I$21&amp;" is more than MCH Physical Violence Rape Survivors"&amp;CHAR(10),""),IF(J173&gt;J172," * MCH  Physical Violence Initiated Pep "&amp;$J$20&amp;" "&amp;$J$21&amp;" is more than MCH Physical Violence Rape Survivors"&amp;CHAR(10),""),IF(K173&gt;K172," * MCH  Physical Violence Initiated Pep "&amp;$J$20&amp;" "&amp;$K$21&amp;" is more than MCH Physical Violence Rape Survivors"&amp;CHAR(10),""),IF(L173&gt;L172," * MCH  Physical Violence Initiated Pep "&amp;$L$20&amp;" "&amp;$L$21&amp;" is more than MCH Physical Violence Rape Survivors"&amp;CHAR(10),""),IF(M173&gt;M172," * MCH  Physical Violence Initiated Pep "&amp;$L$20&amp;" "&amp;$M$21&amp;" is more than MCH Physical Violence Rape Survivors"&amp;CHAR(10),""),IF(N173&gt;N172," * MCH  Physical Violence Initiated Pep "&amp;$N$20&amp;" "&amp;$N$21&amp;" is more than MCH Physical Violence Rape Survivors"&amp;CHAR(10),""),IF(O173&gt;O172," * MCH  Physical Violence Initiated Pep "&amp;$N$20&amp;" "&amp;$O$21&amp;" is more than MCH Physical Violence Rape Survivors"&amp;CHAR(10),""),IF(P173&gt;P172," * MCH  Physical Violence Initiated Pep "&amp;$P$20&amp;" "&amp;$P$21&amp;" is more than MCH Physical Violence Rape Survivors"&amp;CHAR(10),""),IF(Q173&gt;Q172," * MCH  Physical Violence Initiated Pep "&amp;$P$20&amp;" "&amp;$Q$21&amp;" is more than MCH Physical Violence Rape Survivors"&amp;CHAR(10),""),IF(R173&gt;R172," * MCH  Physical Violence Initiated Pep "&amp;$R$20&amp;" "&amp;$R$21&amp;" is more than MCH Physical Violence Rape Survivors"&amp;CHAR(10),""),IF(S173&gt;S172," * MCH  Physical Violence Initiated Pep "&amp;$R$20&amp;" "&amp;$S$21&amp;" is more than MCH Physical Violence Rape Survivors"&amp;CHAR(10),""),IF(T173&gt;T172," * MCH  Physical Violence Initiated Pep "&amp;$T$20&amp;" "&amp;$T$21&amp;" is more than MCH Physical Violence Rape Survivors"&amp;CHAR(10),""),IF(U173&gt;U172," * MCH  Physical Violence Initiated Pep "&amp;$T$20&amp;" "&amp;$U$21&amp;" is more than MCH Physical Violence Rape Survivors"&amp;CHAR(10),""),IF(V173&gt;V172," * MCH  Physical Violence Initiated Pep "&amp;$V$20&amp;" "&amp;$V$21&amp;" is more than MCH Physical Violence Rape Survivors"&amp;CHAR(10),""),IF(W173&gt;W172," * MCH  Physical Violence Initiated Pep "&amp;$V$20&amp;" "&amp;$W$21&amp;" is more than MCH Physical Violence Rape Survivors"&amp;CHAR(10),""),IF(X173&gt;X172," * MCH  Physical Violence Initiated Pep "&amp;$X$20&amp;" "&amp;$X$21&amp;" is more than MCH Physical Violence Rape Survivors"&amp;CHAR(10),""),IF(Y173&gt;Y172," * MCH  Physical Violence Initiated Pep "&amp;$X$20&amp;" "&amp;$Y$21&amp;" is more than MCH Physical Violence Rape Survivors"&amp;CHAR(10),""),IF(Z173&gt;Z172," * MCH  Physical Violence Initiated Pep "&amp;$Z$20&amp;" "&amp;$Z$21&amp;" is more than MCH Physical Violence Rape Survivors"&amp;CHAR(10),""),IF(AA173&gt;AA172," * MCH  Physical Violence Initiated Pep "&amp;$Z$20&amp;" "&amp;$AA$21&amp;" is more than MCH Physical Violence Rape Survivors"&amp;CHAR(10),""))</f>
        <v/>
      </c>
      <c r="AD172" s="617"/>
      <c r="AE172" s="234"/>
      <c r="AF172" s="776"/>
      <c r="AG172" s="404">
        <v>169</v>
      </c>
      <c r="AH172" s="310"/>
    </row>
    <row r="173" spans="1:34" s="207" customFormat="1" hidden="1" x14ac:dyDescent="0.5">
      <c r="A173" s="738"/>
      <c r="B173" s="336" t="s">
        <v>896</v>
      </c>
      <c r="C173" s="325" t="s">
        <v>934</v>
      </c>
      <c r="D173" s="329"/>
      <c r="E173" s="329"/>
      <c r="F173" s="329"/>
      <c r="G173" s="329"/>
      <c r="H173" s="329"/>
      <c r="I173" s="329"/>
      <c r="J173" s="329"/>
      <c r="K173" s="329"/>
      <c r="L173" s="329"/>
      <c r="M173" s="329"/>
      <c r="N173" s="329"/>
      <c r="O173" s="329"/>
      <c r="P173" s="329"/>
      <c r="Q173" s="329"/>
      <c r="R173" s="329"/>
      <c r="S173" s="329"/>
      <c r="T173" s="329"/>
      <c r="U173" s="329"/>
      <c r="V173" s="329"/>
      <c r="W173" s="329"/>
      <c r="X173" s="329"/>
      <c r="Y173" s="329"/>
      <c r="Z173" s="329"/>
      <c r="AA173" s="329"/>
      <c r="AB173" s="340">
        <f t="shared" si="26"/>
        <v>0</v>
      </c>
      <c r="AC173" s="241"/>
      <c r="AD173" s="617"/>
      <c r="AE173" s="234"/>
      <c r="AF173" s="776"/>
      <c r="AG173" s="404">
        <v>170</v>
      </c>
      <c r="AH173" s="310"/>
    </row>
    <row r="174" spans="1:34" s="207" customFormat="1" hidden="1" x14ac:dyDescent="0.5">
      <c r="A174" s="738"/>
      <c r="B174" s="336" t="s">
        <v>897</v>
      </c>
      <c r="C174" s="325" t="s">
        <v>935</v>
      </c>
      <c r="D174" s="330"/>
      <c r="E174" s="329"/>
      <c r="F174" s="329"/>
      <c r="G174" s="329"/>
      <c r="H174" s="329"/>
      <c r="I174" s="329"/>
      <c r="J174" s="329"/>
      <c r="K174" s="329"/>
      <c r="L174" s="329"/>
      <c r="M174" s="329"/>
      <c r="N174" s="329"/>
      <c r="O174" s="329"/>
      <c r="P174" s="329"/>
      <c r="Q174" s="329"/>
      <c r="R174" s="329"/>
      <c r="S174" s="329"/>
      <c r="T174" s="329"/>
      <c r="U174" s="329"/>
      <c r="V174" s="329"/>
      <c r="W174" s="329"/>
      <c r="X174" s="329"/>
      <c r="Y174" s="329"/>
      <c r="Z174" s="329"/>
      <c r="AA174" s="338"/>
      <c r="AB174" s="340">
        <f t="shared" si="26"/>
        <v>0</v>
      </c>
      <c r="AC174" s="241"/>
      <c r="AD174" s="617"/>
      <c r="AE174" s="234"/>
      <c r="AF174" s="776"/>
      <c r="AG174" s="404">
        <v>171</v>
      </c>
      <c r="AH174" s="310"/>
    </row>
    <row r="175" spans="1:34" s="207" customFormat="1" ht="31.5" hidden="1" thickBot="1" x14ac:dyDescent="0.55000000000000004">
      <c r="A175" s="739"/>
      <c r="B175" s="344" t="s">
        <v>932</v>
      </c>
      <c r="C175" s="325" t="s">
        <v>936</v>
      </c>
      <c r="D175" s="331"/>
      <c r="E175" s="332"/>
      <c r="F175" s="332"/>
      <c r="G175" s="332"/>
      <c r="H175" s="332"/>
      <c r="I175" s="332"/>
      <c r="J175" s="332"/>
      <c r="K175" s="332"/>
      <c r="L175" s="332"/>
      <c r="M175" s="332"/>
      <c r="N175" s="332"/>
      <c r="O175" s="332"/>
      <c r="P175" s="332"/>
      <c r="Q175" s="332"/>
      <c r="R175" s="332"/>
      <c r="S175" s="332"/>
      <c r="T175" s="332"/>
      <c r="U175" s="332"/>
      <c r="V175" s="332"/>
      <c r="W175" s="332"/>
      <c r="X175" s="332"/>
      <c r="Y175" s="332"/>
      <c r="Z175" s="332"/>
      <c r="AA175" s="339"/>
      <c r="AB175" s="203">
        <f t="shared" si="26"/>
        <v>0</v>
      </c>
      <c r="AC175" s="241"/>
      <c r="AD175" s="618"/>
      <c r="AE175" s="234"/>
      <c r="AF175" s="776"/>
      <c r="AG175" s="404">
        <v>172</v>
      </c>
      <c r="AH175" s="310"/>
    </row>
    <row r="176" spans="1:34" ht="32.25" x14ac:dyDescent="0.5">
      <c r="A176" s="692" t="s">
        <v>1043</v>
      </c>
      <c r="B176" s="477" t="s">
        <v>1042</v>
      </c>
      <c r="C176" s="263" t="s">
        <v>186</v>
      </c>
      <c r="D176" s="452"/>
      <c r="E176" s="453"/>
      <c r="F176" s="453"/>
      <c r="G176" s="453"/>
      <c r="H176" s="453"/>
      <c r="I176" s="453"/>
      <c r="J176" s="453"/>
      <c r="K176" s="453"/>
      <c r="L176" s="453"/>
      <c r="M176" s="453"/>
      <c r="N176" s="453"/>
      <c r="O176" s="453">
        <v>0</v>
      </c>
      <c r="P176" s="453"/>
      <c r="Q176" s="453"/>
      <c r="R176" s="453"/>
      <c r="S176" s="453"/>
      <c r="T176" s="453"/>
      <c r="U176" s="453"/>
      <c r="V176" s="453"/>
      <c r="W176" s="453"/>
      <c r="X176" s="453"/>
      <c r="Y176" s="453"/>
      <c r="Z176" s="453"/>
      <c r="AA176" s="453"/>
      <c r="AB176" s="318">
        <f>SUM(D176:AA176)</f>
        <v>0</v>
      </c>
      <c r="AC176" s="241" t="str">
        <f>CONCATENATE(IF(D177&gt;D176," * Initiated Pep for Age "&amp;D20&amp;" "&amp;D21&amp;" is more than Rape survivors"&amp;CHAR(10),""),IF(E177&gt;E176," * Initiated Pep for Age "&amp;D20&amp;" "&amp;E21&amp;" is more than Rape survivors"&amp;CHAR(10),""),IF(F177&gt;F176," * Initiated Pep for Age "&amp;F20&amp;" "&amp;F21&amp;" is more than Rape survivors"&amp;CHAR(10),""),IF(G177&gt;G176," * Initiated Pep for Age "&amp;F20&amp;" "&amp;G21&amp;" is more than Rape survivors"&amp;CHAR(10),""),IF(H177&gt;H176," * Initiated Pep for Age "&amp;H20&amp;" "&amp;H21&amp;" is more than Rape survivors"&amp;CHAR(10),""),IF(I177&gt;I176," * Initiated Pep for Age "&amp;H20&amp;" "&amp;I21&amp;" is more than Rape survivors"&amp;CHAR(10),""),IF(J177&gt;J176," * Initiated Pep for Age "&amp;J20&amp;" "&amp;J21&amp;" is more than Rape survivors"&amp;CHAR(10),""),IF(K177&gt;K176," * Initiated Pep for Age "&amp;J20&amp;" "&amp;K21&amp;" is more than Rape survivors"&amp;CHAR(10),""),IF(L177&gt;L176," * Initiated Pep for Age "&amp;L20&amp;" "&amp;L21&amp;" is more than Rape survivors"&amp;CHAR(10),""),IF(M177&gt;M176," * Initiated Pep for Age "&amp;L20&amp;" "&amp;M21&amp;" is more than Rape survivors"&amp;CHAR(10),""),IF(N177&gt;N176," * Initiated Pep for Age "&amp;N20&amp;" "&amp;N21&amp;" is more than Rape survivors"&amp;CHAR(10),""),IF(O177&gt;O176," * Initiated Pep for Age "&amp;N20&amp;" "&amp;O21&amp;" is more than Rape survivors"&amp;CHAR(10),""),IF(P177&gt;P176," * Initiated Pep for Age "&amp;P20&amp;" "&amp;P21&amp;" is more than Rape survivors"&amp;CHAR(10),""),IF(Q177&gt;Q176," * Initiated Pep for Age "&amp;P20&amp;" "&amp;Q21&amp;" is more than Rape survivors"&amp;CHAR(10),""),IF(R177&gt;R176," * Initiated Pep for Age "&amp;R20&amp;" "&amp;R21&amp;" is more than Rape survivors"&amp;CHAR(10),""),IF(S177&gt;S176," * Initiated Pep for Age "&amp;R20&amp;" "&amp;S21&amp;" is more than Rape survivors"&amp;CHAR(10),""),IF(T177&gt;T176," * Initiated Pep for Age "&amp;T20&amp;" "&amp;T21&amp;" is more than Rape survivors"&amp;CHAR(10),""),IF(U177&gt;U176," * Initiated Pep for Age "&amp;T20&amp;" "&amp;U21&amp;" is more than Rape survivors"&amp;CHAR(10),""),IF(V177&gt;V176," * Initiated Pep for Age "&amp;V20&amp;" "&amp;V21&amp;" is more than Rape survivors"&amp;CHAR(10),""),IF(W177&gt;W176," * Initiated Pep for Age "&amp;V20&amp;" "&amp;W21&amp;" is more than Rape survivors"&amp;CHAR(10),""),IF(X177&gt;X176," * Initiated Pep for Age "&amp;X20&amp;" "&amp;X21&amp;" is more than Rape survivors"&amp;CHAR(10),""),IF(Y177&gt;Y176," * Initiated Pep for Age "&amp;X20&amp;" "&amp;Y21&amp;" is more than Rape survivors"&amp;CHAR(10),""),IF(Z177&gt;Z176," * Initiated Pep for Age "&amp;Z20&amp;" "&amp;Z21&amp;" is more than Rape survivors"&amp;CHAR(10),""),IF(AA177&gt;AA176," * Initiated Pep for Age "&amp;Z20&amp;" "&amp;AA21&amp;" is more than Rape survivors"&amp;CHAR(10),""))</f>
        <v/>
      </c>
      <c r="AD176" s="619" t="str">
        <f>CONCATENATE(AC140,AC178,AC179,AC180,AC181,AC183,AC185,AC187,AC189,AC190,AC177,AC182,AC176)</f>
        <v/>
      </c>
      <c r="AE176" s="80"/>
      <c r="AF176" s="776"/>
      <c r="AG176" s="404">
        <v>173</v>
      </c>
    </row>
    <row r="177" spans="1:34" ht="33" thickBot="1" x14ac:dyDescent="0.55000000000000004">
      <c r="A177" s="693"/>
      <c r="B177" s="478" t="s">
        <v>950</v>
      </c>
      <c r="C177" s="271" t="s">
        <v>185</v>
      </c>
      <c r="D177" s="454"/>
      <c r="E177" s="451"/>
      <c r="F177" s="451"/>
      <c r="G177" s="451"/>
      <c r="H177" s="451"/>
      <c r="I177" s="451"/>
      <c r="J177" s="451"/>
      <c r="K177" s="451"/>
      <c r="L177" s="451"/>
      <c r="M177" s="451"/>
      <c r="N177" s="451"/>
      <c r="O177" s="451"/>
      <c r="P177" s="451"/>
      <c r="Q177" s="451"/>
      <c r="R177" s="451"/>
      <c r="S177" s="451"/>
      <c r="T177" s="451"/>
      <c r="U177" s="451"/>
      <c r="V177" s="451"/>
      <c r="W177" s="451"/>
      <c r="X177" s="451"/>
      <c r="Y177" s="451"/>
      <c r="Z177" s="451"/>
      <c r="AA177" s="451"/>
      <c r="AB177" s="204">
        <f t="shared" ref="AB177:AB190" si="97">SUM(D177:AA177)</f>
        <v>0</v>
      </c>
      <c r="AC177" s="241"/>
      <c r="AD177" s="620"/>
      <c r="AE177" s="80"/>
      <c r="AF177" s="776"/>
      <c r="AG177" s="404">
        <v>174</v>
      </c>
    </row>
    <row r="178" spans="1:34" ht="33" thickBot="1" x14ac:dyDescent="0.55000000000000004">
      <c r="A178" s="659" t="s">
        <v>1044</v>
      </c>
      <c r="B178" s="477" t="s">
        <v>688</v>
      </c>
      <c r="C178" s="271" t="s">
        <v>252</v>
      </c>
      <c r="D178" s="495"/>
      <c r="E178" s="496"/>
      <c r="F178" s="496"/>
      <c r="G178" s="496"/>
      <c r="H178" s="496"/>
      <c r="I178" s="496"/>
      <c r="J178" s="496"/>
      <c r="K178" s="496"/>
      <c r="L178" s="496"/>
      <c r="M178" s="496"/>
      <c r="N178" s="496"/>
      <c r="O178" s="496"/>
      <c r="P178" s="496"/>
      <c r="Q178" s="496"/>
      <c r="R178" s="496"/>
      <c r="S178" s="496"/>
      <c r="T178" s="496"/>
      <c r="U178" s="496"/>
      <c r="V178" s="496"/>
      <c r="W178" s="496"/>
      <c r="X178" s="496"/>
      <c r="Y178" s="496"/>
      <c r="Z178" s="496"/>
      <c r="AA178" s="496"/>
      <c r="AB178" s="497">
        <f>SUM(D178:AA178)</f>
        <v>0</v>
      </c>
      <c r="AC178" s="82" t="str">
        <f>CONCATENATE(IF(D179&gt;D178," * Initiated Pep for Age "&amp;D19&amp;" "&amp;D20&amp;" is more than No of Clients"&amp;CHAR(10),""),IF(E179&gt;E178," * Initiated Pep for Age "&amp;D19&amp;" "&amp;E20&amp;" is more than No of Clients"&amp;CHAR(10),""),IF(F179&gt;F178," * Initiated Pep for Age "&amp;F19&amp;" "&amp;F20&amp;" is more than No of Clients"&amp;CHAR(10),""),IF(G179&gt;G178," * Initiated Pep for Age "&amp;F19&amp;" "&amp;G20&amp;" is more than No of Clients"&amp;CHAR(10),""),IF(H179&gt;H178," * Initiated Pep for Age "&amp;H19&amp;" "&amp;H20&amp;" is more than No of Clients"&amp;CHAR(10),""),IF(I179&gt;I178," * Initiated Pep for Age "&amp;H19&amp;" "&amp;I20&amp;" is more than No of Clients"&amp;CHAR(10),""),IF(J179&gt;J178," * Initiated Pep for Age "&amp;J19&amp;" "&amp;J20&amp;" is more than No of Clients"&amp;CHAR(10),""),IF(K179&gt;K178," * Initiated Pep for Age "&amp;J19&amp;" "&amp;K20&amp;" is more than No of Clients"&amp;CHAR(10),""),IF(L179&gt;L178," * Initiated Pep for Age "&amp;L19&amp;" "&amp;L20&amp;" is more than No of Clients"&amp;CHAR(10),""),IF(M179&gt;M178," * Initiated Pep for Age "&amp;L19&amp;" "&amp;M20&amp;" is more than No of Clients"&amp;CHAR(10),""),IF(N179&gt;N178," * Initiated Pep for Age "&amp;N19&amp;" "&amp;N20&amp;" is more than No of Clients"&amp;CHAR(10),""),IF(O179&gt;O178," * Initiated Pep for Age "&amp;N19&amp;" "&amp;O20&amp;" is more than No of Clients"&amp;CHAR(10),""),IF(P179&gt;P178," * Initiated Pep for Age "&amp;P19&amp;" "&amp;P20&amp;" is more than No of Clients"&amp;CHAR(10),""),IF(Q179&gt;Q178," * Initiated Pep for Age "&amp;P19&amp;" "&amp;Q20&amp;" is more than No of Clients"&amp;CHAR(10),""),IF(R179&gt;R178," * Initiated Pep for Age "&amp;R19&amp;" "&amp;R20&amp;" is more than No of Clients"&amp;CHAR(10),""),IF(S179&gt;S178," * Initiated Pep for Age "&amp;R19&amp;" "&amp;S20&amp;" is more than No of Clients"&amp;CHAR(10),""),IF(T179&gt;T178," * Initiated Pep for Age "&amp;T19&amp;" "&amp;T20&amp;" is more than No of Clients"&amp;CHAR(10),""),IF(U179&gt;U178," * Initiated Pep for Age "&amp;T19&amp;" "&amp;U20&amp;" is more than No of Clients"&amp;CHAR(10),""),IF(V179&gt;V178," * Initiated Pep for Age "&amp;V19&amp;" "&amp;V20&amp;" is more than No of Clients"&amp;CHAR(10),""),IF(W179&gt;W178," * Initiated Pep for Age "&amp;V19&amp;" "&amp;W20&amp;" is more than No of Clients"&amp;CHAR(10),""),IF(X179&gt;X178," * Initiated Pep for Age "&amp;X19&amp;" "&amp;X20&amp;" is more than No of Clients"&amp;CHAR(10),""),IF(Y179&gt;Y178," * Initiated Pep for Age "&amp;X19&amp;" "&amp;Y20&amp;" is more than No of Clients"&amp;CHAR(10),""),IF(Z179&gt;Z178," * Initiated Pep for Age "&amp;Z19&amp;" "&amp;Z20&amp;" is more than No of Clients"&amp;CHAR(10),""),IF(AA179&gt;AA178," * Initiated Pep for Age "&amp;Z19&amp;" "&amp;AA20&amp;" is more than No of Clients"&amp;CHAR(10),""))</f>
        <v/>
      </c>
      <c r="AD178" s="620"/>
      <c r="AE178" s="80"/>
      <c r="AF178" s="776"/>
      <c r="AG178" s="404">
        <v>175</v>
      </c>
    </row>
    <row r="179" spans="1:34" ht="33" hidden="1" thickBot="1" x14ac:dyDescent="0.55000000000000004">
      <c r="A179" s="660"/>
      <c r="B179" s="478" t="s">
        <v>687</v>
      </c>
      <c r="C179" s="334" t="s">
        <v>256</v>
      </c>
      <c r="D179" s="493"/>
      <c r="E179" s="494"/>
      <c r="F179" s="494"/>
      <c r="G179" s="494"/>
      <c r="H179" s="494"/>
      <c r="I179" s="494"/>
      <c r="J179" s="494"/>
      <c r="K179" s="494"/>
      <c r="L179" s="494"/>
      <c r="M179" s="494"/>
      <c r="N179" s="494"/>
      <c r="O179" s="494"/>
      <c r="P179" s="494"/>
      <c r="Q179" s="494"/>
      <c r="R179" s="494"/>
      <c r="S179" s="494"/>
      <c r="T179" s="494"/>
      <c r="U179" s="494"/>
      <c r="V179" s="494"/>
      <c r="W179" s="494"/>
      <c r="X179" s="494"/>
      <c r="Y179" s="494"/>
      <c r="Z179" s="494"/>
      <c r="AA179" s="494"/>
      <c r="AB179" s="437">
        <f t="shared" si="97"/>
        <v>0</v>
      </c>
      <c r="AC179" s="82"/>
      <c r="AD179" s="620"/>
      <c r="AE179" s="80"/>
      <c r="AF179" s="776"/>
      <c r="AG179" s="404">
        <v>176</v>
      </c>
    </row>
    <row r="180" spans="1:34" s="7" customFormat="1" x14ac:dyDescent="0.5">
      <c r="A180" s="639" t="s">
        <v>26</v>
      </c>
      <c r="B180" s="269" t="s">
        <v>689</v>
      </c>
      <c r="C180" s="271" t="s">
        <v>257</v>
      </c>
      <c r="D180" s="328"/>
      <c r="E180" s="328"/>
      <c r="F180" s="328"/>
      <c r="G180" s="328"/>
      <c r="H180" s="328"/>
      <c r="I180" s="328"/>
      <c r="J180" s="328"/>
      <c r="K180" s="328"/>
      <c r="L180" s="328"/>
      <c r="M180" s="328"/>
      <c r="N180" s="328"/>
      <c r="O180" s="328"/>
      <c r="P180" s="328"/>
      <c r="Q180" s="328"/>
      <c r="R180" s="328"/>
      <c r="S180" s="328"/>
      <c r="T180" s="328"/>
      <c r="U180" s="328"/>
      <c r="V180" s="328"/>
      <c r="W180" s="328"/>
      <c r="X180" s="328"/>
      <c r="Y180" s="328"/>
      <c r="Z180" s="328"/>
      <c r="AA180" s="328"/>
      <c r="AB180" s="238">
        <f t="shared" si="97"/>
        <v>0</v>
      </c>
      <c r="AC180" s="82" t="str">
        <f>CONCATENATE(IF(D180&gt;D176," * Total Rape Survivors for Age "&amp;D20&amp;" "&amp;D21&amp;" is less than Screened For STI"&amp;CHAR(10),""),IF(E180&gt;E176," * Total Rape Survivors for Age "&amp;D20&amp;" "&amp;E21&amp;" is less than Screened For STI"&amp;CHAR(10),""),IF(F180&gt;F176," * Total Rape Survivors for Age "&amp;F20&amp;" "&amp;F21&amp;" is less than Screened For STI"&amp;CHAR(10),""),IF(G180&gt;G176," * Total Rape Survivors for Age "&amp;F20&amp;" "&amp;G21&amp;" is less than Screened For STI"&amp;CHAR(10),""),IF(H180&gt;H176," * Total Rape Survivors for Age "&amp;H20&amp;" "&amp;H21&amp;" is less than Screened For STI"&amp;CHAR(10),""),IF(I180&gt;I176," * Total Rape Survivors for Age "&amp;H20&amp;" "&amp;I21&amp;" is less than Screened For STI"&amp;CHAR(10),""),IF(J180&gt;J176," * Total Rape Survivors for Age "&amp;J20&amp;" "&amp;J21&amp;" is less than Screened For STI"&amp;CHAR(10),""),IF(K180&gt;K176," * Total Rape Survivors for Age "&amp;J20&amp;" "&amp;K21&amp;" is less than Screened For STI"&amp;CHAR(10),""),IF(L180&gt;L176," * Total Rape Survivors for Age "&amp;L20&amp;" "&amp;L21&amp;" is less than Screened For STI"&amp;CHAR(10),""),IF(M180&gt;M176," * Total Rape Survivors for Age "&amp;L20&amp;" "&amp;M21&amp;" is less than Screened For STI"&amp;CHAR(10),""),IF(N180&gt;N176," * Total Rape Survivors for Age "&amp;N20&amp;" "&amp;N21&amp;" is less than Screened For STI"&amp;CHAR(10),""),IF(O180&gt;O176," * Total Rape Survivors for Age "&amp;N20&amp;" "&amp;O21&amp;" is less than Screened For STI"&amp;CHAR(10),""),IF(P180&gt;P176," * Total Rape Survivors for Age "&amp;P20&amp;" "&amp;P21&amp;" is less than Screened For STI"&amp;CHAR(10),""),IF(Q180&gt;Q176," * Total Rape Survivors for Age "&amp;P20&amp;" "&amp;Q21&amp;" is less than Screened For STI"&amp;CHAR(10),""),IF(R180&gt;R176," * Total Rape Survivors for Age "&amp;R20&amp;" "&amp;R21&amp;" is less than Screened For STI"&amp;CHAR(10),""),IF(S180&gt;S176," * Total Rape Survivors for Age "&amp;R20&amp;" "&amp;S21&amp;" is less than Screened For STI"&amp;CHAR(10),""),IF(T180&gt;T176," * Total Rape Survivors for Age "&amp;T20&amp;" "&amp;T21&amp;" is less than Screened For STI"&amp;CHAR(10),""),IF(U180&gt;U176," * Total Rape Survivors for Age "&amp;T20&amp;" "&amp;U21&amp;" is less than Screened For STI"&amp;CHAR(10),""),IF(V180&gt;V176," * Total Rape Survivors for Age "&amp;V20&amp;" "&amp;V21&amp;" is less than Screened For STI"&amp;CHAR(10),""),IF(W180&gt;W176," * Total Rape Survivors for Age "&amp;V20&amp;" "&amp;W21&amp;" is less than Screened For STI"&amp;CHAR(10),""),IF(X180&gt;X176," * Total Rape Survivors for Age "&amp;X20&amp;" "&amp;X21&amp;" is less than Screened For STI"&amp;CHAR(10),""),IF(Y180&gt;Y176," * Total Rape Survivors for Age "&amp;X20&amp;" "&amp;Y21&amp;" is less than Screened For STI"&amp;CHAR(10),""),IF(Z180&gt;Z176," * Total Rape Survivors for Age "&amp;Z20&amp;" "&amp;Z21&amp;" is less than Screened For STI"&amp;CHAR(10),""),IF(AA180&gt;AA176," * Total Rape Survivors for Age "&amp;Z20&amp;" "&amp;AA21&amp;" is less than Screened For STI"&amp;CHAR(10),""),IF(AB180&gt;AB176," * Total Total Rape Survivors is less than Total Screened For STI"&amp;CHAR(10),""))</f>
        <v/>
      </c>
      <c r="AD180" s="620"/>
      <c r="AE180" s="80"/>
      <c r="AF180" s="776"/>
      <c r="AG180" s="404">
        <v>177</v>
      </c>
      <c r="AH180" s="310"/>
    </row>
    <row r="181" spans="1:34" s="7" customFormat="1" x14ac:dyDescent="0.5">
      <c r="A181" s="640"/>
      <c r="B181" s="277" t="s">
        <v>690</v>
      </c>
      <c r="C181" s="131" t="s">
        <v>258</v>
      </c>
      <c r="D181" s="157"/>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36">
        <f t="shared" si="97"/>
        <v>0</v>
      </c>
      <c r="AC181" s="241" t="str">
        <f>CONCATENATE(IF(D181&gt;D180," * Screened For STI for Age "&amp;D20&amp;" "&amp;D21&amp;" is more than Tested For STI"&amp;CHAR(10),""),IF(E181&gt;E180," * Screened For STI for Age "&amp;D20&amp;" "&amp;E21&amp;" is more than Tested For STI"&amp;CHAR(10),""),IF(F181&gt;F180," * Screened For STI for Age "&amp;F20&amp;" "&amp;F21&amp;" is more than Tested For STI"&amp;CHAR(10),""),IF(G181&gt;G180," * Screened For STI for Age "&amp;F20&amp;" "&amp;G21&amp;" is more than Tested For STI"&amp;CHAR(10),""),IF(H181&gt;H180," * Screened For STI for Age "&amp;H20&amp;" "&amp;H21&amp;" is more than Tested For STI"&amp;CHAR(10),""),IF(I181&gt;I180," * Screened For STI for Age "&amp;H20&amp;" "&amp;I21&amp;" is more than Tested For STI"&amp;CHAR(10),""),IF(J181&gt;J180," * Screened For STI for Age "&amp;J20&amp;" "&amp;J21&amp;" is more than Tested For STI"&amp;CHAR(10),""),IF(K181&gt;K180," * Screened For STI for Age "&amp;J20&amp;" "&amp;K21&amp;" is more than Tested For STI"&amp;CHAR(10),""),IF(L181&gt;L180," * Screened For STI for Age "&amp;L20&amp;" "&amp;L21&amp;" is more than Tested For STI"&amp;CHAR(10),""),IF(M181&gt;M180," * Screened For STI for Age "&amp;L20&amp;" "&amp;M21&amp;" is more than Tested For STI"&amp;CHAR(10),""),IF(N181&gt;N180," * Screened For STI for Age "&amp;N20&amp;" "&amp;N21&amp;" is more than Tested For STI"&amp;CHAR(10),""),IF(O181&gt;O180," * Screened For STI for Age "&amp;N20&amp;" "&amp;O21&amp;" is more than Tested For STI"&amp;CHAR(10),""),IF(P181&gt;P180," * Screened For STI for Age "&amp;P20&amp;" "&amp;P21&amp;" is more than Tested For STI"&amp;CHAR(10),""),IF(Q181&gt;Q180," * Screened For STI for Age "&amp;P20&amp;" "&amp;Q21&amp;" is more than Tested For STI"&amp;CHAR(10),""),IF(R181&gt;R180," * Screened For STI for Age "&amp;R20&amp;" "&amp;R21&amp;" is more than Tested For STI"&amp;CHAR(10),""),IF(S181&gt;S180," * Screened For STI for Age "&amp;R20&amp;" "&amp;S21&amp;" is more than Tested For STI"&amp;CHAR(10),""),IF(T181&gt;T180," * Screened For STI for Age "&amp;T20&amp;" "&amp;T21&amp;" is more than Tested For STI"&amp;CHAR(10),""),IF(U181&gt;U180," * Screened For STI for Age "&amp;T20&amp;" "&amp;U21&amp;" is more than Tested For STI"&amp;CHAR(10),""),IF(V181&gt;V180," * Screened For STI for Age "&amp;V20&amp;" "&amp;V21&amp;" is more than Tested For STI"&amp;CHAR(10),""),IF(W181&gt;W180," * Screened For STI for Age "&amp;V20&amp;" "&amp;W21&amp;" is more than Tested For STI"&amp;CHAR(10),""),IF(X181&gt;X180," * Screened For STI for Age "&amp;X20&amp;" "&amp;X21&amp;" is more than Tested For STI"&amp;CHAR(10),""),IF(Y181&gt;Y180," * Screened For STI for Age "&amp;X20&amp;" "&amp;Y21&amp;" is more than Tested For STI"&amp;CHAR(10),""),IF(Z181&gt;Z180," * Screened For STI for Age "&amp;Z20&amp;" "&amp;Z21&amp;" is more than Tested For STI"&amp;CHAR(10),""),IF(AA181&gt;AA180," * Screened For STI for Age "&amp;AA20&amp;" "&amp;AA21&amp;" is more than Tested For STI"&amp;CHAR(10),""))</f>
        <v/>
      </c>
      <c r="AD181" s="620"/>
      <c r="AE181" s="80"/>
      <c r="AF181" s="776"/>
      <c r="AG181" s="404">
        <v>178</v>
      </c>
      <c r="AH181" s="310"/>
    </row>
    <row r="182" spans="1:34" s="7" customFormat="1" x14ac:dyDescent="0.5">
      <c r="A182" s="640"/>
      <c r="B182" s="277" t="s">
        <v>691</v>
      </c>
      <c r="C182" s="131" t="s">
        <v>259</v>
      </c>
      <c r="D182" s="158"/>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36">
        <f t="shared" si="97"/>
        <v>0</v>
      </c>
      <c r="AC182" s="241" t="str">
        <f>CONCATENATE(IF(D182&gt;D181," * F05-07 for Age "&amp;D20&amp;" "&amp;D21&amp;" is more than F05-06"&amp;CHAR(10),""),IF(E182&gt;E181," * F05-07 for Age "&amp;D20&amp;" "&amp;E21&amp;" is more than F05-06"&amp;CHAR(10),""),IF(F182&gt;F181," * F05-07 for Age "&amp;F20&amp;" "&amp;F21&amp;" is more than F05-06"&amp;CHAR(10),""),IF(G182&gt;G181," * F05-07 for Age "&amp;F20&amp;" "&amp;G21&amp;" is more than F05-06"&amp;CHAR(10),""),IF(H182&gt;H181," * F05-07 for Age "&amp;H20&amp;" "&amp;H21&amp;" is more than F05-06"&amp;CHAR(10),""),IF(I182&gt;I181," * F05-07 for Age "&amp;H20&amp;" "&amp;I21&amp;" is more than F05-06"&amp;CHAR(10),""),IF(J182&gt;J181," * F05-07 for Age "&amp;J20&amp;" "&amp;J21&amp;" is more than F05-06"&amp;CHAR(10),""),IF(K182&gt;K181," * F05-07 for Age "&amp;J20&amp;" "&amp;K21&amp;" is more than F05-06"&amp;CHAR(10),""),IF(L182&gt;L181," * F05-07 for Age "&amp;L20&amp;" "&amp;L21&amp;" is more than F05-06"&amp;CHAR(10),""),IF(M182&gt;M181," * F05-07 for Age "&amp;L20&amp;" "&amp;M21&amp;" is more than F05-06"&amp;CHAR(10),""),IF(N182&gt;N181," * F05-07 for Age "&amp;N20&amp;" "&amp;N21&amp;" is more than F05-06"&amp;CHAR(10),""),IF(O182&gt;O181," * F05-07 for Age "&amp;N20&amp;" "&amp;O21&amp;" is more than F05-06"&amp;CHAR(10),""),IF(P182&gt;P181," * F05-07 for Age "&amp;P20&amp;" "&amp;P21&amp;" is more than F05-06"&amp;CHAR(10),""),IF(Q182&gt;Q181," * F05-07 for Age "&amp;P20&amp;" "&amp;Q21&amp;" is more than F05-06"&amp;CHAR(10),""),IF(R182&gt;R181," * F05-07 for Age "&amp;R20&amp;" "&amp;R21&amp;" is more than F05-06"&amp;CHAR(10),""),IF(S182&gt;S181," * F05-07 for Age "&amp;R20&amp;" "&amp;S21&amp;" is more than F05-06"&amp;CHAR(10),""),IF(T182&gt;T181," * F05-07 for Age "&amp;T20&amp;" "&amp;T21&amp;" is more than F05-06"&amp;CHAR(10),""),IF(U182&gt;U181," * F05-07 for Age "&amp;T20&amp;" "&amp;U21&amp;" is more than F05-06"&amp;CHAR(10),""),IF(V182&gt;V181," * F05-07 for Age "&amp;V20&amp;" "&amp;V21&amp;" is more than F05-06"&amp;CHAR(10),""),IF(W182&gt;W181," * F05-07 for Age "&amp;V20&amp;" "&amp;W21&amp;" is more than F05-06"&amp;CHAR(10),""),IF(X182&gt;X181," * F05-07 for Age "&amp;X20&amp;" "&amp;X21&amp;" is more than F05-06"&amp;CHAR(10),""),IF(Y182&gt;Y181," * F05-07 for Age "&amp;X20&amp;" "&amp;Y21&amp;" is more than F05-06"&amp;CHAR(10),""),IF(Z182&gt;Z181," * F05-07 for Age "&amp;Z20&amp;" "&amp;Z21&amp;" is more than F05-06"&amp;CHAR(10),""),IF(AA182&gt;AA181," * F05-07 for Age "&amp;Z20&amp;" "&amp;AA21&amp;" is more than F05-06"&amp;CHAR(10),""),IF(AB182&gt;AB181," * Total F05-07 is more than Total F05-06"&amp;CHAR(10),""))</f>
        <v/>
      </c>
      <c r="AD182" s="620"/>
      <c r="AE182" s="80"/>
      <c r="AF182" s="776"/>
      <c r="AG182" s="404">
        <v>179</v>
      </c>
      <c r="AH182" s="310"/>
    </row>
    <row r="183" spans="1:34" s="7" customFormat="1" x14ac:dyDescent="0.5">
      <c r="A183" s="640"/>
      <c r="B183" s="277" t="s">
        <v>692</v>
      </c>
      <c r="C183" s="131" t="s">
        <v>260</v>
      </c>
      <c r="D183" s="228"/>
      <c r="E183" s="228"/>
      <c r="F183" s="228"/>
      <c r="G183" s="228"/>
      <c r="H183" s="228"/>
      <c r="I183" s="228"/>
      <c r="J183" s="228"/>
      <c r="K183" s="215"/>
      <c r="L183" s="228"/>
      <c r="M183" s="215"/>
      <c r="N183" s="228"/>
      <c r="O183" s="215"/>
      <c r="P183" s="228"/>
      <c r="Q183" s="215"/>
      <c r="R183" s="228"/>
      <c r="S183" s="215"/>
      <c r="T183" s="228"/>
      <c r="U183" s="215"/>
      <c r="V183" s="228"/>
      <c r="W183" s="215"/>
      <c r="X183" s="228"/>
      <c r="Y183" s="215"/>
      <c r="Z183" s="228"/>
      <c r="AA183" s="215"/>
      <c r="AB183" s="36">
        <f t="shared" si="97"/>
        <v>0</v>
      </c>
      <c r="AC183" s="241" t="str">
        <f>CONCATENATE(IF(D183&gt;D176," * Given Emergency Contraceptive Pill for Age "&amp;D20&amp;" "&amp;D21&amp;" is more than Sexual Violence Rape Survivors"&amp;CHAR(10),""),IF(E183&gt;E176," * Given Emergency Contraceptive Pill for Age "&amp;D20&amp;" "&amp;E21&amp;" is more than Sexual Violence Rape Survivors"&amp;CHAR(10),""),IF(F183&gt;F176," * Given Emergency Contraceptive Pill for Age "&amp;F20&amp;" "&amp;F21&amp;" is more than Sexual Violence Rape Survivors"&amp;CHAR(10),""),IF(G183&gt;G176," * Given Emergency Contraceptive Pill for Age "&amp;F20&amp;" "&amp;G21&amp;" is more than Sexual Violence Rape Survivors"&amp;CHAR(10),""),IF(H183&gt;H176," * Given Emergency Contraceptive Pill for Age "&amp;H20&amp;" "&amp;H21&amp;" is more than Sexual Violence Rape Survivors"&amp;CHAR(10),""),IF(I183&gt;I176," * Given Emergency Contraceptive Pill for Age "&amp;H20&amp;" "&amp;I21&amp;" is more than Sexual Violence Rape Survivors"&amp;CHAR(10),""),IF(J183&gt;J176," * Given Emergency Contraceptive Pill for Age "&amp;J20&amp;" "&amp;J21&amp;" is more than Sexual Violence Rape Survivors"&amp;CHAR(10),""),IF(K183&gt;K176," * Given Emergency Contraceptive Pill for Age "&amp;J20&amp;" "&amp;K21&amp;" is more than Sexual Violence Rape Survivors"&amp;CHAR(10),""),IF(L183&gt;L176," * Given Emergency Contraceptive Pill for Age "&amp;L20&amp;" "&amp;L21&amp;" is more than Sexual Violence Rape Survivors"&amp;CHAR(10),""),IF(M183&gt;M176," * Given Emergency Contraceptive Pill for Age "&amp;L20&amp;" "&amp;M21&amp;" is more than Sexual Violence Rape Survivors"&amp;CHAR(10),""),IF(N183&gt;N176," * Given Emergency Contraceptive Pill for Age "&amp;N20&amp;" "&amp;N21&amp;" is more than Sexual Violence Rape Survivors"&amp;CHAR(10),""),IF(O183&gt;O176," * Given Emergency Contraceptive Pill for Age "&amp;N20&amp;" "&amp;O21&amp;" is more than Sexual Violence Rape Survivors"&amp;CHAR(10),""),IF(P183&gt;P176," * Given Emergency Contraceptive Pill for Age "&amp;P20&amp;" "&amp;P21&amp;" is more than Sexual Violence Rape Survivors"&amp;CHAR(10),""),IF(Q183&gt;Q176," * Given Emergency Contraceptive Pill for Age "&amp;P20&amp;" "&amp;Q21&amp;" is more than Sexual Violence Rape Survivors"&amp;CHAR(10),""),IF(R183&gt;R176," * Given Emergency Contraceptive Pill for Age "&amp;R20&amp;" "&amp;R21&amp;" is more than Sexual Violence Rape Survivors"&amp;CHAR(10),""),IF(S183&gt;S176," * Given Emergency Contraceptive Pill for Age "&amp;R20&amp;" "&amp;S21&amp;" is more than Sexual Violence Rape Survivors"&amp;CHAR(10),""),IF(T183&gt;T176," * Given Emergency Contraceptive Pill for Age "&amp;T20&amp;" "&amp;T21&amp;" is more than Sexual Violence Rape Survivors"&amp;CHAR(10),""),IF(U183&gt;U176," * Given Emergency Contraceptive Pill for Age "&amp;T20&amp;" "&amp;U21&amp;" is more than Sexual Violence Rape Survivors"&amp;CHAR(10),""),IF(V183&gt;V176," * Given Emergency Contraceptive Pill for Age "&amp;V20&amp;" "&amp;V21&amp;" is more than Sexual Violence Rape Survivors"&amp;CHAR(10),""),IF(W183&gt;W176," * Given Emergency Contraceptive Pill for Age "&amp;V20&amp;" "&amp;W21&amp;" is more than Sexual Violence Rape Survivors"&amp;CHAR(10),""),IF(X183&gt;X176," * Given Emergency Contraceptive Pill for Age "&amp;X20&amp;" "&amp;X21&amp;" is more than Sexual Violence Rape Survivors"&amp;CHAR(10),""),IF(Y183&gt;Y176," * Given Emergency Contraceptive Pill for Age "&amp;X20&amp;" "&amp;Y21&amp;" is more than Sexual Violence Rape Survivors"&amp;CHAR(10),""),IF(Z183&gt;Z176," * Given Emergency Contraceptive Pill for Age "&amp;Z20&amp;" "&amp;Z21&amp;" is more than Sexual Violence Rape Survivors"&amp;CHAR(10),""),IF(AA183&gt;AA176," * Given Emergency Contraceptive Pill for Age "&amp;Z20&amp;" "&amp;AA21&amp;" is more than Sexual Violence Rape Survivors"&amp;CHAR(10),""))</f>
        <v/>
      </c>
      <c r="AD183" s="620"/>
      <c r="AE183" s="80"/>
      <c r="AF183" s="776"/>
      <c r="AG183" s="404">
        <v>180</v>
      </c>
      <c r="AH183" s="310"/>
    </row>
    <row r="184" spans="1:34" s="7" customFormat="1" x14ac:dyDescent="0.5">
      <c r="A184" s="640"/>
      <c r="B184" s="277" t="s">
        <v>693</v>
      </c>
      <c r="C184" s="131" t="s">
        <v>261</v>
      </c>
      <c r="D184" s="228"/>
      <c r="E184" s="228"/>
      <c r="F184" s="228"/>
      <c r="G184" s="228"/>
      <c r="H184" s="228"/>
      <c r="I184" s="228"/>
      <c r="J184" s="228"/>
      <c r="K184" s="279"/>
      <c r="L184" s="228"/>
      <c r="M184" s="279"/>
      <c r="N184" s="228"/>
      <c r="O184" s="279"/>
      <c r="P184" s="228"/>
      <c r="Q184" s="279"/>
      <c r="R184" s="228"/>
      <c r="S184" s="279"/>
      <c r="T184" s="228"/>
      <c r="U184" s="279"/>
      <c r="V184" s="228"/>
      <c r="W184" s="279"/>
      <c r="X184" s="228"/>
      <c r="Y184" s="279"/>
      <c r="Z184" s="228"/>
      <c r="AA184" s="279"/>
      <c r="AB184" s="36">
        <f t="shared" si="97"/>
        <v>0</v>
      </c>
      <c r="AC184" s="241" t="str">
        <f>CONCATENATE(IF(D184&gt;D183," * Given Emergency Contraceptive Pill for Age "&amp;D20&amp;" "&amp;D21&amp;" is more than Eligible for Emergency Contraceptive Pill"&amp;CHAR(10),""),IF(E184&gt;E183," * Given Emergency Contraceptive Pill for Age "&amp;D20&amp;" "&amp;E21&amp;" is more than Eligible for Emergency Contraceptive Pill"&amp;CHAR(10),""),IF(F184&gt;F183," * Given Emergency Contraceptive Pill for Age "&amp;F20&amp;" "&amp;F21&amp;" is more than Eligible for Emergency Contraceptive Pill"&amp;CHAR(10),""),IF(G184&gt;G183," * Given Emergency Contraceptive Pill for Age "&amp;F20&amp;" "&amp;G21&amp;" is more than Eligible for Emergency Contraceptive Pill"&amp;CHAR(10),""),IF(H184&gt;H183," * Given Emergency Contraceptive Pill for Age "&amp;H20&amp;" "&amp;H21&amp;" is more than Eligible for Emergency Contraceptive Pill"&amp;CHAR(10),""),IF(I184&gt;I183," * Given Emergency Contraceptive Pill for Age "&amp;H20&amp;" "&amp;I21&amp;" is more than Eligible for Emergency Contraceptive Pill"&amp;CHAR(10),""),IF(J184&gt;J183," * Given Emergency Contraceptive Pill for Age "&amp;J20&amp;" "&amp;J21&amp;" is more than Eligible for Emergency Contraceptive Pill"&amp;CHAR(10),""),IF(K184&gt;K183," * Given Emergency Contraceptive Pill for Age "&amp;J20&amp;" "&amp;K21&amp;" is more than Eligible for Emergency Contraceptive Pill"&amp;CHAR(10),""),IF(L184&gt;L183," * Given Emergency Contraceptive Pill for Age "&amp;L20&amp;" "&amp;L21&amp;" is more than Eligible for Emergency Contraceptive Pill"&amp;CHAR(10),""),IF(M184&gt;M183," * Given Emergency Contraceptive Pill for Age "&amp;L20&amp;" "&amp;M21&amp;" is more than Eligible for Emergency Contraceptive Pill"&amp;CHAR(10),""),IF(N184&gt;N183," * Given Emergency Contraceptive Pill for Age "&amp;N20&amp;" "&amp;N21&amp;" is more than Eligible for Emergency Contraceptive Pill"&amp;CHAR(10),""),IF(O184&gt;O183," * Given Emergency Contraceptive Pill for Age "&amp;N20&amp;" "&amp;O21&amp;" is more than Eligible for Emergency Contraceptive Pill"&amp;CHAR(10),""),IF(P184&gt;P183," * Given Emergency Contraceptive Pill for Age "&amp;P20&amp;" "&amp;P21&amp;" is more than Eligible for Emergency Contraceptive Pill"&amp;CHAR(10),""),IF(Q184&gt;Q183," * Given Emergency Contraceptive Pill for Age "&amp;P20&amp;" "&amp;Q21&amp;" is more than Eligible for Emergency Contraceptive Pill"&amp;CHAR(10),""),IF(R184&gt;R183," * Given Emergency Contraceptive Pill for Age "&amp;R20&amp;" "&amp;R21&amp;" is more than Eligible for Emergency Contraceptive Pill"&amp;CHAR(10),""),IF(S184&gt;S183," * Given Emergency Contraceptive Pill for Age "&amp;R20&amp;" "&amp;S21&amp;" is more than Eligible for Emergency Contraceptive Pill"&amp;CHAR(10),""),IF(T184&gt;T183," * Given Emergency Contraceptive Pill for Age "&amp;T20&amp;" "&amp;T21&amp;" is more than Eligible for Emergency Contraceptive Pill"&amp;CHAR(10),""),IF(U184&gt;U183," * Given Emergency Contraceptive Pill for Age "&amp;T20&amp;" "&amp;U21&amp;" is more than Eligible for Emergency Contraceptive Pill"&amp;CHAR(10),""),IF(V184&gt;V183," * Given Emergency Contraceptive Pill for Age "&amp;V20&amp;" "&amp;V21&amp;" is more than Eligible for Emergency Contraceptive Pill"&amp;CHAR(10),""),IF(W184&gt;W183," * Given Emergency Contraceptive Pill for Age "&amp;V20&amp;" "&amp;W21&amp;" is more than Eligible for Emergency Contraceptive Pill"&amp;CHAR(10),""),IF(X184&gt;X183," * Given Emergency Contraceptive Pill for Age "&amp;X20&amp;" "&amp;X21&amp;" is more than Eligible for Emergency Contraceptive Pill"&amp;CHAR(10),""),IF(Y184&gt;Y183," * Given Emergency Contraceptive Pill for Age "&amp;X20&amp;" "&amp;Y21&amp;" is more than Eligible for Emergency Contraceptive Pill"&amp;CHAR(10),""),IF(Z184&gt;Z183," * Given Emergency Contraceptive Pill for Age "&amp;Z20&amp;" "&amp;Z21&amp;" is more than Eligible for Emergency Contraceptive Pill"&amp;CHAR(10),""),IF(AA184&gt;AA183," * Given Emergency Contraceptive Pill for Age "&amp;Z20&amp;" "&amp;AA21&amp;" is more than Eligible for Emergency Contraceptive Pill"&amp;CHAR(10),""))</f>
        <v/>
      </c>
      <c r="AD184" s="620"/>
      <c r="AE184" s="80"/>
      <c r="AF184" s="776"/>
      <c r="AG184" s="404">
        <v>181</v>
      </c>
      <c r="AH184" s="310"/>
    </row>
    <row r="185" spans="1:34" s="7" customFormat="1" x14ac:dyDescent="0.5">
      <c r="A185" s="640"/>
      <c r="B185" s="277" t="s">
        <v>694</v>
      </c>
      <c r="C185" s="131" t="s">
        <v>262</v>
      </c>
      <c r="D185" s="157"/>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36">
        <f t="shared" si="97"/>
        <v>0</v>
      </c>
      <c r="AC185" s="704" t="str">
        <f>CONCATENATE(IF(D186&gt;D185," * F05-11 for Age "&amp;D20&amp;" "&amp;D21&amp;" is more than F05-10"&amp;CHAR(10),""),IF(E186&gt;E185," * F05-11 for Age "&amp;D20&amp;" "&amp;E21&amp;" is more than F05-10"&amp;CHAR(10),""),IF(F186&gt;F185," * F05-11 for Age "&amp;F20&amp;" "&amp;F21&amp;" is more than F05-10"&amp;CHAR(10),""),IF(G186&gt;G185," * F05-11 for Age "&amp;F20&amp;" "&amp;G21&amp;" is more than F05-10"&amp;CHAR(10),""),IF(H186&gt;H185," * F05-11 for Age "&amp;H20&amp;" "&amp;H21&amp;" is more than F05-10"&amp;CHAR(10),""),IF(I186&gt;I185," * F05-11 for Age "&amp;H20&amp;" "&amp;I21&amp;" is more than F05-10"&amp;CHAR(10),""),IF(J186&gt;J185," * F05-11 for Age "&amp;J20&amp;" "&amp;J21&amp;" is more than F05-10"&amp;CHAR(10),""),IF(K186&gt;K185," * F05-11 for Age "&amp;J20&amp;" "&amp;K21&amp;" is more than F05-10"&amp;CHAR(10),""),IF(L186&gt;L185," * F05-11 for Age "&amp;L20&amp;" "&amp;L21&amp;" is more than F05-10"&amp;CHAR(10),""),IF(M186&gt;M185," * F05-11 for Age "&amp;L20&amp;" "&amp;M21&amp;" is more than F05-10"&amp;CHAR(10),""),IF(N186&gt;N185," * F05-11 for Age "&amp;N20&amp;" "&amp;N21&amp;" is more than F05-10"&amp;CHAR(10),""),IF(O186&gt;O185," * F05-11 for Age "&amp;N20&amp;" "&amp;O21&amp;" is more than F05-10"&amp;CHAR(10),""),IF(P186&gt;P185," * F05-11 for Age "&amp;P20&amp;" "&amp;P21&amp;" is more than F05-10"&amp;CHAR(10),""),IF(Q186&gt;Q185," * F05-11 for Age "&amp;P20&amp;" "&amp;Q21&amp;" is more than F05-10"&amp;CHAR(10),""),IF(R186&gt;R185," * F05-11 for Age "&amp;R20&amp;" "&amp;R21&amp;" is more than F05-10"&amp;CHAR(10),""),IF(S186&gt;S185," * F05-11 for Age "&amp;R20&amp;" "&amp;S21&amp;" is more than F05-10"&amp;CHAR(10),""),IF(T186&gt;T185," * F05-11 for Age "&amp;T20&amp;" "&amp;T21&amp;" is more than F05-10"&amp;CHAR(10),""),IF(U186&gt;U185," * F05-11 for Age "&amp;T20&amp;" "&amp;U21&amp;" is more than F05-10"&amp;CHAR(10),""),IF(V186&gt;V185," * F05-11 for Age "&amp;V20&amp;" "&amp;V21&amp;" is more than F05-10"&amp;CHAR(10),""),IF(W186&gt;W185," * F05-11 for Age "&amp;V20&amp;" "&amp;W21&amp;" is more than F05-10"&amp;CHAR(10),""),IF(X186&gt;X185," * F05-11 for Age "&amp;X20&amp;" "&amp;X21&amp;" is more than F05-10"&amp;CHAR(10),""),IF(Y186&gt;Y185," * F05-11 for Age "&amp;X20&amp;" "&amp;Y21&amp;" is more than F05-10"&amp;CHAR(10),""),IF(Z186&gt;Z185," * F05-11 for Age "&amp;Z20&amp;" "&amp;Z21&amp;" is more than F05-10"&amp;CHAR(10),""),IF(AA186&gt;AA185," * F05-11 for Age "&amp;Z20&amp;" "&amp;AA21&amp;" is more than F05-10"&amp;CHAR(10),""),IF(AB186&gt;AB185," * Total F05-11 is more than Total F05-10"&amp;CHAR(10),""))</f>
        <v/>
      </c>
      <c r="AD185" s="620"/>
      <c r="AE185" s="80"/>
      <c r="AF185" s="776"/>
      <c r="AG185" s="404">
        <v>182</v>
      </c>
      <c r="AH185" s="310"/>
    </row>
    <row r="186" spans="1:34" s="7" customFormat="1" ht="35.25" thickBot="1" x14ac:dyDescent="0.55000000000000004">
      <c r="A186" s="663"/>
      <c r="B186" s="278" t="s">
        <v>695</v>
      </c>
      <c r="C186" s="133" t="s">
        <v>263</v>
      </c>
      <c r="D186" s="150"/>
      <c r="E186" s="276"/>
      <c r="F186" s="276"/>
      <c r="G186" s="276"/>
      <c r="H186" s="276"/>
      <c r="I186" s="276"/>
      <c r="J186" s="276"/>
      <c r="K186" s="276"/>
      <c r="L186" s="276"/>
      <c r="M186" s="276"/>
      <c r="N186" s="276"/>
      <c r="O186" s="276"/>
      <c r="P186" s="276"/>
      <c r="Q186" s="276"/>
      <c r="R186" s="276"/>
      <c r="S186" s="276"/>
      <c r="T186" s="276"/>
      <c r="U186" s="276"/>
      <c r="V186" s="276"/>
      <c r="W186" s="276"/>
      <c r="X186" s="276"/>
      <c r="Y186" s="276"/>
      <c r="Z186" s="276"/>
      <c r="AA186" s="276"/>
      <c r="AB186" s="39">
        <f t="shared" si="97"/>
        <v>0</v>
      </c>
      <c r="AC186" s="704"/>
      <c r="AD186" s="620"/>
      <c r="AE186" s="80"/>
      <c r="AF186" s="776"/>
      <c r="AG186" s="404">
        <v>183</v>
      </c>
      <c r="AH186" s="310"/>
    </row>
    <row r="187" spans="1:34" s="7" customFormat="1" x14ac:dyDescent="0.5">
      <c r="A187" s="639" t="s">
        <v>111</v>
      </c>
      <c r="B187" s="269" t="s">
        <v>696</v>
      </c>
      <c r="C187" s="129" t="s">
        <v>264</v>
      </c>
      <c r="D187" s="147"/>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35">
        <f t="shared" si="97"/>
        <v>0</v>
      </c>
      <c r="AC187" s="704" t="str">
        <f>CONCATENATE(IF(D188&gt;D187," * F05-13 for Age "&amp;D20&amp;" "&amp;D21&amp;" is more than F05-12"&amp;CHAR(10),""),IF(E188&gt;E187," * F05-13 for Age "&amp;D20&amp;" "&amp;E21&amp;" is more than F05-12"&amp;CHAR(10),""),IF(F188&gt;F187," * F05-13 for Age "&amp;F20&amp;" "&amp;F21&amp;" is more than F05-12"&amp;CHAR(10),""),IF(G188&gt;G187," * F05-13 for Age "&amp;F20&amp;" "&amp;G21&amp;" is more than F05-12"&amp;CHAR(10),""),IF(H188&gt;H187," * F05-13 for Age "&amp;H20&amp;" "&amp;H21&amp;" is more than F05-12"&amp;CHAR(10),""),IF(I188&gt;I187," * F05-13 for Age "&amp;H20&amp;" "&amp;I21&amp;" is more than F05-12"&amp;CHAR(10),""),IF(J188&gt;J187," * F05-13 for Age "&amp;J20&amp;" "&amp;J21&amp;" is more than F05-12"&amp;CHAR(10),""),IF(K188&gt;K187," * F05-13 for Age "&amp;J20&amp;" "&amp;K21&amp;" is more than F05-12"&amp;CHAR(10),""),IF(L188&gt;L187," * F05-13 for Age "&amp;L20&amp;" "&amp;L21&amp;" is more than F05-12"&amp;CHAR(10),""),IF(M188&gt;M187," * F05-13 for Age "&amp;L20&amp;" "&amp;M21&amp;" is more than F05-12"&amp;CHAR(10),""),IF(N188&gt;N187," * F05-13 for Age "&amp;N20&amp;" "&amp;N21&amp;" is more than F05-12"&amp;CHAR(10),""),IF(O188&gt;O187," * F05-13 for Age "&amp;N20&amp;" "&amp;O21&amp;" is more than F05-12"&amp;CHAR(10),""),IF(P188&gt;P187," * F05-13 for Age "&amp;P20&amp;" "&amp;P21&amp;" is more than F05-12"&amp;CHAR(10),""),IF(Q188&gt;Q187," * F05-13 for Age "&amp;P20&amp;" "&amp;Q21&amp;" is more than F05-12"&amp;CHAR(10),""),IF(R188&gt;R187," * F05-13 for Age "&amp;R20&amp;" "&amp;R21&amp;" is more than F05-12"&amp;CHAR(10),""),IF(S188&gt;S187," * F05-13 for Age "&amp;R20&amp;" "&amp;S21&amp;" is more than F05-12"&amp;CHAR(10),""),IF(T188&gt;T187," * F05-13 for Age "&amp;T20&amp;" "&amp;T21&amp;" is more than F05-12"&amp;CHAR(10),""),IF(U188&gt;U187," * F05-13 for Age "&amp;T20&amp;" "&amp;U21&amp;" is more than F05-12"&amp;CHAR(10),""),IF(V188&gt;V187," * F05-13 for Age "&amp;V20&amp;" "&amp;V21&amp;" is more than F05-12"&amp;CHAR(10),""),IF(W188&gt;W187," * F05-13 for Age "&amp;V20&amp;" "&amp;W21&amp;" is more than F05-12"&amp;CHAR(10),""),IF(X188&gt;X187," * F05-13 for Age "&amp;X20&amp;" "&amp;X21&amp;" is more than F05-12"&amp;CHAR(10),""),IF(Y188&gt;Y187," * F05-13 for Age "&amp;X20&amp;" "&amp;Y21&amp;" is more than F05-12"&amp;CHAR(10),""),IF(Z188&gt;Z187," * F05-13 for Age "&amp;Z20&amp;" "&amp;Z21&amp;" is more than F05-12"&amp;CHAR(10),""),IF(AA188&gt;AA187," * F05-13 for Age "&amp;Z20&amp;" "&amp;AA21&amp;" is more than F05-12"&amp;CHAR(10),""),IF(AB188&gt;AB187," * Total F05-13 is more than Total F05-12"&amp;CHAR(10),""))</f>
        <v/>
      </c>
      <c r="AD187" s="620"/>
      <c r="AE187" s="80"/>
      <c r="AF187" s="776"/>
      <c r="AG187" s="404">
        <v>184</v>
      </c>
      <c r="AH187" s="310"/>
    </row>
    <row r="188" spans="1:34" s="7" customFormat="1" x14ac:dyDescent="0.5">
      <c r="A188" s="640"/>
      <c r="B188" s="277" t="s">
        <v>697</v>
      </c>
      <c r="C188" s="131" t="s">
        <v>265</v>
      </c>
      <c r="D188" s="157"/>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36">
        <f t="shared" si="97"/>
        <v>0</v>
      </c>
      <c r="AC188" s="704"/>
      <c r="AD188" s="620"/>
      <c r="AE188" s="80"/>
      <c r="AF188" s="776"/>
      <c r="AG188" s="404">
        <v>185</v>
      </c>
      <c r="AH188" s="310"/>
    </row>
    <row r="189" spans="1:34" s="7" customFormat="1" x14ac:dyDescent="0.5">
      <c r="A189" s="640"/>
      <c r="B189" s="277" t="s">
        <v>698</v>
      </c>
      <c r="C189" s="131" t="s">
        <v>322</v>
      </c>
      <c r="D189" s="158"/>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36">
        <f t="shared" si="97"/>
        <v>0</v>
      </c>
      <c r="AC189" s="82" t="str">
        <f>CONCATENATE(IF(D189&gt;D187," * F05-14 for Age "&amp;D20&amp;" "&amp;D21&amp;" is more than F05-12"&amp;CHAR(10),""),IF(E189&gt;E187," * F05-14 for Age "&amp;D20&amp;" "&amp;E21&amp;" is more than F05-12"&amp;CHAR(10),""),IF(F189&gt;F187," * F05-14 for Age "&amp;F20&amp;" "&amp;F21&amp;" is more than F05-12"&amp;CHAR(10),""),IF(G189&gt;G187," * F05-14 for Age "&amp;F20&amp;" "&amp;G21&amp;" is more than F05-12"&amp;CHAR(10),""),IF(H189&gt;H187," * F05-14 for Age "&amp;H20&amp;" "&amp;H21&amp;" is more than F05-12"&amp;CHAR(10),""),IF(I189&gt;I187," * F05-14 for Age "&amp;H20&amp;" "&amp;I21&amp;" is more than F05-12"&amp;CHAR(10),""),IF(J189&gt;J187," * F05-14 for Age "&amp;J20&amp;" "&amp;J21&amp;" is more than F05-12"&amp;CHAR(10),""),IF(K189&gt;K187," * F05-14 for Age "&amp;J20&amp;" "&amp;K21&amp;" is more than F05-12"&amp;CHAR(10),""),IF(L189&gt;L187," * F05-14 for Age "&amp;L20&amp;" "&amp;L21&amp;" is more than F05-12"&amp;CHAR(10),""),IF(M189&gt;M187," * F05-14 for Age "&amp;L20&amp;" "&amp;M21&amp;" is more than F05-12"&amp;CHAR(10),""),IF(N189&gt;N187," * F05-14 for Age "&amp;N20&amp;" "&amp;N21&amp;" is more than F05-12"&amp;CHAR(10),""),IF(O189&gt;O187," * F05-14 for Age "&amp;N20&amp;" "&amp;O21&amp;" is more than F05-12"&amp;CHAR(10),""),IF(P189&gt;P187," * F05-14 for Age "&amp;P20&amp;" "&amp;P21&amp;" is more than F05-12"&amp;CHAR(10),""),IF(Q189&gt;Q187," * F05-14 for Age "&amp;P20&amp;" "&amp;Q21&amp;" is more than F05-12"&amp;CHAR(10),""),IF(R189&gt;R187," * F05-14 for Age "&amp;R20&amp;" "&amp;R21&amp;" is more than F05-12"&amp;CHAR(10),""),IF(S189&gt;S187," * F05-14 for Age "&amp;R20&amp;" "&amp;S21&amp;" is more than F05-12"&amp;CHAR(10),""),IF(T189&gt;T187," * F05-14 for Age "&amp;T20&amp;" "&amp;T21&amp;" is more than F05-12"&amp;CHAR(10),""),IF(U189&gt;U187," * F05-14 for Age "&amp;T20&amp;" "&amp;U21&amp;" is more than F05-12"&amp;CHAR(10),""),IF(V189&gt;V187," * F05-14 for Age "&amp;V20&amp;" "&amp;V21&amp;" is more than F05-12"&amp;CHAR(10),""),IF(W189&gt;W187," * F05-14 for Age "&amp;V20&amp;" "&amp;W21&amp;" is more than F05-12"&amp;CHAR(10),""),IF(X189&gt;X187," * F05-14 for Age "&amp;X20&amp;" "&amp;X21&amp;" is more than F05-12"&amp;CHAR(10),""),IF(Y189&gt;Y187," * F05-14 for Age "&amp;X20&amp;" "&amp;Y21&amp;" is more than F05-12"&amp;CHAR(10),""),IF(Z189&gt;Z187," * F05-14 for Age "&amp;Z20&amp;" "&amp;Z21&amp;" is more than F05-12"&amp;CHAR(10),""),IF(AA189&gt;AA187," * F05-14 for Age "&amp;Z20&amp;" "&amp;AA21&amp;" is more than F05-12"&amp;CHAR(10),""),IF(AB189&gt;AB187," * Total F05-14 is more than Total F05-12"&amp;CHAR(10),""))</f>
        <v/>
      </c>
      <c r="AD189" s="620"/>
      <c r="AE189" s="80"/>
      <c r="AF189" s="776"/>
      <c r="AG189" s="404">
        <v>186</v>
      </c>
      <c r="AH189" s="310"/>
    </row>
    <row r="190" spans="1:34" s="7" customFormat="1" ht="31.5" thickBot="1" x14ac:dyDescent="0.55000000000000004">
      <c r="A190" s="641"/>
      <c r="B190" s="270" t="s">
        <v>699</v>
      </c>
      <c r="C190" s="133" t="s">
        <v>323</v>
      </c>
      <c r="D190" s="259"/>
      <c r="E190" s="228"/>
      <c r="F190" s="228"/>
      <c r="G190" s="228"/>
      <c r="H190" s="228"/>
      <c r="I190" s="228"/>
      <c r="J190" s="228"/>
      <c r="K190" s="214"/>
      <c r="L190" s="228"/>
      <c r="M190" s="214"/>
      <c r="N190" s="228"/>
      <c r="O190" s="214"/>
      <c r="P190" s="228"/>
      <c r="Q190" s="214"/>
      <c r="R190" s="228"/>
      <c r="S190" s="214"/>
      <c r="T190" s="228"/>
      <c r="U190" s="214"/>
      <c r="V190" s="228"/>
      <c r="W190" s="214"/>
      <c r="X190" s="228"/>
      <c r="Y190" s="214"/>
      <c r="Z190" s="228"/>
      <c r="AA190" s="214"/>
      <c r="AB190" s="88">
        <f t="shared" si="97"/>
        <v>0</v>
      </c>
      <c r="AC190" s="178" t="str">
        <f>CONCATENATE(IF(D190&gt;D187," * F05-15 for Age "&amp;D20&amp;" "&amp;D21&amp;" is more than F05-12"&amp;CHAR(10),""),IF(E190&gt;E187," * F05-15 for Age "&amp;D20&amp;" "&amp;E21&amp;" is more than F05-12"&amp;CHAR(10),""),IF(F190&gt;F187," * F05-15 for Age "&amp;F20&amp;" "&amp;F21&amp;" is more than F05-12"&amp;CHAR(10),""),IF(G190&gt;G187," * F05-15 for Age "&amp;F20&amp;" "&amp;G21&amp;" is more than F05-12"&amp;CHAR(10),""),IF(H190&gt;H187," * F05-15 for Age "&amp;H20&amp;" "&amp;H21&amp;" is more than F05-12"&amp;CHAR(10),""),IF(I190&gt;I187," * F05-15 for Age "&amp;H20&amp;" "&amp;I21&amp;" is more than F05-12"&amp;CHAR(10),""),IF(J190&gt;J187," * F05-15 for Age "&amp;J20&amp;" "&amp;J21&amp;" is more than F05-12"&amp;CHAR(10),""),IF(K190&gt;K187," * F05-15 for Age "&amp;J20&amp;" "&amp;K21&amp;" is more than F05-12"&amp;CHAR(10),""),IF(L190&gt;L187," * F05-15 for Age "&amp;L20&amp;" "&amp;L21&amp;" is more than F05-12"&amp;CHAR(10),""),IF(M190&gt;M187," * F05-15 for Age "&amp;L20&amp;" "&amp;M21&amp;" is more than F05-12"&amp;CHAR(10),""),IF(N190&gt;N187," * F05-15 for Age "&amp;N20&amp;" "&amp;N21&amp;" is more than F05-12"&amp;CHAR(10),""),IF(O190&gt;O187," * F05-15 for Age "&amp;N20&amp;" "&amp;O21&amp;" is more than F05-12"&amp;CHAR(10),""),IF(P190&gt;P187," * F05-15 for Age "&amp;P20&amp;" "&amp;P21&amp;" is more than F05-12"&amp;CHAR(10),""),IF(Q190&gt;Q187," * F05-15 for Age "&amp;P20&amp;" "&amp;Q21&amp;" is more than F05-12"&amp;CHAR(10),""),IF(R190&gt;R187," * F05-15 for Age "&amp;R20&amp;" "&amp;R21&amp;" is more than F05-12"&amp;CHAR(10),""),IF(S190&gt;S187," * F05-15 for Age "&amp;R20&amp;" "&amp;S21&amp;" is more than F05-12"&amp;CHAR(10),""),IF(T190&gt;T187," * F05-15 for Age "&amp;T20&amp;" "&amp;T21&amp;" is more than F05-12"&amp;CHAR(10),""),IF(U190&gt;U187," * F05-15 for Age "&amp;T20&amp;" "&amp;U21&amp;" is more than F05-12"&amp;CHAR(10),""),IF(V190&gt;V187," * F05-15 for Age "&amp;V20&amp;" "&amp;V21&amp;" is more than F05-12"&amp;CHAR(10),""),IF(W190&gt;W187," * F05-15 for Age "&amp;V20&amp;" "&amp;W21&amp;" is more than F05-12"&amp;CHAR(10),""),IF(X190&gt;X187," * F05-15 for Age "&amp;X20&amp;" "&amp;X21&amp;" is more than F05-12"&amp;CHAR(10),""),IF(Y190&gt;Y187," * F05-15 for Age "&amp;X20&amp;" "&amp;Y21&amp;" is more than F05-12"&amp;CHAR(10),""),IF(Z190&gt;Z187," * F05-15 for Age "&amp;Z20&amp;" "&amp;Z21&amp;" is more than F05-12"&amp;CHAR(10),""),IF(AA190&gt;AA187," * F05-15 for Age "&amp;Z20&amp;" "&amp;AA21&amp;" is more than F05-12"&amp;CHAR(10),""),IF(AB190&gt;AB187," * Total F05-12 is more than Total F05-12"&amp;CHAR(10),""))</f>
        <v/>
      </c>
      <c r="AD190" s="621"/>
      <c r="AE190" s="94"/>
      <c r="AF190" s="777"/>
      <c r="AG190" s="404">
        <v>187</v>
      </c>
      <c r="AH190" s="310"/>
    </row>
    <row r="191" spans="1:34" ht="36" thickBot="1" x14ac:dyDescent="0.55000000000000004">
      <c r="A191" s="724" t="s">
        <v>130</v>
      </c>
      <c r="B191" s="711"/>
      <c r="C191" s="711"/>
      <c r="D191" s="711"/>
      <c r="E191" s="711"/>
      <c r="F191" s="711"/>
      <c r="G191" s="711"/>
      <c r="H191" s="711"/>
      <c r="I191" s="711"/>
      <c r="J191" s="711"/>
      <c r="K191" s="711"/>
      <c r="L191" s="711"/>
      <c r="M191" s="711"/>
      <c r="N191" s="711"/>
      <c r="O191" s="711"/>
      <c r="P191" s="711"/>
      <c r="Q191" s="711"/>
      <c r="R191" s="711"/>
      <c r="S191" s="711"/>
      <c r="T191" s="711"/>
      <c r="U191" s="711"/>
      <c r="V191" s="711"/>
      <c r="W191" s="711"/>
      <c r="X191" s="711"/>
      <c r="Y191" s="711"/>
      <c r="Z191" s="711"/>
      <c r="AA191" s="711"/>
      <c r="AB191" s="711"/>
      <c r="AC191" s="711"/>
      <c r="AD191" s="711"/>
      <c r="AE191" s="711"/>
      <c r="AF191" s="712"/>
      <c r="AG191" s="404">
        <v>188</v>
      </c>
    </row>
    <row r="192" spans="1:34" ht="26.25" customHeight="1" x14ac:dyDescent="0.5">
      <c r="A192" s="661" t="s">
        <v>37</v>
      </c>
      <c r="B192" s="664" t="s">
        <v>347</v>
      </c>
      <c r="C192" s="666" t="s">
        <v>328</v>
      </c>
      <c r="D192" s="656" t="s">
        <v>0</v>
      </c>
      <c r="E192" s="649"/>
      <c r="F192" s="649" t="s">
        <v>1</v>
      </c>
      <c r="G192" s="649"/>
      <c r="H192" s="649" t="s">
        <v>2</v>
      </c>
      <c r="I192" s="649"/>
      <c r="J192" s="649" t="s">
        <v>3</v>
      </c>
      <c r="K192" s="649"/>
      <c r="L192" s="649" t="s">
        <v>4</v>
      </c>
      <c r="M192" s="649"/>
      <c r="N192" s="649" t="s">
        <v>5</v>
      </c>
      <c r="O192" s="649"/>
      <c r="P192" s="649" t="s">
        <v>6</v>
      </c>
      <c r="Q192" s="649"/>
      <c r="R192" s="649" t="s">
        <v>7</v>
      </c>
      <c r="S192" s="649"/>
      <c r="T192" s="649" t="s">
        <v>8</v>
      </c>
      <c r="U192" s="649"/>
      <c r="V192" s="649" t="s">
        <v>23</v>
      </c>
      <c r="W192" s="649"/>
      <c r="X192" s="649" t="s">
        <v>24</v>
      </c>
      <c r="Y192" s="649"/>
      <c r="Z192" s="649" t="s">
        <v>9</v>
      </c>
      <c r="AA192" s="649"/>
      <c r="AB192" s="719" t="s">
        <v>19</v>
      </c>
      <c r="AC192" s="642" t="s">
        <v>381</v>
      </c>
      <c r="AD192" s="644" t="s">
        <v>387</v>
      </c>
      <c r="AE192" s="702" t="s">
        <v>388</v>
      </c>
      <c r="AF192" s="725" t="s">
        <v>388</v>
      </c>
      <c r="AG192" s="404">
        <v>189</v>
      </c>
    </row>
    <row r="193" spans="1:33" ht="27" customHeight="1" thickBot="1" x14ac:dyDescent="0.55000000000000004">
      <c r="A193" s="662"/>
      <c r="B193" s="665"/>
      <c r="C193" s="667"/>
      <c r="D193" s="113" t="s">
        <v>10</v>
      </c>
      <c r="E193" s="78" t="s">
        <v>11</v>
      </c>
      <c r="F193" s="78" t="s">
        <v>10</v>
      </c>
      <c r="G193" s="78" t="s">
        <v>11</v>
      </c>
      <c r="H193" s="78" t="s">
        <v>10</v>
      </c>
      <c r="I193" s="78" t="s">
        <v>11</v>
      </c>
      <c r="J193" s="78" t="s">
        <v>10</v>
      </c>
      <c r="K193" s="78" t="s">
        <v>11</v>
      </c>
      <c r="L193" s="78" t="s">
        <v>10</v>
      </c>
      <c r="M193" s="78" t="s">
        <v>11</v>
      </c>
      <c r="N193" s="78" t="s">
        <v>10</v>
      </c>
      <c r="O193" s="78" t="s">
        <v>11</v>
      </c>
      <c r="P193" s="78" t="s">
        <v>10</v>
      </c>
      <c r="Q193" s="78" t="s">
        <v>11</v>
      </c>
      <c r="R193" s="78" t="s">
        <v>10</v>
      </c>
      <c r="S193" s="78" t="s">
        <v>11</v>
      </c>
      <c r="T193" s="78" t="s">
        <v>10</v>
      </c>
      <c r="U193" s="78" t="s">
        <v>11</v>
      </c>
      <c r="V193" s="78" t="s">
        <v>10</v>
      </c>
      <c r="W193" s="78" t="s">
        <v>11</v>
      </c>
      <c r="X193" s="78" t="s">
        <v>10</v>
      </c>
      <c r="Y193" s="78" t="s">
        <v>11</v>
      </c>
      <c r="Z193" s="78" t="s">
        <v>10</v>
      </c>
      <c r="AA193" s="78" t="s">
        <v>11</v>
      </c>
      <c r="AB193" s="720"/>
      <c r="AC193" s="643"/>
      <c r="AD193" s="645"/>
      <c r="AE193" s="702"/>
      <c r="AF193" s="726"/>
      <c r="AG193" s="404">
        <v>190</v>
      </c>
    </row>
    <row r="194" spans="1:33" ht="31.15" customHeight="1" x14ac:dyDescent="0.5">
      <c r="A194" s="771" t="s">
        <v>115</v>
      </c>
      <c r="B194" s="280" t="s">
        <v>700</v>
      </c>
      <c r="C194" s="271" t="s">
        <v>369</v>
      </c>
      <c r="D194" s="123"/>
      <c r="E194" s="31"/>
      <c r="F194" s="31"/>
      <c r="G194" s="31"/>
      <c r="H194" s="31"/>
      <c r="I194" s="31"/>
      <c r="J194" s="31"/>
      <c r="K194" s="32"/>
      <c r="L194" s="31"/>
      <c r="M194" s="32"/>
      <c r="N194" s="31"/>
      <c r="O194" s="32"/>
      <c r="P194" s="31"/>
      <c r="Q194" s="32"/>
      <c r="R194" s="31"/>
      <c r="S194" s="32"/>
      <c r="T194" s="31"/>
      <c r="U194" s="32"/>
      <c r="V194" s="31"/>
      <c r="W194" s="32"/>
      <c r="X194" s="31"/>
      <c r="Y194" s="32"/>
      <c r="Z194" s="31"/>
      <c r="AA194" s="31"/>
      <c r="AB194" s="102">
        <f>SUM(D194:AA194)</f>
        <v>0</v>
      </c>
      <c r="AC194" s="99" t="str">
        <f>CONCATENATE(IF(D194&lt;SUM(D195,D196)," * Sum of (KP at ANC1 and initial test at ANC1) for Age "&amp;D20&amp;" "&amp;D21&amp;" is more than New 1st ANC Clients"&amp;CHAR(10),""),IF(E194&lt;SUM(E195,E196,E136)," * Sum of (KP at ANC1 and initial test at ANC1) for Age "&amp;D20&amp;" "&amp;E21&amp;" is more than New 1st ANC Clients"&amp;CHAR(10),""),IF(F194&lt;SUM(F195,F196)," * Sum of (KP at ANC1 and initial test at ANC1) for Age "&amp;F20&amp;" "&amp;F21&amp;" is more than New 1st ANC Clients"&amp;CHAR(10),""),IF(G194&lt;SUM(G195,G196,G136)," * Sum of (KP at ANC1 and initial test at ANC1) for Age "&amp;F20&amp;" "&amp;G21&amp;" is more than New 1st ANC Clients"&amp;CHAR(10),""),IF(H194&lt;SUM(H195,H196)," * Sum of (KP at ANC1 and initial test at ANC1) for Age "&amp;H20&amp;" "&amp;H21&amp;" is more than New 1st ANC Clients"&amp;CHAR(10),""),IF(I194&lt;SUM(I195,I196,I136)," * Sum of (KP at ANC1 and initial test at ANC1) for Age "&amp;H20&amp;" "&amp;I21&amp;" is more than New 1st ANC Clients"&amp;CHAR(10),""),IF(J194&lt;SUM(J195,J196)," * Sum of (KP at ANC1 and initial test at ANC1) for Age "&amp;J20&amp;" "&amp;J21&amp;" is more than New 1st ANC Clients"&amp;CHAR(10),""),IF(K194&lt;SUM(K195,K196,K136)," * Sum of (KP at ANC1 and initial test at ANC1) for Age "&amp;J20&amp;" "&amp;K21&amp;" is more than New 1st ANC Clients"&amp;CHAR(10),""),IF(L194&lt;SUM(L195,L196)," * Sum of (KP at ANC1 and initial test at ANC1) for Age "&amp;L20&amp;" "&amp;L21&amp;" is more than New 1st ANC Clients"&amp;CHAR(10),""),IF(M194&lt;SUM(M195,M196,M136)," * Sum of (KP at ANC1 and initial test at ANC1) for Age "&amp;L20&amp;" "&amp;M21&amp;" is more than New 1st ANC Clients"&amp;CHAR(10),""),IF(N194&lt;SUM(N195,N196)," * Sum of (KP at ANC1 and initial test at ANC1) for Age "&amp;N20&amp;" "&amp;N21&amp;" is more than New 1st ANC Clients"&amp;CHAR(10),""),IF(O194&lt;SUM(O195,O196,O136)," * Sum of (KP at ANC1 and initial test at ANC1) for Age "&amp;N20&amp;" "&amp;O21&amp;" is more than New 1st ANC Clients"&amp;CHAR(10),""),IF(P194&lt;SUM(P195,P196)," * Sum of (KP at ANC1 and initial test at ANC1) for Age "&amp;P20&amp;" "&amp;P21&amp;" is more than New 1st ANC Clients"&amp;CHAR(10),""),IF(Q194&lt;SUM(Q195,Q196,Q136)," * Sum of (KP at ANC1 and initial test at ANC1) for Age "&amp;P20&amp;" "&amp;Q21&amp;" is more than New 1st ANC Clients"&amp;CHAR(10),""),IF(R194&lt;SUM(R195,R196)," * Sum of (KP at ANC1 and initial test at ANC1) for Age "&amp;R20&amp;" "&amp;R21&amp;" is more than New 1st ANC Clients"&amp;CHAR(10),""),IF(S194&lt;SUM(S195,S196,S136)," * Sum of (KP at ANC1 and initial test at ANC1) for Age "&amp;R20&amp;" "&amp;S21&amp;" is more than New 1st ANC Clients"&amp;CHAR(10),""),IF(T194&lt;SUM(T195,T196)," * Sum of (KP at ANC1 and initial test at ANC1) for Age "&amp;T20&amp;" "&amp;T21&amp;" is more than New 1st ANC Clients"&amp;CHAR(10),""),IF(U194&lt;SUM(U195,U196,U136)," * Sum of (KP at ANC1 and initial test at ANC1) for Age "&amp;T20&amp;" "&amp;U21&amp;" is more than New 1st ANC Clients"&amp;CHAR(10),""),IF(V194&lt;SUM(V195,V196)," * Sum of (KP at ANC1 and initial test at ANC1) for Age "&amp;V20&amp;" "&amp;V21&amp;" is more than New 1st ANC Clients"&amp;CHAR(10),""),IF(W194&lt;SUM(W195,W196,W136)," * Sum of (KP at ANC1 and initial test at ANC1) for Age "&amp;V20&amp;" "&amp;W21&amp;" is more than New 1st ANC Clients"&amp;CHAR(10),""),IF(X194&lt;SUM(X195,X196)," * Sum of (KP at ANC1 and initial test at ANC1) for Age "&amp;X20&amp;" "&amp;X21&amp;" is more than New 1st ANC Clients"&amp;CHAR(10),""),IF(Y194&lt;SUM(Y195,Y196,Y136)," * Sum of (KP at ANC1 and initial test at ANC1) for Age "&amp;X20&amp;" "&amp;Y21&amp;" is more than New 1st ANC Clients"&amp;CHAR(10),""),IF(Z194&lt;SUM(Z195,Z196)," * Sum of (KP at ANC1 and initial test at ANC1) for Age "&amp;Z20&amp;" "&amp;Z21&amp;" is more than New 1st ANC Clients"&amp;CHAR(10),""),IF(AA194&lt;SUM(AA195,AA196,AA136)," * Sum of (KP at ANC1 and initial test at ANC1) for Age "&amp;Z20&amp;" "&amp;AA21&amp;" is more than New 1st ANC Clients"&amp;CHAR(10),""),IF(AB194&lt;SUM(AB195,AB196)," * Total Sum of (KP at ANC1 and initial test at ANC1) is more than New 1st ANC Clients"&amp;CHAR(10),""))</f>
        <v/>
      </c>
      <c r="AD194" s="632" t="str">
        <f>CONCATENATE(AC194,AC195,AC196,AC197,AC200,AC204,AC208,AC214,AC207,AC206,AC198,AC199,AC203,AC210,AC211,AC212,AC213)</f>
        <v/>
      </c>
      <c r="AE194" s="103"/>
      <c r="AF194" s="626" t="str">
        <f>CONCATENATE(AE194,AE195,AE196,AE197,AE200,AE201,AE204,AE205,AE208,AE209,AE214,AE215,AE198,AE199,AE202,AE203,AE206,AE207,AE210,AE211,AE212,AE213)</f>
        <v/>
      </c>
      <c r="AG194" s="404">
        <v>191</v>
      </c>
    </row>
    <row r="195" spans="1:33" ht="31.15" customHeight="1" x14ac:dyDescent="0.5">
      <c r="A195" s="731"/>
      <c r="B195" s="281" t="s">
        <v>701</v>
      </c>
      <c r="C195" s="131" t="s">
        <v>276</v>
      </c>
      <c r="D195" s="124"/>
      <c r="E195" s="18"/>
      <c r="F195" s="18"/>
      <c r="G195" s="18"/>
      <c r="H195" s="18"/>
      <c r="I195" s="18"/>
      <c r="J195" s="18"/>
      <c r="K195" s="185"/>
      <c r="L195" s="187"/>
      <c r="M195" s="185"/>
      <c r="N195" s="187"/>
      <c r="O195" s="185"/>
      <c r="P195" s="187"/>
      <c r="Q195" s="185"/>
      <c r="R195" s="187"/>
      <c r="S195" s="185"/>
      <c r="T195" s="187"/>
      <c r="U195" s="185"/>
      <c r="V195" s="187"/>
      <c r="W195" s="185"/>
      <c r="X195" s="187"/>
      <c r="Y195" s="185"/>
      <c r="Z195" s="18"/>
      <c r="AA195" s="18"/>
      <c r="AB195" s="58">
        <f t="shared" ref="AB195:AB223" si="98">SUM(D195:AA195)</f>
        <v>0</v>
      </c>
      <c r="AC195" s="82" t="str">
        <f>CONCATENATE(IF(D228&gt;D195," * ON HAART at 1st ANC for Age "&amp;D20&amp;" "&amp;D21&amp;" is more than KP at 1st ANC "&amp;CHAR(10),""),IF(E228&gt;E195," * ON HAART at 1st ANC for Age "&amp;D20&amp;" "&amp;E21&amp;" is more than KP at 1st ANC "&amp;CHAR(10),""),IF(F228&gt;F195," * ON HAART at 1st ANC for Age "&amp;F20&amp;" "&amp;F21&amp;" is more than KP at 1st ANC "&amp;CHAR(10),""),IF(G228&gt;G195," * ON HAART at 1st ANC for Age "&amp;F20&amp;" "&amp;G21&amp;" is more than KP at 1st ANC "&amp;CHAR(10),""),IF(H228&gt;H195," * ON HAART at 1st ANC for Age "&amp;H20&amp;" "&amp;H21&amp;" is more than KP at 1st ANC "&amp;CHAR(10),""),IF(I228&gt;I195," * ON HAART at 1st ANC for Age "&amp;H20&amp;" "&amp;I21&amp;" is more than KP at 1st ANC "&amp;CHAR(10),""),IF(J228&gt;J195," * ON HAART at 1st ANC for Age "&amp;J20&amp;" "&amp;J21&amp;" is more than KP at 1st ANC "&amp;CHAR(10),""),IF(K228&gt;K195," * ON HAART at 1st ANC for Age "&amp;J20&amp;" "&amp;K21&amp;" is more than KP at 1st ANC "&amp;CHAR(10),""),IF(L228&gt;L195," * ON HAART at 1st ANC for Age "&amp;L20&amp;" "&amp;L21&amp;" is more than KP at 1st ANC "&amp;CHAR(10),""),IF(M228&gt;M195," * ON HAART at 1st ANC for Age "&amp;L20&amp;" "&amp;M21&amp;" is more than KP at 1st ANC "&amp;CHAR(10),""),IF(N228&gt;N195," * ON HAART at 1st ANC for Age "&amp;N20&amp;" "&amp;N21&amp;" is more than KP at 1st ANC "&amp;CHAR(10),""),IF(O228&gt;O195," * ON HAART at 1st ANC for Age "&amp;N20&amp;" "&amp;O21&amp;" is more than KP at 1st ANC "&amp;CHAR(10),""),IF(P228&gt;P195," * ON HAART at 1st ANC for Age "&amp;P20&amp;" "&amp;P21&amp;" is more than KP at 1st ANC "&amp;CHAR(10),""),IF(Q228&gt;Q195," * ON HAART at 1st ANC for Age "&amp;P20&amp;" "&amp;Q21&amp;" is more than KP at 1st ANC "&amp;CHAR(10),""),IF(R228&gt;R195," * ON HAART at 1st ANC for Age "&amp;R20&amp;" "&amp;R21&amp;" is more than KP at 1st ANC "&amp;CHAR(10),""),IF(S228&gt;S195," * ON HAART at 1st ANC for Age "&amp;R20&amp;" "&amp;S21&amp;" is more than KP at 1st ANC "&amp;CHAR(10),""),IF(T228&gt;T195," * ON HAART at 1st ANC for Age "&amp;T20&amp;" "&amp;T21&amp;" is more than KP at 1st ANC "&amp;CHAR(10),""),IF(U228&gt;U195," * ON HAART at 1st ANC for Age "&amp;T20&amp;" "&amp;U21&amp;" is more than KP at 1st ANC "&amp;CHAR(10),""),IF(V228&gt;V195," * ON HAART at 1st ANC for Age "&amp;V20&amp;" "&amp;V21&amp;" is more than KP at 1st ANC "&amp;CHAR(10),""),IF(W228&gt;W195," * ON HAART at 1st ANC for Age "&amp;V20&amp;" "&amp;W21&amp;" is more than KP at 1st ANC "&amp;CHAR(10),""),IF(X228&gt;X195," * ON HAART at 1st ANC for Age "&amp;X20&amp;" "&amp;X21&amp;" is more than KP at 1st ANC "&amp;CHAR(10),""),IF(Y228&gt;Y195," * ON HAART at 1st ANC for Age "&amp;X20&amp;" "&amp;Y21&amp;" is more than KP at 1st ANC "&amp;CHAR(10),""),IF(Z228&gt;Z195," * ON HAART at 1st ANC for Age "&amp;Z20&amp;" "&amp;Z21&amp;" is more than KP at 1st ANC "&amp;CHAR(10),""),IF(AA228&gt;AA195," * ON HAART at 1st ANC for Age "&amp;Z20&amp;" "&amp;AA21&amp;" is more than KP at 1st ANC "&amp;CHAR(10),""))</f>
        <v/>
      </c>
      <c r="AD195" s="633"/>
      <c r="AE195" s="92" t="str">
        <f>CONCATENATE(IF(D194&gt;SUM(D195,D196)," * Sum of (KP at ANC1 and initial test at ANC1) for Age "&amp;D20&amp;" "&amp;D21&amp;" is less than New 1st ANC Clients"&amp;CHAR(10),""),IF(E194&gt;SUM(E195,E196,E136)," * Sum of (KP at ANC1 and initial test at ANC1) for Age "&amp;D20&amp;" "&amp;E21&amp;" is less than New 1st ANC Clients"&amp;CHAR(10),""),IF(F194&gt;SUM(F195,F196)," * Sum of (KP at ANC1 and initial test at ANC1) for Age "&amp;F20&amp;" "&amp;F21&amp;" is less than New 1st ANC Clients"&amp;CHAR(10),""),IF(G194&gt;SUM(G195,G196,G136)," * Sum of (KP at ANC1 and initial test at ANC1) for Age "&amp;F20&amp;" "&amp;G21&amp;" is less than New 1st ANC Clients"&amp;CHAR(10),""),IF(H194&gt;SUM(H195,H196)," * Sum of (KP at ANC1 and initial test at ANC1) for Age "&amp;H20&amp;" "&amp;H21&amp;" is less than New 1st ANC Clients"&amp;CHAR(10),""),IF(I194&gt;SUM(I195,I196,I136)," * Sum of (KP at ANC1 and initial test at ANC1) for Age "&amp;H20&amp;" "&amp;I21&amp;" is less than New 1st ANC Clients"&amp;CHAR(10),""),IF(J194&gt;SUM(J195,J196)," * Sum of (KP at ANC1 and initial test at ANC1) for Age "&amp;J20&amp;" "&amp;J21&amp;" is less than New 1st ANC Clients"&amp;CHAR(10),""),IF(K194&gt;SUM(K195,K196,K136)," * Sum of (KP at ANC1 and initial test at ANC1) for Age "&amp;J20&amp;" "&amp;K21&amp;" is less than New 1st ANC Clients"&amp;CHAR(10),""),IF(L194&gt;SUM(L195,L196)," * Sum of (KP at ANC1 and initial test at ANC1) for Age "&amp;L20&amp;" "&amp;L21&amp;" is less than New 1st ANC Clients"&amp;CHAR(10),""),IF(M194&gt;SUM(M195,M196,M136)," * Sum of (KP at ANC1 and initial test at ANC1) for Age "&amp;L20&amp;" "&amp;M21&amp;" is less than New 1st ANC Clients"&amp;CHAR(10),""),IF(N194&gt;SUM(N195,N196)," * Sum of (KP at ANC1 and initial test at ANC1) for Age "&amp;N20&amp;" "&amp;N21&amp;" is less than New 1st ANC Clients"&amp;CHAR(10),""),IF(O194&gt;SUM(O195,O196,O136)," * Sum of (KP at ANC1 and initial test at ANC1) for Age "&amp;N20&amp;" "&amp;O21&amp;" is less than New 1st ANC Clients"&amp;CHAR(10),""),IF(P194&gt;SUM(P195,P196)," * Sum of (KP at ANC1 and initial test at ANC1) for Age "&amp;P20&amp;" "&amp;P21&amp;" is less than New 1st ANC Clients"&amp;CHAR(10),""),IF(Q194&gt;SUM(Q195,Q196,Q136)," * Sum of (KP at ANC1 and initial test at ANC1) for Age "&amp;P20&amp;" "&amp;Q21&amp;" is less than New 1st ANC Clients"&amp;CHAR(10),""),IF(R194&gt;SUM(R195,R196)," * Sum of (KP at ANC1 and initial test at ANC1) for Age "&amp;R20&amp;" "&amp;R21&amp;" is less than New 1st ANC Clients"&amp;CHAR(10),""),IF(S194&gt;SUM(S195,S196,S136)," * Sum of (KP at ANC1 and initial test at ANC1) for Age "&amp;R20&amp;" "&amp;S21&amp;" is less than New 1st ANC Clients"&amp;CHAR(10),""),IF(T194&gt;SUM(T195,T196)," * Sum of (KP at ANC1 and initial test at ANC1) for Age "&amp;T20&amp;" "&amp;T21&amp;" is less than New 1st ANC Clients"&amp;CHAR(10),""),IF(U194&gt;SUM(U195,U196,U136)," * Sum of (KP at ANC1 and initial test at ANC1) for Age "&amp;T20&amp;" "&amp;U21&amp;" is less than New 1st ANC Clients"&amp;CHAR(10),""),IF(V194&gt;SUM(V195,V196)," * Sum of (KP at ANC1 and initial test at ANC1) for Age "&amp;V20&amp;" "&amp;V21&amp;" is less than New 1st ANC Clients"&amp;CHAR(10),""),IF(W194&gt;SUM(W195,W196,W136)," * Sum of (KP at ANC1 and initial test at ANC1) for Age "&amp;V20&amp;" "&amp;W21&amp;" is less than New 1st ANC Clients"&amp;CHAR(10),""),IF(X194&gt;SUM(X195,X196)," * Sum of (KP at ANC1 and initial test at ANC1) for Age "&amp;X20&amp;" "&amp;X21&amp;" is less than New 1st ANC Clients"&amp;CHAR(10),""),IF(Y194&gt;SUM(Y195,Y196,Y136)," * Sum of (KP at ANC1 and initial test at ANC1) for Age "&amp;X20&amp;" "&amp;Y21&amp;" is less than New 1st ANC Clients"&amp;CHAR(10),""),IF(Z194&gt;SUM(Z195,Z196)," * Sum of (KP at ANC1 and initial test at ANC1) for Age "&amp;Z20&amp;" "&amp;Z21&amp;" is less than New 1st ANC Clients"&amp;CHAR(10),""),IF(AA194&gt;SUM(AA195,AA196,AA136)," * Sum of (KP at ANC1 and initial test at ANC1) for Age "&amp;Z20&amp;" "&amp;AA21&amp;" is less than New 1st ANC Clients"&amp;CHAR(10),""))</f>
        <v/>
      </c>
      <c r="AF195" s="627"/>
      <c r="AG195" s="404">
        <v>192</v>
      </c>
    </row>
    <row r="196" spans="1:33" x14ac:dyDescent="0.5">
      <c r="A196" s="731"/>
      <c r="B196" s="282" t="s">
        <v>702</v>
      </c>
      <c r="C196" s="131" t="s">
        <v>277</v>
      </c>
      <c r="D196" s="124"/>
      <c r="E196" s="18"/>
      <c r="F196" s="18"/>
      <c r="G196" s="18"/>
      <c r="H196" s="18"/>
      <c r="I196" s="18"/>
      <c r="J196" s="18"/>
      <c r="K196" s="19"/>
      <c r="L196" s="18"/>
      <c r="M196" s="19"/>
      <c r="N196" s="18"/>
      <c r="O196" s="19"/>
      <c r="P196" s="18"/>
      <c r="Q196" s="19"/>
      <c r="R196" s="18"/>
      <c r="S196" s="19"/>
      <c r="T196" s="18"/>
      <c r="U196" s="19"/>
      <c r="V196" s="18"/>
      <c r="W196" s="19"/>
      <c r="X196" s="18"/>
      <c r="Y196" s="19"/>
      <c r="Z196" s="18"/>
      <c r="AA196" s="18"/>
      <c r="AB196" s="58">
        <f t="shared" si="98"/>
        <v>0</v>
      </c>
      <c r="AC196" s="82" t="str">
        <f>CONCATENATE(IF(D196&gt;D194," * F06-03 for Age "&amp;D20&amp;" "&amp;D21&amp;" is more than F06-01"&amp;CHAR(10),""),IF(E196&gt;E194," * F06-03 for Age "&amp;D20&amp;" "&amp;E21&amp;" is more than F06-01"&amp;CHAR(10),""),IF(F196&gt;F194," * F06-03 for Age "&amp;F20&amp;" "&amp;F21&amp;" is more than F06-01"&amp;CHAR(10),""),IF(G196&gt;G194," * F06-03 for Age "&amp;F20&amp;" "&amp;G21&amp;" is more than F06-01"&amp;CHAR(10),""),IF(H196&gt;H194," * F06-03 for Age "&amp;H20&amp;" "&amp;H21&amp;" is more than F06-01"&amp;CHAR(10),""),IF(I196&gt;I194," * F06-03 for Age "&amp;H20&amp;" "&amp;I21&amp;" is more than F06-01"&amp;CHAR(10),""),IF(J196&gt;J194," * F06-03 for Age "&amp;J20&amp;" "&amp;J21&amp;" is more than F06-01"&amp;CHAR(10),""),IF(K196&gt;K194," * F06-03 for Age "&amp;J20&amp;" "&amp;K21&amp;" is more than F06-01"&amp;CHAR(10),""),IF(L196&gt;L194," * F06-03 for Age "&amp;L20&amp;" "&amp;L21&amp;" is more than F06-01"&amp;CHAR(10),""),IF(M196&gt;M194," * F06-03 for Age "&amp;L20&amp;" "&amp;M21&amp;" is more than F06-01"&amp;CHAR(10),""),IF(N196&gt;N194," * F06-03 for Age "&amp;N20&amp;" "&amp;N21&amp;" is more than F06-01"&amp;CHAR(10),""),IF(O196&gt;O194," * F06-03 for Age "&amp;N20&amp;" "&amp;O21&amp;" is more than F06-01"&amp;CHAR(10),""),IF(P196&gt;P194," * F06-03 for Age "&amp;P20&amp;" "&amp;P21&amp;" is more than F06-01"&amp;CHAR(10),""),IF(Q196&gt;Q194," * F06-03 for Age "&amp;P20&amp;" "&amp;Q21&amp;" is more than F06-01"&amp;CHAR(10),""),IF(R196&gt;R194," * F06-03 for Age "&amp;R20&amp;" "&amp;R21&amp;" is more than F06-01"&amp;CHAR(10),""),IF(S196&gt;S194," * F06-03 for Age "&amp;R20&amp;" "&amp;S21&amp;" is more than F06-01"&amp;CHAR(10),""),IF(T196&gt;T194," * F06-03 for Age "&amp;T20&amp;" "&amp;T21&amp;" is more than F06-01"&amp;CHAR(10),""),IF(U196&gt;U194," * F06-03 for Age "&amp;T20&amp;" "&amp;U21&amp;" is more than F06-01"&amp;CHAR(10),""),IF(V196&gt;V194," * F06-03 for Age "&amp;V20&amp;" "&amp;V21&amp;" is more than F06-01"&amp;CHAR(10),""),IF(W196&gt;W194," * F06-03 for Age "&amp;V20&amp;" "&amp;W21&amp;" is more than F06-01"&amp;CHAR(10),""),IF(X196&gt;X194," * F06-03 for Age "&amp;X20&amp;" "&amp;X21&amp;" is more than F06-01"&amp;CHAR(10),""),IF(Y196&gt;Y194," * F06-03 for Age "&amp;X20&amp;" "&amp;Y21&amp;" is more than F06-01"&amp;CHAR(10),""),IF(Z196&gt;Z194," * F06-03 for Age "&amp;Z20&amp;" "&amp;Z21&amp;" is more than F06-01"&amp;CHAR(10),""),IF(AA196&gt;AA194," * F06-03 for Age "&amp;Z20&amp;" "&amp;AA21&amp;" is more than F06-01"&amp;CHAR(10),""),IF(AB196&gt;AB194," * Total F06-03 is more than Total F06-01"&amp;CHAR(10),""))</f>
        <v/>
      </c>
      <c r="AD196" s="633"/>
      <c r="AE196" s="80"/>
      <c r="AF196" s="627"/>
      <c r="AG196" s="404">
        <v>193</v>
      </c>
    </row>
    <row r="197" spans="1:33" ht="32.25" x14ac:dyDescent="0.5">
      <c r="A197" s="731"/>
      <c r="B197" s="304" t="s">
        <v>703</v>
      </c>
      <c r="C197" s="131" t="s">
        <v>370</v>
      </c>
      <c r="D197" s="124"/>
      <c r="E197" s="18"/>
      <c r="F197" s="18"/>
      <c r="G197" s="18"/>
      <c r="H197" s="18"/>
      <c r="I197" s="18"/>
      <c r="J197" s="18"/>
      <c r="K197" s="185"/>
      <c r="L197" s="18"/>
      <c r="M197" s="185"/>
      <c r="N197" s="18"/>
      <c r="O197" s="185"/>
      <c r="P197" s="18"/>
      <c r="Q197" s="185"/>
      <c r="R197" s="18"/>
      <c r="S197" s="185"/>
      <c r="T197" s="18"/>
      <c r="U197" s="185"/>
      <c r="V197" s="18"/>
      <c r="W197" s="185"/>
      <c r="X197" s="18"/>
      <c r="Y197" s="185"/>
      <c r="Z197" s="18"/>
      <c r="AA197" s="18"/>
      <c r="AB197" s="58">
        <f t="shared" si="98"/>
        <v>0</v>
      </c>
      <c r="AC197" s="82" t="str">
        <f>CONCATENATE(IF(D197&gt;D196," * New positive at ANC1 for Age "&amp;D20&amp;" "&amp;D21&amp;" is more than initial test at ANC1"&amp;CHAR(10),""),IF(E197&gt;E196," * New positive at ANC1 for Age "&amp;D20&amp;" "&amp;E21&amp;" is more than initial test at ANC1"&amp;CHAR(10),""),IF(F197&gt;F196," * New positive at ANC1 for Age "&amp;F20&amp;" "&amp;F21&amp;" is more than initial test at ANC1"&amp;CHAR(10),""),IF(G197&gt;G196," * New positive at ANC1 for Age "&amp;F20&amp;" "&amp;G21&amp;" is more than initial test at ANC1"&amp;CHAR(10),""),IF(H197&gt;H196," * New positive at ANC1 for Age "&amp;H20&amp;" "&amp;H21&amp;" is more than initial test at ANC1"&amp;CHAR(10),""),IF(I197&gt;I196," * New positive at ANC1 for Age "&amp;H20&amp;" "&amp;I21&amp;" is more than initial test at ANC1"&amp;CHAR(10),""),IF(J197&gt;J196," * New positive at ANC1 for Age "&amp;J20&amp;" "&amp;J21&amp;" is more than initial test at ANC1"&amp;CHAR(10),""),IF(K197&gt;K196," * New positive at ANC1 for Age "&amp;J20&amp;" "&amp;K21&amp;" is more than initial test at ANC1"&amp;CHAR(10),""),IF(L197&gt;L196," * New positive at ANC1 for Age "&amp;L20&amp;" "&amp;L21&amp;" is more than initial test at ANC1"&amp;CHAR(10),""),IF(M197&gt;M196," * New positive at ANC1 for Age "&amp;L20&amp;" "&amp;M21&amp;" is more than initial test at ANC1"&amp;CHAR(10),""),IF(N197&gt;N196," * New positive at ANC1 for Age "&amp;N20&amp;" "&amp;N21&amp;" is more than initial test at ANC1"&amp;CHAR(10),""),IF(O197&gt;O196," * New positive at ANC1 for Age "&amp;N20&amp;" "&amp;O21&amp;" is more than initial test at ANC1"&amp;CHAR(10),""),IF(P197&gt;P196," * New positive at ANC1 for Age "&amp;P20&amp;" "&amp;P21&amp;" is more than initial test at ANC1"&amp;CHAR(10),""),IF(Q197&gt;Q196," * New positive at ANC1 for Age "&amp;P20&amp;" "&amp;Q21&amp;" is more than initial test at ANC1"&amp;CHAR(10),""),IF(R197&gt;R196," * New positive at ANC1 for Age "&amp;R20&amp;" "&amp;R21&amp;" is more than initial test at ANC1"&amp;CHAR(10),""),IF(S197&gt;S196," * New positive at ANC1 for Age "&amp;R20&amp;" "&amp;S21&amp;" is more than initial test at ANC1"&amp;CHAR(10),""),IF(T197&gt;T196," * New positive at ANC1 for Age "&amp;T20&amp;" "&amp;T21&amp;" is more than initial test at ANC1"&amp;CHAR(10),""),IF(U197&gt;U196," * New positive at ANC1 for Age "&amp;T20&amp;" "&amp;U21&amp;" is more than initial test at ANC1"&amp;CHAR(10),""),IF(V197&gt;V196," * New positive at ANC1 for Age "&amp;V20&amp;" "&amp;V21&amp;" is more than initial test at ANC1"&amp;CHAR(10),""),IF(W197&gt;W196," * New positive at ANC1 for Age "&amp;V20&amp;" "&amp;W21&amp;" is more than initial test at ANC1"&amp;CHAR(10),""),IF(X197&gt;X196," * New positive at ANC1 for Age "&amp;X20&amp;" "&amp;X21&amp;" is more than initial test at ANC1"&amp;CHAR(10),""),IF(Y197&gt;Y196," * New positive at ANC1 for Age "&amp;X20&amp;" "&amp;Y21&amp;" is more than initial test at ANC1"&amp;CHAR(10),""),IF(Z197&gt;Z196," * New positive at ANC1 for Age "&amp;Z20&amp;" "&amp;Z21&amp;" is more than initial test at ANC1"&amp;CHAR(10),""),IF(AA197&gt;AA196," * New positive at ANC1 for Age "&amp;Z20&amp;" "&amp;AA21&amp;" is more than initial test at ANC1"&amp;CHAR(10),""),IF(AB197&gt;AB196," * Total New positive at ANC1 is more than Total initial test at ANC1"&amp;CHAR(10),""))</f>
        <v/>
      </c>
      <c r="AD197" s="633"/>
      <c r="AE197" s="80"/>
      <c r="AF197" s="627"/>
      <c r="AG197" s="404">
        <v>194</v>
      </c>
    </row>
    <row r="198" spans="1:33" ht="28.5" x14ac:dyDescent="0.5">
      <c r="A198" s="731"/>
      <c r="B198" s="406" t="s">
        <v>477</v>
      </c>
      <c r="C198" s="131" t="s">
        <v>481</v>
      </c>
      <c r="D198" s="124"/>
      <c r="E198" s="18"/>
      <c r="F198" s="18"/>
      <c r="G198" s="18"/>
      <c r="H198" s="18"/>
      <c r="I198" s="18"/>
      <c r="J198" s="18"/>
      <c r="K198" s="26">
        <f>K196+K195</f>
        <v>0</v>
      </c>
      <c r="L198" s="18"/>
      <c r="M198" s="26">
        <f>M196+M195</f>
        <v>0</v>
      </c>
      <c r="N198" s="18"/>
      <c r="O198" s="26">
        <f>O196+O195</f>
        <v>0</v>
      </c>
      <c r="P198" s="18"/>
      <c r="Q198" s="26">
        <f>Q196+Q195</f>
        <v>0</v>
      </c>
      <c r="R198" s="18"/>
      <c r="S198" s="26">
        <f>S196+S195</f>
        <v>0</v>
      </c>
      <c r="T198" s="18"/>
      <c r="U198" s="26">
        <f>U196+U195</f>
        <v>0</v>
      </c>
      <c r="V198" s="18"/>
      <c r="W198" s="26">
        <f>W196+W195</f>
        <v>0</v>
      </c>
      <c r="X198" s="18"/>
      <c r="Y198" s="26">
        <f>Y196+Y195</f>
        <v>0</v>
      </c>
      <c r="Z198" s="18"/>
      <c r="AA198" s="18"/>
      <c r="AB198" s="58">
        <f t="shared" si="98"/>
        <v>0</v>
      </c>
      <c r="AC198" s="82"/>
      <c r="AD198" s="633"/>
      <c r="AE198" s="80"/>
      <c r="AF198" s="627"/>
      <c r="AG198" s="404">
        <v>195</v>
      </c>
    </row>
    <row r="199" spans="1:33" ht="29.25" thickBot="1" x14ac:dyDescent="0.55000000000000004">
      <c r="A199" s="658"/>
      <c r="B199" s="407" t="s">
        <v>482</v>
      </c>
      <c r="C199" s="133" t="s">
        <v>498</v>
      </c>
      <c r="D199" s="138"/>
      <c r="E199" s="37"/>
      <c r="F199" s="37"/>
      <c r="G199" s="37"/>
      <c r="H199" s="37"/>
      <c r="I199" s="37"/>
      <c r="J199" s="37"/>
      <c r="K199" s="59">
        <f>K197+K195</f>
        <v>0</v>
      </c>
      <c r="L199" s="37"/>
      <c r="M199" s="59">
        <f>M197+M195</f>
        <v>0</v>
      </c>
      <c r="N199" s="37"/>
      <c r="O199" s="59">
        <f>O197+O195</f>
        <v>0</v>
      </c>
      <c r="P199" s="37"/>
      <c r="Q199" s="59">
        <f>Q197+Q195</f>
        <v>0</v>
      </c>
      <c r="R199" s="37"/>
      <c r="S199" s="59">
        <f>S197+S195</f>
        <v>0</v>
      </c>
      <c r="T199" s="37"/>
      <c r="U199" s="59">
        <f>U197+U195</f>
        <v>0</v>
      </c>
      <c r="V199" s="37"/>
      <c r="W199" s="59">
        <f>W197+W195</f>
        <v>0</v>
      </c>
      <c r="X199" s="37"/>
      <c r="Y199" s="59">
        <f>Y197+Y195</f>
        <v>0</v>
      </c>
      <c r="Z199" s="37"/>
      <c r="AA199" s="37"/>
      <c r="AB199" s="60">
        <f t="shared" si="98"/>
        <v>0</v>
      </c>
      <c r="AC199" s="82"/>
      <c r="AD199" s="633"/>
      <c r="AE199" s="80"/>
      <c r="AF199" s="627"/>
      <c r="AG199" s="404">
        <v>196</v>
      </c>
    </row>
    <row r="200" spans="1:33" x14ac:dyDescent="0.6">
      <c r="A200" s="659" t="s">
        <v>1024</v>
      </c>
      <c r="B200" s="283" t="s">
        <v>704</v>
      </c>
      <c r="C200" s="263" t="s">
        <v>282</v>
      </c>
      <c r="D200" s="136"/>
      <c r="E200" s="33"/>
      <c r="F200" s="33"/>
      <c r="G200" s="33"/>
      <c r="H200" s="33"/>
      <c r="I200" s="33"/>
      <c r="J200" s="33"/>
      <c r="K200" s="34"/>
      <c r="L200" s="33"/>
      <c r="M200" s="34"/>
      <c r="N200" s="33"/>
      <c r="O200" s="34"/>
      <c r="P200" s="33"/>
      <c r="Q200" s="34"/>
      <c r="R200" s="33"/>
      <c r="S200" s="34"/>
      <c r="T200" s="33"/>
      <c r="U200" s="34"/>
      <c r="V200" s="33"/>
      <c r="W200" s="34"/>
      <c r="X200" s="33"/>
      <c r="Y200" s="34"/>
      <c r="Z200" s="33"/>
      <c r="AA200" s="33"/>
      <c r="AB200" s="61">
        <f t="shared" si="98"/>
        <v>0</v>
      </c>
      <c r="AC200" s="704" t="str">
        <f>CONCATENATE(IF(D201&gt;D200," * Initial positive results at ANC 2 and above for Age "&amp;D20&amp;" "&amp;D21&amp;" is more than Initial test at ANC 2 and above"&amp;CHAR(10),""),IF(E201&gt;E200," * Initial positive results at ANC 2 and above for Age "&amp;D20&amp;" "&amp;E21&amp;" is more than Initial test at ANC 2 and above"&amp;CHAR(10),""),IF(F201&gt;F200," * Initial positive results at ANC 2 and above for Age "&amp;F20&amp;" "&amp;F21&amp;" is more than Initial test at ANC 2 and above"&amp;CHAR(10),""),IF(G201&gt;G200," * Initial positive results at ANC 2 and above for Age "&amp;F20&amp;" "&amp;G21&amp;" is more than Initial test at ANC 2 and above"&amp;CHAR(10),""),IF(H201&gt;H200," * Initial positive results at ANC 2 and above for Age "&amp;H20&amp;" "&amp;H21&amp;" is more than Initial test at ANC 2 and above"&amp;CHAR(10),""),IF(I201&gt;I200," * Initial positive results at ANC 2 and above for Age "&amp;H20&amp;" "&amp;I21&amp;" is more than Initial test at ANC 2 and above"&amp;CHAR(10),""),IF(J201&gt;J200," * Initial positive results at ANC 2 and above for Age "&amp;J20&amp;" "&amp;J21&amp;" is more than Initial test at ANC 2 and above"&amp;CHAR(10),""),IF(K201&gt;K200," * Initial positive results at ANC 2 and above for Age "&amp;J20&amp;" "&amp;K21&amp;" is more than Initial test at ANC 2 and above"&amp;CHAR(10),""),IF(L201&gt;L200," * Initial positive results at ANC 2 and above for Age "&amp;L20&amp;" "&amp;L21&amp;" is more than Initial test at ANC 2 and above"&amp;CHAR(10),""),IF(M201&gt;M200," * Initial positive results at ANC 2 and above for Age "&amp;L20&amp;" "&amp;M21&amp;" is more than Initial test at ANC 2 and above"&amp;CHAR(10),""),IF(N201&gt;N200," * Initial positive results at ANC 2 and above for Age "&amp;N20&amp;" "&amp;N21&amp;" is more than Initial test at ANC 2 and above"&amp;CHAR(10),""),IF(O201&gt;O200," * Initial positive results at ANC 2 and above for Age "&amp;N20&amp;" "&amp;O21&amp;" is more than Initial test at ANC 2 and above"&amp;CHAR(10),""),IF(P201&gt;P200," * Initial positive results at ANC 2 and above for Age "&amp;P20&amp;" "&amp;P21&amp;" is more than Initial test at ANC 2 and above"&amp;CHAR(10),""),IF(Q201&gt;Q200," * Initial positive results at ANC 2 and above for Age "&amp;P20&amp;" "&amp;Q21&amp;" is more than Initial test at ANC 2 and above"&amp;CHAR(10),""),IF(R201&gt;R200," * Initial positive results at ANC 2 and above for Age "&amp;R20&amp;" "&amp;R21&amp;" is more than Initial test at ANC 2 and above"&amp;CHAR(10),""),IF(S201&gt;S200," * Initial positive results at ANC 2 and above for Age "&amp;R20&amp;" "&amp;S21&amp;" is more than Initial test at ANC 2 and above"&amp;CHAR(10),""),IF(T201&gt;T200," * Initial positive results at ANC 2 and above for Age "&amp;T20&amp;" "&amp;T21&amp;" is more than Initial test at ANC 2 and above"&amp;CHAR(10),""),IF(U201&gt;U200," * Initial positive results at ANC 2 and above for Age "&amp;T20&amp;" "&amp;U21&amp;" is more than Initial test at ANC 2 and above"&amp;CHAR(10),""),IF(V201&gt;V200," * Initial positive results at ANC 2 and above for Age "&amp;V20&amp;" "&amp;V21&amp;" is more than Initial test at ANC 2 and above"&amp;CHAR(10),""),IF(W201&gt;W200," * Initial positive results at ANC 2 and above for Age "&amp;V20&amp;" "&amp;W21&amp;" is more than Initial test at ANC 2 and above"&amp;CHAR(10),""),IF(X201&gt;X200," * Initial positive results at ANC 2 and above for Age "&amp;X20&amp;" "&amp;X21&amp;" is more than Initial test at ANC 2 and above"&amp;CHAR(10),""),IF(Y201&gt;Y200," * Initial positive results at ANC 2 and above for Age "&amp;X20&amp;" "&amp;Y21&amp;" is more than Initial test at ANC 2 and above"&amp;CHAR(10),""),IF(Z201&gt;Z200," * Initial positive results at ANC 2 and above for Age "&amp;Z20&amp;" "&amp;Z21&amp;" is more than Initial test at ANC 2 and above"&amp;CHAR(10),""),IF(AA201&gt;AA200," * Initial positive results at ANC 2 and above for Age "&amp;Z20&amp;" "&amp;AA21&amp;" is more than Initial test at ANC 2 and above"&amp;CHAR(10),""))</f>
        <v/>
      </c>
      <c r="AD200" s="633"/>
      <c r="AE200" s="80"/>
      <c r="AF200" s="627"/>
      <c r="AG200" s="404">
        <v>197</v>
      </c>
    </row>
    <row r="201" spans="1:33" ht="32.25" x14ac:dyDescent="0.5">
      <c r="A201" s="686"/>
      <c r="B201" s="305" t="s">
        <v>479</v>
      </c>
      <c r="C201" s="131" t="s">
        <v>283</v>
      </c>
      <c r="D201" s="124"/>
      <c r="E201" s="18"/>
      <c r="F201" s="18"/>
      <c r="G201" s="18"/>
      <c r="H201" s="18"/>
      <c r="I201" s="18"/>
      <c r="J201" s="18"/>
      <c r="K201" s="184"/>
      <c r="L201" s="186"/>
      <c r="M201" s="184"/>
      <c r="N201" s="186"/>
      <c r="O201" s="184"/>
      <c r="P201" s="186"/>
      <c r="Q201" s="184"/>
      <c r="R201" s="186"/>
      <c r="S201" s="184"/>
      <c r="T201" s="186"/>
      <c r="U201" s="184"/>
      <c r="V201" s="186"/>
      <c r="W201" s="184"/>
      <c r="X201" s="186"/>
      <c r="Y201" s="184"/>
      <c r="Z201" s="18"/>
      <c r="AA201" s="18"/>
      <c r="AB201" s="58">
        <f t="shared" si="98"/>
        <v>0</v>
      </c>
      <c r="AC201" s="704"/>
      <c r="AD201" s="633"/>
      <c r="AE201" s="80"/>
      <c r="AF201" s="627"/>
      <c r="AG201" s="404">
        <v>198</v>
      </c>
    </row>
    <row r="202" spans="1:33" ht="31.15" customHeight="1" x14ac:dyDescent="0.5">
      <c r="A202" s="686"/>
      <c r="B202" s="282" t="s">
        <v>484</v>
      </c>
      <c r="C202" s="131" t="s">
        <v>486</v>
      </c>
      <c r="D202" s="124"/>
      <c r="E202" s="18"/>
      <c r="F202" s="18"/>
      <c r="G202" s="18"/>
      <c r="H202" s="18"/>
      <c r="I202" s="18"/>
      <c r="J202" s="18"/>
      <c r="K202" s="19"/>
      <c r="L202" s="18"/>
      <c r="M202" s="19"/>
      <c r="N202" s="18"/>
      <c r="O202" s="19"/>
      <c r="P202" s="18"/>
      <c r="Q202" s="19"/>
      <c r="R202" s="18"/>
      <c r="S202" s="19"/>
      <c r="T202" s="18"/>
      <c r="U202" s="19"/>
      <c r="V202" s="18"/>
      <c r="W202" s="19"/>
      <c r="X202" s="18"/>
      <c r="Y202" s="19"/>
      <c r="Z202" s="18"/>
      <c r="AA202" s="18"/>
      <c r="AB202" s="58">
        <f t="shared" si="98"/>
        <v>0</v>
      </c>
      <c r="AC202" s="79" t="str">
        <f>CONCATENATE(IF(D203&gt;D202," * Retesting at ANC 2 and above For age "&amp;$D$20&amp;" "&amp;$D$21&amp;" is less than  than Retesting positive result at ANC 2 and above"&amp;CHAR(10),""),IF(E203&gt;E202," * Retesting at ANC 2 and above For age "&amp;$D$20&amp;" "&amp;$E$21&amp;" is less than  than Retesting positive result at ANC 2 and above"&amp;CHAR(10),""),IF(F203&gt;F202," * Retesting at ANC 2 and above For age "&amp;$F$20&amp;" "&amp;$F$21&amp;" is less than  than Retesting positive result at ANC 2 and above"&amp;CHAR(10),""),IF(G203&gt;G202," * Retesting at ANC 2 and above For age "&amp;$F$20&amp;" "&amp;$G$21&amp;" is less than  than Retesting positive result at ANC 2 and above"&amp;CHAR(10),""),IF(H203&gt;H202," * Retesting at ANC 2 and above For age "&amp;$H$20&amp;" "&amp;$H$21&amp;" is less than  than Retesting positive result at ANC 2 and above"&amp;CHAR(10),""),IF(I203&gt;I202," * Retesting at ANC 2 and above For age "&amp;$H$20&amp;" "&amp;$I$21&amp;" is less than  than Retesting positive result at ANC 2 and above"&amp;CHAR(10),""),IF(J203&gt;J202," * Retesting at ANC 2 and above For age "&amp;$J$20&amp;" "&amp;$J$21&amp;" is less than  than Retesting positive result at ANC 2 and above"&amp;CHAR(10),""),IF(K203&gt;K202," * Retesting at ANC 2 and above For age "&amp;$J$20&amp;" "&amp;$K$21&amp;" is less than  than Retesting positive result at ANC 2 and above"&amp;CHAR(10),""),IF(L203&gt;L202," * Retesting at ANC 2 and above For age "&amp;$L$20&amp;" "&amp;$L$21&amp;" is less than  than Retesting positive result at ANC 2 and above"&amp;CHAR(10),""),IF(M203&gt;M202," * Retesting at ANC 2 and above For age "&amp;$L$20&amp;" "&amp;$M$21&amp;" is less than  than Retesting positive result at ANC 2 and above"&amp;CHAR(10),""),IF(N203&gt;N202," * Retesting at ANC 2 and above For age "&amp;$N$20&amp;" "&amp;$N$21&amp;" is less than  than Retesting positive result at ANC 2 and above"&amp;CHAR(10),""),IF(O203&gt;O202," * Retesting at ANC 2 and above For age "&amp;$N$20&amp;" "&amp;$O$21&amp;" is less than  than Retesting positive result at ANC 2 and above"&amp;CHAR(10),""),IF(P203&gt;P202," * Retesting at ANC 2 and above For age "&amp;$P$20&amp;" "&amp;$P$21&amp;" is less than  than Retesting positive result at ANC 2 and above"&amp;CHAR(10),""),IF(Q203&gt;Q202," * Retesting at ANC 2 and above For age "&amp;$P$20&amp;" "&amp;$Q$21&amp;" is less than  than Retesting positive result at ANC 2 and above"&amp;CHAR(10),""),IF(R203&gt;R202," * Retesting at ANC 2 and above For age "&amp;$R$20&amp;" "&amp;$R$21&amp;" is less than  than Retesting positive result at ANC 2 and above"&amp;CHAR(10),""),IF(S203&gt;S202," * Retesting at ANC 2 and above For age "&amp;$R$20&amp;" "&amp;$S$21&amp;" is less than  than Retesting positive result at ANC 2 and above"&amp;CHAR(10),""),IF(T203&gt;T202," * Retesting at ANC 2 and above For age "&amp;$T$20&amp;" "&amp;$T$21&amp;" is less than  than Retesting positive result at ANC 2 and above"&amp;CHAR(10),""),IF(U203&gt;U202," * Retesting at ANC 2 and above For age "&amp;$T$20&amp;" "&amp;$U$21&amp;" is less than  than Retesting positive result at ANC 2 and above"&amp;CHAR(10),""),IF(V203&gt;V202," * Retesting at ANC 2 and above For age "&amp;$V$20&amp;" "&amp;$V$21&amp;" is less than  than Retesting positive result at ANC 2 and above"&amp;CHAR(10),""),IF(W203&gt;W202," * Retesting at ANC 2 and above For age "&amp;$V$20&amp;" "&amp;$W$21&amp;" is less than  than Retesting positive result at ANC 2 and above"&amp;CHAR(10),""),IF(X203&gt;X202," * Retesting at ANC 2 and above For age "&amp;$X$20&amp;" "&amp;$X$21&amp;" is less than  than Retesting positive result at ANC 2 and above"&amp;CHAR(10),""),IF(Y203&gt;Y202," * Retesting at ANC 2 and above For age "&amp;$X$20&amp;" "&amp;$Y$21&amp;" is less than  than Retesting positive result at ANC 2 and above"&amp;CHAR(10),""),IF(Z203&gt;Z202," * Retesting at ANC 2 and above For age "&amp;$Z$20&amp;" "&amp;$Z$21&amp;" is less than  than Retesting positive result at ANC 2 and above"&amp;CHAR(10),""),IF(AA203&gt;AA202," * Retesting at ANC 2 and above For age "&amp;$Z$20&amp;" "&amp;$AA$21&amp;" is less than  than Retesting positive result at ANC 2 and above"&amp;CHAR(10),""))</f>
        <v/>
      </c>
      <c r="AD202" s="633"/>
      <c r="AE202" s="80"/>
      <c r="AF202" s="627"/>
      <c r="AG202" s="404">
        <v>199</v>
      </c>
    </row>
    <row r="203" spans="1:33" ht="33" thickBot="1" x14ac:dyDescent="0.55000000000000004">
      <c r="A203" s="660"/>
      <c r="B203" s="306" t="s">
        <v>485</v>
      </c>
      <c r="C203" s="133" t="s">
        <v>487</v>
      </c>
      <c r="D203" s="138"/>
      <c r="E203" s="37"/>
      <c r="F203" s="37"/>
      <c r="G203" s="37"/>
      <c r="H203" s="37"/>
      <c r="I203" s="37"/>
      <c r="J203" s="190"/>
      <c r="K203" s="191"/>
      <c r="L203" s="190"/>
      <c r="M203" s="191"/>
      <c r="N203" s="190"/>
      <c r="O203" s="191"/>
      <c r="P203" s="190"/>
      <c r="Q203" s="191"/>
      <c r="R203" s="190"/>
      <c r="S203" s="191"/>
      <c r="T203" s="190"/>
      <c r="U203" s="191"/>
      <c r="V203" s="190"/>
      <c r="W203" s="191"/>
      <c r="X203" s="190"/>
      <c r="Y203" s="191"/>
      <c r="Z203" s="37"/>
      <c r="AA203" s="37"/>
      <c r="AB203" s="60">
        <f t="shared" si="98"/>
        <v>0</v>
      </c>
      <c r="AC203" s="91"/>
      <c r="AD203" s="633"/>
      <c r="AE203" s="80"/>
      <c r="AF203" s="627"/>
      <c r="AG203" s="404">
        <v>200</v>
      </c>
    </row>
    <row r="204" spans="1:33" x14ac:dyDescent="0.5">
      <c r="A204" s="650" t="s">
        <v>488</v>
      </c>
      <c r="B204" s="285" t="s">
        <v>705</v>
      </c>
      <c r="C204" s="504" t="s">
        <v>371</v>
      </c>
      <c r="D204" s="136"/>
      <c r="E204" s="33"/>
      <c r="F204" s="33"/>
      <c r="G204" s="33"/>
      <c r="H204" s="33"/>
      <c r="I204" s="33"/>
      <c r="J204" s="33"/>
      <c r="K204" s="34"/>
      <c r="L204" s="33"/>
      <c r="M204" s="34"/>
      <c r="N204" s="33"/>
      <c r="O204" s="34"/>
      <c r="P204" s="33"/>
      <c r="Q204" s="34"/>
      <c r="R204" s="33"/>
      <c r="S204" s="34"/>
      <c r="T204" s="33"/>
      <c r="U204" s="34"/>
      <c r="V204" s="33"/>
      <c r="W204" s="34"/>
      <c r="X204" s="33"/>
      <c r="Y204" s="34"/>
      <c r="Z204" s="33"/>
      <c r="AA204" s="33"/>
      <c r="AB204" s="61">
        <f t="shared" si="98"/>
        <v>0</v>
      </c>
      <c r="AC204" s="704" t="str">
        <f>CONCATENATE(IF(D205&gt;D204," * F06-08 for Age "&amp;D20&amp;" "&amp;D21&amp;" is more than F06-07"&amp;CHAR(10),""),IF(E205&gt;E204," * F06-08 for Age "&amp;D20&amp;" "&amp;E21&amp;" is more than F06-07"&amp;CHAR(10),""),IF(F205&gt;F204," * F06-08 for Age "&amp;F20&amp;" "&amp;F21&amp;" is more than F06-07"&amp;CHAR(10),""),IF(G205&gt;G204," * F06-08 for Age "&amp;F20&amp;" "&amp;G21&amp;" is more than F06-07"&amp;CHAR(10),""),IF(H205&gt;H204," * F06-08 for Age "&amp;H20&amp;" "&amp;H21&amp;" is more than F06-07"&amp;CHAR(10),""),IF(I205&gt;I204," * F06-08 for Age "&amp;H20&amp;" "&amp;I21&amp;" is more than F06-07"&amp;CHAR(10),""),IF(J205&gt;J204," * F06-08 for Age "&amp;J20&amp;" "&amp;J21&amp;" is more than F06-07"&amp;CHAR(10),""),IF(K205&gt;K204," * F06-08 for Age "&amp;J20&amp;" "&amp;K21&amp;" is more than F06-07"&amp;CHAR(10),""),IF(L205&gt;L204," * F06-08 for Age "&amp;L20&amp;" "&amp;L21&amp;" is more than F06-07"&amp;CHAR(10),""),IF(M205&gt;M204," * F06-08 for Age "&amp;L20&amp;" "&amp;M21&amp;" is more than F06-07"&amp;CHAR(10),""),IF(N205&gt;N204," * F06-08 for Age "&amp;N20&amp;" "&amp;N21&amp;" is more than F06-07"&amp;CHAR(10),""),IF(O205&gt;O204," * F06-08 for Age "&amp;N20&amp;" "&amp;O21&amp;" is more than F06-07"&amp;CHAR(10),""),IF(P205&gt;P204," * F06-08 for Age "&amp;P20&amp;" "&amp;P21&amp;" is more than F06-07"&amp;CHAR(10),""),IF(Q205&gt;Q204," * F06-08 for Age "&amp;P20&amp;" "&amp;Q21&amp;" is more than F06-07"&amp;CHAR(10),""),IF(R205&gt;R204," * F06-08 for Age "&amp;R20&amp;" "&amp;R21&amp;" is more than F06-07"&amp;CHAR(10),""),IF(S205&gt;S204," * F06-08 for Age "&amp;R20&amp;" "&amp;S21&amp;" is more than F06-07"&amp;CHAR(10),""),IF(T205&gt;T204," * F06-08 for Age "&amp;T20&amp;" "&amp;T21&amp;" is more than F06-07"&amp;CHAR(10),""),IF(U205&gt;U204," * F06-08 for Age "&amp;T20&amp;" "&amp;U21&amp;" is more than F06-07"&amp;CHAR(10),""),IF(V205&gt;V204," * F06-08 for Age "&amp;V20&amp;" "&amp;V21&amp;" is more than F06-07"&amp;CHAR(10),""),IF(W205&gt;W204," * F06-08 for Age "&amp;V20&amp;" "&amp;W21&amp;" is more than F06-07"&amp;CHAR(10),""),IF(X205&gt;X204," * F06-08 for Age "&amp;X20&amp;" "&amp;X21&amp;" is more than F06-07"&amp;CHAR(10),""),IF(Y205&gt;Y204," * F06-08 for Age "&amp;X20&amp;" "&amp;Y21&amp;" is more than F06-07"&amp;CHAR(10),""),IF(Z205&gt;Z204," * F06-08 for Age "&amp;Z20&amp;" "&amp;Z21&amp;" is more than F06-07"&amp;CHAR(10),""),IF(AA205&gt;AA204," * F06-08 for Age "&amp;Z20&amp;" "&amp;AA21&amp;" is more than F06-07"&amp;CHAR(10),""),IF(AB205&gt;AB204," * Total F06-08 is more than Total F06-07"&amp;CHAR(10),""))</f>
        <v/>
      </c>
      <c r="AD204" s="633"/>
      <c r="AE204" s="80"/>
      <c r="AF204" s="627"/>
      <c r="AG204" s="404">
        <v>201</v>
      </c>
    </row>
    <row r="205" spans="1:33" ht="32.25" x14ac:dyDescent="0.5">
      <c r="A205" s="651"/>
      <c r="B205" s="305" t="s">
        <v>706</v>
      </c>
      <c r="C205" s="505" t="s">
        <v>372</v>
      </c>
      <c r="D205" s="124"/>
      <c r="E205" s="18"/>
      <c r="F205" s="18"/>
      <c r="G205" s="18"/>
      <c r="H205" s="18"/>
      <c r="I205" s="18"/>
      <c r="J205" s="18"/>
      <c r="K205" s="185"/>
      <c r="L205" s="187"/>
      <c r="M205" s="185"/>
      <c r="N205" s="187"/>
      <c r="O205" s="185"/>
      <c r="P205" s="187"/>
      <c r="Q205" s="185"/>
      <c r="R205" s="187"/>
      <c r="S205" s="185"/>
      <c r="T205" s="187"/>
      <c r="U205" s="185"/>
      <c r="V205" s="187"/>
      <c r="W205" s="185"/>
      <c r="X205" s="187"/>
      <c r="Y205" s="185"/>
      <c r="Z205" s="187"/>
      <c r="AA205" s="18"/>
      <c r="AB205" s="58">
        <f t="shared" si="98"/>
        <v>0</v>
      </c>
      <c r="AC205" s="704"/>
      <c r="AD205" s="633"/>
      <c r="AE205" s="80"/>
      <c r="AF205" s="627"/>
      <c r="AG205" s="404">
        <v>202</v>
      </c>
    </row>
    <row r="206" spans="1:33" x14ac:dyDescent="0.5">
      <c r="A206" s="651"/>
      <c r="B206" s="282" t="s">
        <v>707</v>
      </c>
      <c r="C206" s="505" t="s">
        <v>650</v>
      </c>
      <c r="D206" s="124"/>
      <c r="E206" s="18"/>
      <c r="F206" s="18"/>
      <c r="G206" s="18"/>
      <c r="H206" s="18"/>
      <c r="I206" s="18"/>
      <c r="J206" s="18"/>
      <c r="K206" s="19"/>
      <c r="L206" s="18"/>
      <c r="M206" s="19"/>
      <c r="N206" s="18"/>
      <c r="O206" s="19"/>
      <c r="P206" s="18"/>
      <c r="Q206" s="19"/>
      <c r="R206" s="18"/>
      <c r="S206" s="19"/>
      <c r="T206" s="18"/>
      <c r="U206" s="19"/>
      <c r="V206" s="18"/>
      <c r="W206" s="19"/>
      <c r="X206" s="18"/>
      <c r="Y206" s="19"/>
      <c r="Z206" s="18"/>
      <c r="AA206" s="18"/>
      <c r="AB206" s="231">
        <f t="shared" si="98"/>
        <v>0</v>
      </c>
      <c r="AC206" s="79" t="str">
        <f>CONCATENATE(IF(D207&gt;D206," * Retesting at L&amp;D For age "&amp;$D$20&amp;" "&amp;$D$21&amp;" is less than  than Retesting positive result at L&amp;D"&amp;CHAR(10),""),IF(E207&gt;E206," * Retesting at L&amp;D For age "&amp;$D$20&amp;" "&amp;$E$21&amp;" is less than  than Retesting positive result at L&amp;D"&amp;CHAR(10),""),IF(F207&gt;F206," * Retesting at L&amp;D For age "&amp;$F$20&amp;" "&amp;$F$21&amp;" is less than  than Retesting positive result at L&amp;D"&amp;CHAR(10),""),IF(G207&gt;G206," * Retesting at L&amp;D For age "&amp;$F$20&amp;" "&amp;$G$21&amp;" is less than  than Retesting positive result at L&amp;D"&amp;CHAR(10),""),IF(H207&gt;H206," * Retesting at L&amp;D For age "&amp;$H$20&amp;" "&amp;$H$21&amp;" is less than  than Retesting positive result at L&amp;D"&amp;CHAR(10),""),IF(I207&gt;I206," * Retesting at L&amp;D For age "&amp;$H$20&amp;" "&amp;$I$21&amp;" is less than  than Retesting positive result at L&amp;D"&amp;CHAR(10),""),IF(J207&gt;J206," * Retesting at L&amp;D For age "&amp;$J$20&amp;" "&amp;$J$21&amp;" is less than  than Retesting positive result at L&amp;D"&amp;CHAR(10),""),IF(K207&gt;K206," * Retesting at L&amp;D For age "&amp;$J$20&amp;" "&amp;$K$21&amp;" is less than  than Retesting positive result at L&amp;D"&amp;CHAR(10),""),IF(L207&gt;L206," * Retesting at L&amp;D For age "&amp;$L$20&amp;" "&amp;$L$21&amp;" is less than  than Retesting positive result at L&amp;D"&amp;CHAR(10),""),IF(M207&gt;M206," * Retesting at L&amp;D For age "&amp;$L$20&amp;" "&amp;$M$21&amp;" is less than  than Retesting positive result at L&amp;D"&amp;CHAR(10),""),IF(N207&gt;N206," * Retesting at L&amp;D For age "&amp;$N$20&amp;" "&amp;$N$21&amp;" is less than  than Retesting positive result at L&amp;D"&amp;CHAR(10),""),IF(O207&gt;O206," * Retesting at L&amp;D For age "&amp;$N$20&amp;" "&amp;$O$21&amp;" is less than  than Retesting positive result at L&amp;D"&amp;CHAR(10),""),IF(P207&gt;P206," * Retesting at L&amp;D For age "&amp;$P$20&amp;" "&amp;$P$21&amp;" is less than  than Retesting positive result at L&amp;D"&amp;CHAR(10),""),IF(Q207&gt;Q206," * Retesting at L&amp;D For age "&amp;$P$20&amp;" "&amp;$Q$21&amp;" is less than  than Retesting positive result at L&amp;D"&amp;CHAR(10),""),IF(R207&gt;R206," * Retesting at L&amp;D For age "&amp;$R$20&amp;" "&amp;$R$21&amp;" is less than  than Retesting positive result at L&amp;D"&amp;CHAR(10),""),IF(S207&gt;S206," * Retesting at L&amp;D For age "&amp;$R$20&amp;" "&amp;$S$21&amp;" is less than  than Retesting positive result at L&amp;D"&amp;CHAR(10),""),IF(T207&gt;T206," * Retesting at L&amp;D For age "&amp;$T$20&amp;" "&amp;$T$21&amp;" is less than  than Retesting positive result at L&amp;D"&amp;CHAR(10),""),IF(U207&gt;U206," * Retesting at L&amp;D For age "&amp;$T$20&amp;" "&amp;$U$21&amp;" is less than  than Retesting positive result at L&amp;D"&amp;CHAR(10),""),IF(V207&gt;V206," * Retesting at L&amp;D For age "&amp;$V$20&amp;" "&amp;$V$21&amp;" is less than  than Retesting positive result at L&amp;D"&amp;CHAR(10),""),IF(W207&gt;W206," * Retesting at L&amp;D For age "&amp;$V$20&amp;" "&amp;$W$21&amp;" is less than  than Retesting positive result at L&amp;D"&amp;CHAR(10),""),IF(X207&gt;X206," * Retesting at L&amp;D For age "&amp;$X$20&amp;" "&amp;$X$21&amp;" is less than  than Retesting positive result at L&amp;D"&amp;CHAR(10),""),IF(Y207&gt;Y206," * Retesting at L&amp;D For age "&amp;$X$20&amp;" "&amp;$Y$21&amp;" is less than  than Retesting positive result at L&amp;D"&amp;CHAR(10),""),IF(Z207&gt;Z206," * Retesting at L&amp;D For age "&amp;$Z$20&amp;" "&amp;$Z$21&amp;" is less than  than Retesting positive result at L&amp;D"&amp;CHAR(10),""),IF(AA207&gt;AA206," * Retesting at L&amp;D For age "&amp;$Z$20&amp;" "&amp;$AA$21&amp;" is less than  than Retesting positive result at L&amp;D"&amp;CHAR(10),""))</f>
        <v/>
      </c>
      <c r="AD206" s="633"/>
      <c r="AE206" s="80"/>
      <c r="AF206" s="627"/>
      <c r="AG206" s="404">
        <v>203</v>
      </c>
    </row>
    <row r="207" spans="1:33" ht="33" thickBot="1" x14ac:dyDescent="0.55000000000000004">
      <c r="A207" s="652"/>
      <c r="B207" s="306" t="s">
        <v>708</v>
      </c>
      <c r="C207" s="506" t="s">
        <v>651</v>
      </c>
      <c r="D207" s="138"/>
      <c r="E207" s="37"/>
      <c r="F207" s="37"/>
      <c r="G207" s="37"/>
      <c r="H207" s="37"/>
      <c r="I207" s="37"/>
      <c r="J207" s="37"/>
      <c r="K207" s="191"/>
      <c r="L207" s="190"/>
      <c r="M207" s="191"/>
      <c r="N207" s="190"/>
      <c r="O207" s="191"/>
      <c r="P207" s="190"/>
      <c r="Q207" s="191"/>
      <c r="R207" s="190"/>
      <c r="S207" s="191"/>
      <c r="T207" s="190"/>
      <c r="U207" s="191"/>
      <c r="V207" s="190"/>
      <c r="W207" s="191"/>
      <c r="X207" s="190"/>
      <c r="Y207" s="191"/>
      <c r="Z207" s="190"/>
      <c r="AA207" s="37"/>
      <c r="AB207" s="231">
        <f t="shared" si="98"/>
        <v>0</v>
      </c>
      <c r="AC207" s="82"/>
      <c r="AD207" s="633"/>
      <c r="AE207" s="80"/>
      <c r="AF207" s="627"/>
      <c r="AG207" s="404">
        <v>204</v>
      </c>
    </row>
    <row r="208" spans="1:33" x14ac:dyDescent="0.5">
      <c r="A208" s="668" t="s">
        <v>493</v>
      </c>
      <c r="B208" s="285" t="s">
        <v>709</v>
      </c>
      <c r="C208" s="504" t="s">
        <v>284</v>
      </c>
      <c r="D208" s="136"/>
      <c r="E208" s="33"/>
      <c r="F208" s="33"/>
      <c r="G208" s="33"/>
      <c r="H208" s="33"/>
      <c r="I208" s="33"/>
      <c r="J208" s="33"/>
      <c r="K208" s="34"/>
      <c r="L208" s="33"/>
      <c r="M208" s="34"/>
      <c r="N208" s="33"/>
      <c r="O208" s="34"/>
      <c r="P208" s="33"/>
      <c r="Q208" s="34"/>
      <c r="R208" s="33"/>
      <c r="S208" s="34"/>
      <c r="T208" s="33"/>
      <c r="U208" s="34"/>
      <c r="V208" s="33"/>
      <c r="W208" s="34"/>
      <c r="X208" s="33"/>
      <c r="Y208" s="34"/>
      <c r="Z208" s="33"/>
      <c r="AA208" s="33"/>
      <c r="AB208" s="61">
        <f t="shared" si="98"/>
        <v>0</v>
      </c>
      <c r="AC208" s="704" t="str">
        <f>CONCATENATE(IF(D209&gt;D208," * Positive at PNC &lt;=6wks for Age "&amp;D20&amp;" "&amp;D21&amp;" is more than Initial test at PNC &lt;= 6wks"&amp;CHAR(10),""),IF(E209&gt;E208," * Positive at PNC &lt;=6wks for Age "&amp;D20&amp;" "&amp;E21&amp;" is more than Initial test at PNC &lt;= 6wks"&amp;CHAR(10),""),IF(F209&gt;F208," * Positive at PNC &lt;=6wks for Age "&amp;F20&amp;" "&amp;F21&amp;" is more than Initial test at PNC &lt;= 6wks"&amp;CHAR(10),""),IF(G209&gt;G208," * Positive at PNC &lt;=6wks for Age "&amp;F20&amp;" "&amp;G21&amp;" is more than Initial test at PNC &lt;= 6wks"&amp;CHAR(10),""),IF(H209&gt;H208," * Positive at PNC &lt;=6wks for Age "&amp;H20&amp;" "&amp;H21&amp;" is more than Initial test at PNC &lt;= 6wks"&amp;CHAR(10),""),IF(I209&gt;I208," * Positive at PNC &lt;=6wks for Age "&amp;H20&amp;" "&amp;I21&amp;" is more than Initial test at PNC &lt;= 6wks"&amp;CHAR(10),""),IF(J209&gt;J208," * Positive at PNC &lt;=6wks for Age "&amp;J20&amp;" "&amp;J21&amp;" is more than Initial test at PNC &lt;= 6wks"&amp;CHAR(10),""),IF(K209&gt;K208," * Positive at PNC &lt;=6wks for Age "&amp;J20&amp;" "&amp;K21&amp;" is more than Initial test at PNC &lt;= 6wks"&amp;CHAR(10),""),IF(L209&gt;L208," * Positive at PNC &lt;=6wks for Age "&amp;L20&amp;" "&amp;L21&amp;" is more than Initial test at PNC &lt;= 6wks"&amp;CHAR(10),""),IF(M209&gt;M208," * Positive at PNC &lt;=6wks for Age "&amp;L20&amp;" "&amp;M21&amp;" is more than Initial test at PNC &lt;= 6wks"&amp;CHAR(10),""),IF(N209&gt;N208," * Positive at PNC &lt;=6wks for Age "&amp;N20&amp;" "&amp;N21&amp;" is more than Initial test at PNC &lt;= 6wks"&amp;CHAR(10),""),IF(O209&gt;O208," * Positive at PNC &lt;=6wks for Age "&amp;N20&amp;" "&amp;O21&amp;" is more than Initial test at PNC &lt;= 6wks"&amp;CHAR(10),""),IF(P209&gt;P208," * Positive at PNC &lt;=6wks for Age "&amp;P20&amp;" "&amp;P21&amp;" is more than Initial test at PNC &lt;= 6wks"&amp;CHAR(10),""),IF(Q209&gt;Q208," * Positive at PNC &lt;=6wks for Age "&amp;P20&amp;" "&amp;Q21&amp;" is more than Initial test at PNC &lt;= 6wks"&amp;CHAR(10),""),IF(R209&gt;R208," * Positive at PNC &lt;=6wks for Age "&amp;R20&amp;" "&amp;R21&amp;" is more than Initial test at PNC &lt;= 6wks"&amp;CHAR(10),""),IF(S209&gt;S208," * Positive at PNC &lt;=6wks for Age "&amp;R20&amp;" "&amp;S21&amp;" is more than Initial test at PNC &lt;= 6wks"&amp;CHAR(10),""),IF(T209&gt;T208," * Positive at PNC &lt;=6wks for Age "&amp;T20&amp;" "&amp;T21&amp;" is more than Initial test at PNC &lt;= 6wks"&amp;CHAR(10),""),IF(U209&gt;U208," * Positive at PNC &lt;=6wks for Age "&amp;T20&amp;" "&amp;U21&amp;" is more than Initial test at PNC &lt;= 6wks"&amp;CHAR(10),""),IF(V209&gt;V208," * Positive at PNC &lt;=6wks for Age "&amp;V20&amp;" "&amp;V21&amp;" is more than Initial test at PNC &lt;= 6wks"&amp;CHAR(10),""),IF(W209&gt;W208," * Positive at PNC &lt;=6wks for Age "&amp;V20&amp;" "&amp;W21&amp;" is more than Initial test at PNC &lt;= 6wks"&amp;CHAR(10),""),IF(X209&gt;X208," * Positive at PNC &lt;=6wks for Age "&amp;X20&amp;" "&amp;X21&amp;" is more than Initial test at PNC &lt;= 6wks"&amp;CHAR(10),""),IF(Y209&gt;Y208," * Positive at PNC &lt;=6wks for Age "&amp;X20&amp;" "&amp;Y21&amp;" is more than Initial test at PNC &lt;= 6wks"&amp;CHAR(10),""),IF(Z209&gt;Z208," * Positive at PNC &lt;=6wks for Age "&amp;Z20&amp;" "&amp;Z21&amp;" is more than Initial test at PNC &lt;= 6wks"&amp;CHAR(10),""),IF(AA209&gt;AA208," * Positive at PNC &lt;=6wks for Age "&amp;Z20&amp;" "&amp;AA21&amp;" is more than Initial test at PNC &lt;= 6wks"&amp;CHAR(10),""))</f>
        <v/>
      </c>
      <c r="AD208" s="633"/>
      <c r="AE208" s="80"/>
      <c r="AF208" s="627"/>
      <c r="AG208" s="404">
        <v>205</v>
      </c>
    </row>
    <row r="209" spans="1:34" ht="32.25" x14ac:dyDescent="0.5">
      <c r="A209" s="669"/>
      <c r="B209" s="305" t="s">
        <v>710</v>
      </c>
      <c r="C209" s="505" t="s">
        <v>286</v>
      </c>
      <c r="D209" s="192"/>
      <c r="E209" s="193"/>
      <c r="F209" s="193"/>
      <c r="G209" s="193"/>
      <c r="H209" s="193"/>
      <c r="I209" s="193"/>
      <c r="J209" s="187"/>
      <c r="K209" s="185"/>
      <c r="L209" s="187"/>
      <c r="M209" s="185"/>
      <c r="N209" s="187"/>
      <c r="O209" s="185"/>
      <c r="P209" s="187"/>
      <c r="Q209" s="185"/>
      <c r="R209" s="187"/>
      <c r="S209" s="185"/>
      <c r="T209" s="187"/>
      <c r="U209" s="185"/>
      <c r="V209" s="187"/>
      <c r="W209" s="185"/>
      <c r="X209" s="187"/>
      <c r="Y209" s="185"/>
      <c r="Z209" s="187"/>
      <c r="AA209" s="18"/>
      <c r="AB209" s="58">
        <f t="shared" si="98"/>
        <v>0</v>
      </c>
      <c r="AC209" s="704"/>
      <c r="AD209" s="633"/>
      <c r="AE209" s="80"/>
      <c r="AF209" s="627"/>
      <c r="AG209" s="404">
        <v>206</v>
      </c>
    </row>
    <row r="210" spans="1:34" s="9" customFormat="1" x14ac:dyDescent="0.5">
      <c r="A210" s="669"/>
      <c r="B210" s="282" t="s">
        <v>489</v>
      </c>
      <c r="C210" s="130" t="s">
        <v>494</v>
      </c>
      <c r="D210" s="124"/>
      <c r="E210" s="18"/>
      <c r="F210" s="18"/>
      <c r="G210" s="18"/>
      <c r="H210" s="18"/>
      <c r="I210" s="18"/>
      <c r="J210" s="18"/>
      <c r="K210" s="19"/>
      <c r="L210" s="18"/>
      <c r="M210" s="19"/>
      <c r="N210" s="18"/>
      <c r="O210" s="19"/>
      <c r="P210" s="18"/>
      <c r="Q210" s="19"/>
      <c r="R210" s="18"/>
      <c r="S210" s="19"/>
      <c r="T210" s="18"/>
      <c r="U210" s="19"/>
      <c r="V210" s="18"/>
      <c r="W210" s="19"/>
      <c r="X210" s="18"/>
      <c r="Y210" s="19"/>
      <c r="Z210" s="18"/>
      <c r="AA210" s="18"/>
      <c r="AB210" s="58">
        <f t="shared" si="98"/>
        <v>0</v>
      </c>
      <c r="AC210" s="79" t="str">
        <f>CONCATENATE(IF(D211&gt;D210," * Retesting at PNC &lt; = 6 weeks For age "&amp;$D$20&amp;" "&amp;$D$21&amp;" is less than  than Retesting positive result at PNC &lt; = 6 weeks"&amp;CHAR(10),""),IF(E211&gt;E210," * Retesting at PNC &lt; = 6 weeks For age "&amp;$D$20&amp;" "&amp;$E$21&amp;" is less than  than Retesting positive result at PNC &lt; = 6 weeks"&amp;CHAR(10),""),IF(F211&gt;F210," * Retesting at PNC &lt; = 6 weeks For age "&amp;$F$20&amp;" "&amp;$F$21&amp;" is less than  than Retesting positive result at PNC &lt; = 6 weeks"&amp;CHAR(10),""),IF(G211&gt;G210," * Retesting at PNC &lt; = 6 weeks For age "&amp;$F$20&amp;" "&amp;$G$21&amp;" is less than  than Retesting positive result at PNC &lt; = 6 weeks"&amp;CHAR(10),""),IF(H211&gt;H210," * Retesting at PNC &lt; = 6 weeks For age "&amp;$H$20&amp;" "&amp;$H$21&amp;" is less than  than Retesting positive result at PNC &lt; = 6 weeks"&amp;CHAR(10),""),IF(I211&gt;I210," * Retesting at PNC &lt; = 6 weeks For age "&amp;$H$20&amp;" "&amp;$I$21&amp;" is less than  than Retesting positive result at PNC &lt; = 6 weeks"&amp;CHAR(10),""),IF(J211&gt;J210," * Retesting at PNC &lt; = 6 weeks For age "&amp;$J$20&amp;" "&amp;$J$21&amp;" is less than  than Retesting positive result at PNC &lt; = 6 weeks"&amp;CHAR(10),""),IF(K211&gt;K210," * Retesting at PNC &lt; = 6 weeks For age "&amp;$J$20&amp;" "&amp;$K$21&amp;" is less than  than Retesting positive result at PNC &lt; = 6 weeks"&amp;CHAR(10),""),IF(L211&gt;L210," * Retesting at PNC &lt; = 6 weeks For age "&amp;$L$20&amp;" "&amp;$L$21&amp;" is less than  than Retesting positive result at PNC &lt; = 6 weeks"&amp;CHAR(10),""),IF(M211&gt;M210," * Retesting at PNC &lt; = 6 weeks For age "&amp;$L$20&amp;" "&amp;$M$21&amp;" is less than  than Retesting positive result at PNC &lt; = 6 weeks"&amp;CHAR(10),""),IF(N211&gt;N210," * Retesting at PNC &lt; = 6 weeks For age "&amp;$N$20&amp;" "&amp;$N$21&amp;" is less than  than Retesting positive result at PNC &lt; = 6 weeks"&amp;CHAR(10),""),IF(O211&gt;O210," * Retesting at PNC &lt; = 6 weeks For age "&amp;$N$20&amp;" "&amp;$O$21&amp;" is less than  than Retesting positive result at PNC &lt; = 6 weeks"&amp;CHAR(10),""),IF(P211&gt;P210," * Retesting at PNC &lt; = 6 weeks For age "&amp;$P$20&amp;" "&amp;$P$21&amp;" is less than  than Retesting positive result at PNC &lt; = 6 weeks"&amp;CHAR(10),""),IF(Q211&gt;Q210," * Retesting at PNC &lt; = 6 weeks For age "&amp;$P$20&amp;" "&amp;$Q$21&amp;" is less than  than Retesting positive result at PNC &lt; = 6 weeks"&amp;CHAR(10),""),IF(R211&gt;R210," * Retesting at PNC &lt; = 6 weeks For age "&amp;$R$20&amp;" "&amp;$R$21&amp;" is less than  than Retesting positive result at PNC &lt; = 6 weeks"&amp;CHAR(10),""),IF(S211&gt;S210," * Retesting at PNC &lt; = 6 weeks For age "&amp;$R$20&amp;" "&amp;$S$21&amp;" is less than  than Retesting positive result at PNC &lt; = 6 weeks"&amp;CHAR(10),""),IF(T211&gt;T210," * Retesting at PNC &lt; = 6 weeks For age "&amp;$T$20&amp;" "&amp;$T$21&amp;" is less than  than Retesting positive result at PNC &lt; = 6 weeks"&amp;CHAR(10),""),IF(U211&gt;U210," * Retesting at PNC &lt; = 6 weeks For age "&amp;$T$20&amp;" "&amp;$U$21&amp;" is less than  than Retesting positive result at PNC &lt; = 6 weeks"&amp;CHAR(10),""),IF(V211&gt;V210," * Retesting at PNC &lt; = 6 weeks For age "&amp;$V$20&amp;" "&amp;$V$21&amp;" is less than  than Retesting positive result at PNC &lt; = 6 weeks"&amp;CHAR(10),""),IF(W211&gt;W210," * Retesting at PNC &lt; = 6 weeks For age "&amp;$V$20&amp;" "&amp;$W$21&amp;" is less than  than Retesting positive result at PNC &lt; = 6 weeks"&amp;CHAR(10),""),IF(X211&gt;X210," * Retesting at PNC &lt; = 6 weeks For age "&amp;$X$20&amp;" "&amp;$X$21&amp;" is less than  than Retesting positive result at PNC &lt; = 6 weeks"&amp;CHAR(10),""),IF(Y211&gt;Y210," * Retesting at PNC &lt; = 6 weeks For age "&amp;$X$20&amp;" "&amp;$Y$21&amp;" is less than  than Retesting positive result at PNC &lt; = 6 weeks"&amp;CHAR(10),""),IF(Z211&gt;Z210," * Retesting at PNC &lt; = 6 weeks For age "&amp;$Z$20&amp;" "&amp;$Z$21&amp;" is less than  than Retesting positive result at PNC &lt; = 6 weeks"&amp;CHAR(10),""),IF(AA211&gt;AA210," * Retesting at PNC &lt; = 6 weeks For age "&amp;$Z$20&amp;" "&amp;$AA$21&amp;" is less than  than Retesting positive result at PNC &lt; = 6 weeks"&amp;CHAR(10),""))</f>
        <v/>
      </c>
      <c r="AD210" s="633"/>
      <c r="AE210" s="81"/>
      <c r="AF210" s="627"/>
      <c r="AG210" s="404">
        <v>207</v>
      </c>
      <c r="AH210" s="311"/>
    </row>
    <row r="211" spans="1:34" ht="32.25" x14ac:dyDescent="0.5">
      <c r="A211" s="669"/>
      <c r="B211" s="305" t="s">
        <v>490</v>
      </c>
      <c r="C211" s="131" t="s">
        <v>495</v>
      </c>
      <c r="D211" s="124"/>
      <c r="E211" s="18"/>
      <c r="F211" s="18"/>
      <c r="G211" s="18"/>
      <c r="H211" s="186"/>
      <c r="I211" s="186"/>
      <c r="J211" s="186"/>
      <c r="K211" s="184"/>
      <c r="L211" s="186"/>
      <c r="M211" s="184"/>
      <c r="N211" s="186"/>
      <c r="O211" s="184"/>
      <c r="P211" s="186"/>
      <c r="Q211" s="184"/>
      <c r="R211" s="186"/>
      <c r="S211" s="184"/>
      <c r="T211" s="186"/>
      <c r="U211" s="184"/>
      <c r="V211" s="186"/>
      <c r="W211" s="184"/>
      <c r="X211" s="186"/>
      <c r="Y211" s="184"/>
      <c r="Z211" s="186"/>
      <c r="AA211" s="18"/>
      <c r="AB211" s="58">
        <f t="shared" si="98"/>
        <v>0</v>
      </c>
      <c r="AC211" s="82"/>
      <c r="AD211" s="633"/>
      <c r="AE211" s="80"/>
      <c r="AF211" s="627"/>
      <c r="AG211" s="404">
        <v>208</v>
      </c>
    </row>
    <row r="212" spans="1:34" x14ac:dyDescent="0.5">
      <c r="A212" s="669"/>
      <c r="B212" s="282" t="s">
        <v>491</v>
      </c>
      <c r="C212" s="131" t="s">
        <v>496</v>
      </c>
      <c r="D212" s="124"/>
      <c r="E212" s="18"/>
      <c r="F212" s="18"/>
      <c r="G212" s="18"/>
      <c r="H212" s="18"/>
      <c r="I212" s="18"/>
      <c r="J212" s="18"/>
      <c r="K212" s="19"/>
      <c r="L212" s="18"/>
      <c r="M212" s="19"/>
      <c r="N212" s="18"/>
      <c r="O212" s="19"/>
      <c r="P212" s="18"/>
      <c r="Q212" s="19"/>
      <c r="R212" s="18"/>
      <c r="S212" s="213"/>
      <c r="T212" s="18"/>
      <c r="U212" s="213"/>
      <c r="V212" s="18"/>
      <c r="W212" s="213"/>
      <c r="X212" s="18"/>
      <c r="Y212" s="213"/>
      <c r="Z212" s="18"/>
      <c r="AA212" s="18"/>
      <c r="AB212" s="58">
        <f t="shared" si="98"/>
        <v>0</v>
      </c>
      <c r="AC212" s="79" t="str">
        <f>CONCATENATE(IF(D213&gt;D212," * Testing at PNC &gt; 6 weeks For age "&amp;$D$20&amp;" "&amp;$D$21&amp;" is less than Positive result at PNC &gt; 6 weeks"&amp;CHAR(10),""),IF(E213&gt;E212," * Testing at PNC &gt; 6 weeks For age "&amp;$D$20&amp;" "&amp;$E$21&amp;" is less than Positive result at PNC &gt; 6 weeks"&amp;CHAR(10),""),IF(F213&gt;F212," * Testing at PNC &gt; 6 weeks For age "&amp;$F$20&amp;" "&amp;$F$21&amp;" is less than Positive result at PNC &gt; 6 weeks"&amp;CHAR(10),""),IF(G213&gt;G212," * Testing at PNC &gt; 6 weeks For age "&amp;$F$20&amp;" "&amp;$G$21&amp;" is less than Positive result at PNC &gt; 6 weeks"&amp;CHAR(10),""),IF(H213&gt;H212," * Testing at PNC &gt; 6 weeks For age "&amp;$H$20&amp;" "&amp;$H$21&amp;" is less than Positive result at PNC &gt; 6 weeks"&amp;CHAR(10),""),IF(I213&gt;I212," * Testing at PNC &gt; 6 weeks For age "&amp;$H$20&amp;" "&amp;$I$21&amp;" is less than Positive result at PNC &gt; 6 weeks"&amp;CHAR(10),""),IF(J213&gt;J212," * Testing at PNC &gt; 6 weeks For age "&amp;$J$20&amp;" "&amp;$J$21&amp;" is less than Positive result at PNC &gt; 6 weeks"&amp;CHAR(10),""),IF(K213&gt;K212," * Testing at PNC &gt; 6 weeks For age "&amp;$J$20&amp;" "&amp;$K$21&amp;" is less than Positive result at PNC &gt; 6 weeks"&amp;CHAR(10),""),IF(L213&gt;L212," * Testing at PNC &gt; 6 weeks For age "&amp;$L$20&amp;" "&amp;$L$21&amp;" is less than Positive result at PNC &gt; 6 weeks"&amp;CHAR(10),""),IF(M213&gt;M212," * Testing at PNC &gt; 6 weeks For age "&amp;$L$20&amp;" "&amp;$M$21&amp;" is less than Positive result at PNC &gt; 6 weeks"&amp;CHAR(10),""),IF(N213&gt;N212," * Testing at PNC &gt; 6 weeks For age "&amp;$N$20&amp;" "&amp;$N$21&amp;" is less than Positive result at PNC &gt; 6 weeks"&amp;CHAR(10),""),IF(O213&gt;O212," * Testing at PNC &gt; 6 weeks For age "&amp;$N$20&amp;" "&amp;$O$21&amp;" is less than Positive result at PNC &gt; 6 weeks"&amp;CHAR(10),""),IF(P213&gt;P212," * Testing at PNC &gt; 6 weeks For age "&amp;$P$20&amp;" "&amp;$P$21&amp;" is less than Positive result at PNC &gt; 6 weeks"&amp;CHAR(10),""),IF(Q213&gt;Q212," * Testing at PNC &gt; 6 weeks For age "&amp;$P$20&amp;" "&amp;$Q$21&amp;" is less than Positive result at PNC &gt; 6 weeks"&amp;CHAR(10),""),IF(R213&gt;R212," * Testing at PNC &gt; 6 weeks For age "&amp;$R$20&amp;" "&amp;$R$21&amp;" is less than Positive result at PNC &gt; 6 weeks"&amp;CHAR(10),""),IF(S213&gt;S212," * Testing at PNC &gt; 6 weeks For age "&amp;$R$20&amp;" "&amp;$S$21&amp;" is less than Positive result at PNC &gt; 6 weeks"&amp;CHAR(10),""),IF(T213&gt;T212," * Testing at PNC &gt; 6 weeks For age "&amp;$T$20&amp;" "&amp;$T$21&amp;" is less than Positive result at PNC &gt; 6 weeks"&amp;CHAR(10),""),IF(U213&gt;U212," * Testing at PNC &gt; 6 weeks For age "&amp;$T$20&amp;" "&amp;$U$21&amp;" is less than Positive result at PNC &gt; 6 weeks"&amp;CHAR(10),""),IF(V213&gt;V212," * Testing at PNC &gt; 6 weeks For age "&amp;$V$20&amp;" "&amp;$V$21&amp;" is less than Positive result at PNC &gt; 6 weeks"&amp;CHAR(10),""),IF(W213&gt;W212," * Testing at PNC &gt; 6 weeks For age "&amp;$V$20&amp;" "&amp;$W$21&amp;" is less than Positive result at PNC &gt; 6 weeks"&amp;CHAR(10),""),IF(X213&gt;X212," * Testing at PNC &gt; 6 weeks For age "&amp;$X$20&amp;" "&amp;$X$21&amp;" is less than Positive result at PNC &gt; 6 weeks"&amp;CHAR(10),""),IF(Y213&gt;Y212," * Testing at PNC &gt; 6 weeks For age "&amp;$X$20&amp;" "&amp;$Y$21&amp;" is less than Positive result at PNC &gt; 6 weeks"&amp;CHAR(10),""),IF(Z213&gt;Z212," * Testing at PNC &gt; 6 weeks For age "&amp;$Z$20&amp;" "&amp;$Z$21&amp;" is less than Positive result at PNC &gt; 6 weeks"&amp;CHAR(10),""),IF(AA213&gt;AA212," * Testing at PNC &gt; 6 weeks For age "&amp;$Z$20&amp;" "&amp;$AA$21&amp;" is less than Positive result at PNC &gt; 6 weeks"&amp;CHAR(10),""))</f>
        <v/>
      </c>
      <c r="AD212" s="633"/>
      <c r="AE212" s="80"/>
      <c r="AF212" s="627"/>
      <c r="AG212" s="404">
        <v>209</v>
      </c>
    </row>
    <row r="213" spans="1:34" ht="31.5" thickBot="1" x14ac:dyDescent="0.55000000000000004">
      <c r="A213" s="670"/>
      <c r="B213" s="284" t="s">
        <v>492</v>
      </c>
      <c r="C213" s="133" t="s">
        <v>497</v>
      </c>
      <c r="D213" s="138"/>
      <c r="E213" s="37"/>
      <c r="F213" s="37"/>
      <c r="G213" s="37"/>
      <c r="H213" s="188"/>
      <c r="I213" s="188"/>
      <c r="J213" s="188"/>
      <c r="K213" s="189"/>
      <c r="L213" s="188"/>
      <c r="M213" s="189"/>
      <c r="N213" s="188"/>
      <c r="O213" s="189"/>
      <c r="P213" s="188"/>
      <c r="Q213" s="189"/>
      <c r="R213" s="188"/>
      <c r="S213" s="189"/>
      <c r="T213" s="188"/>
      <c r="U213" s="189"/>
      <c r="V213" s="188"/>
      <c r="W213" s="189"/>
      <c r="X213" s="188"/>
      <c r="Y213" s="189"/>
      <c r="Z213" s="188"/>
      <c r="AA213" s="188"/>
      <c r="AB213" s="60">
        <f t="shared" si="98"/>
        <v>0</v>
      </c>
      <c r="AC213" s="82"/>
      <c r="AD213" s="633"/>
      <c r="AE213" s="80"/>
      <c r="AF213" s="627"/>
      <c r="AG213" s="404">
        <v>210</v>
      </c>
    </row>
    <row r="214" spans="1:34" x14ac:dyDescent="0.5">
      <c r="A214" s="657" t="s">
        <v>124</v>
      </c>
      <c r="B214" s="285" t="s">
        <v>711</v>
      </c>
      <c r="C214" s="129" t="s">
        <v>287</v>
      </c>
      <c r="D214" s="136"/>
      <c r="E214" s="33"/>
      <c r="F214" s="33"/>
      <c r="G214" s="33"/>
      <c r="H214" s="33"/>
      <c r="I214" s="33"/>
      <c r="J214" s="34"/>
      <c r="K214" s="33"/>
      <c r="L214" s="34"/>
      <c r="M214" s="33"/>
      <c r="N214" s="34"/>
      <c r="O214" s="33"/>
      <c r="P214" s="34"/>
      <c r="Q214" s="33"/>
      <c r="R214" s="34"/>
      <c r="S214" s="33"/>
      <c r="T214" s="34"/>
      <c r="U214" s="33"/>
      <c r="V214" s="34"/>
      <c r="W214" s="33"/>
      <c r="X214" s="34"/>
      <c r="Y214" s="33"/>
      <c r="Z214" s="34"/>
      <c r="AA214" s="33"/>
      <c r="AB214" s="61">
        <f t="shared" si="98"/>
        <v>0</v>
      </c>
      <c r="AC214" s="704" t="str">
        <f>CONCATENATE(IF(D215&gt;D214," * Male Partners Tested Positive for Age "&amp;D20&amp;" "&amp;D21&amp;" is more than Male Partners Tested"&amp;CHAR(10),""),IF(E215&gt;E214," * Male Partners Tested Positive for Age "&amp;D20&amp;" "&amp;E21&amp;" is more than Male Partners Tested"&amp;CHAR(10),""),IF(F215&gt;F214," * Male Partners Tested Positive for Age "&amp;F20&amp;" "&amp;F21&amp;" is more than Male Partners Tested"&amp;CHAR(10),""),IF(G215&gt;G214," * Male Partners Tested Positive for Age "&amp;F20&amp;" "&amp;G21&amp;" is more than Male Partners Tested"&amp;CHAR(10),""),IF(H215&gt;H214," * Male Partners Tested Positive for Age "&amp;H20&amp;" "&amp;H21&amp;" is more than Male Partners Tested"&amp;CHAR(10),""),IF(I215&gt;I214," * Male Partners Tested Positive for Age "&amp;H20&amp;" "&amp;I21&amp;" is more than Male Partners Tested"&amp;CHAR(10),""),IF(J215&gt;J214," * Male Partners Tested Positive for Age "&amp;J20&amp;" "&amp;J21&amp;" is more than Male Partners Tested"&amp;CHAR(10),""),IF(K215&gt;K214," * Male Partners Tested Positive for Age "&amp;J20&amp;" "&amp;K21&amp;" is more than Male Partners Tested"&amp;CHAR(10),""),IF(L215&gt;L214," * Male Partners Tested Positive for Age "&amp;L20&amp;" "&amp;L21&amp;" is more than Male Partners Tested"&amp;CHAR(10),""),IF(M215&gt;M214," * Male Partners Tested Positive for Age "&amp;L20&amp;" "&amp;M21&amp;" is more than Male Partners Tested"&amp;CHAR(10),""),IF(N215&gt;N214," * Male Partners Tested Positive for Age "&amp;N20&amp;" "&amp;N21&amp;" is more than Male Partners Tested"&amp;CHAR(10),""),IF(O215&gt;O214," * Male Partners Tested Positive for Age "&amp;N20&amp;" "&amp;O21&amp;" is more than Male Partners Tested"&amp;CHAR(10),""),IF(P215&gt;P214," * Male Partners Tested Positive for Age "&amp;P20&amp;" "&amp;P21&amp;" is more than Male Partners Tested"&amp;CHAR(10),""),IF(Q215&gt;Q214," * Male Partners Tested Positive for Age "&amp;P20&amp;" "&amp;Q21&amp;" is more than Male Partners Tested"&amp;CHAR(10),""),IF(R215&gt;R214," * Male Partners Tested Positive for Age "&amp;R20&amp;" "&amp;R21&amp;" is more than Male Partners Tested"&amp;CHAR(10),""),IF(S215&gt;S214," * Male Partners Tested Positive for Age "&amp;R20&amp;" "&amp;S21&amp;" is more than Male Partners Tested"&amp;CHAR(10),""),IF(T215&gt;T214," * Male Partners Tested Positive for Age "&amp;T20&amp;" "&amp;T21&amp;" is more than Male Partners Tested"&amp;CHAR(10),""),IF(U215&gt;U214," * Male Partners Tested Positive for Age "&amp;T20&amp;" "&amp;U21&amp;" is more than Male Partners Tested"&amp;CHAR(10),""),IF(V215&gt;V214," * Male Partners Tested Positive for Age "&amp;V20&amp;" "&amp;V21&amp;" is more than Male Partners Tested"&amp;CHAR(10),""),IF(W215&gt;W214," * Male Partners Tested Positive for Age "&amp;V20&amp;" "&amp;W21&amp;" is more than Male Partners Tested"&amp;CHAR(10),""),IF(X215&gt;X214," * Male Partners Tested Positive for Age "&amp;X20&amp;" "&amp;X21&amp;" is more than Male Partners Tested"&amp;CHAR(10),""),IF(Y215&gt;Y214," * Male Partners Tested Positive for Age "&amp;X20&amp;" "&amp;Y21&amp;" is more than Male Partners Tested"&amp;CHAR(10),""),IF(Z215&gt;Z214," * Male Partners Tested Positive for Age "&amp;Z20&amp;" "&amp;Z21&amp;" is more than Male Partners Tested"&amp;CHAR(10),""),IF(AA215&gt;AA214," * Male Partners Tested Positive for Age "&amp;Z20&amp;" "&amp;AA21&amp;" is more than Male Partners Tested"&amp;CHAR(10),""))</f>
        <v/>
      </c>
      <c r="AD214" s="633"/>
      <c r="AE214" s="80"/>
      <c r="AF214" s="627"/>
      <c r="AG214" s="404">
        <v>211</v>
      </c>
    </row>
    <row r="215" spans="1:34" ht="31.5" thickBot="1" x14ac:dyDescent="0.55000000000000004">
      <c r="A215" s="658"/>
      <c r="B215" s="284" t="s">
        <v>712</v>
      </c>
      <c r="C215" s="133" t="s">
        <v>288</v>
      </c>
      <c r="D215" s="138"/>
      <c r="E215" s="37"/>
      <c r="F215" s="37"/>
      <c r="G215" s="37"/>
      <c r="H215" s="37"/>
      <c r="I215" s="37"/>
      <c r="J215" s="54"/>
      <c r="K215" s="37"/>
      <c r="L215" s="54"/>
      <c r="M215" s="37"/>
      <c r="N215" s="54"/>
      <c r="O215" s="37"/>
      <c r="P215" s="54"/>
      <c r="Q215" s="37"/>
      <c r="R215" s="54"/>
      <c r="S215" s="37"/>
      <c r="T215" s="54"/>
      <c r="U215" s="37"/>
      <c r="V215" s="54"/>
      <c r="W215" s="37"/>
      <c r="X215" s="54"/>
      <c r="Y215" s="37"/>
      <c r="Z215" s="54"/>
      <c r="AA215" s="37"/>
      <c r="AB215" s="60">
        <f t="shared" si="98"/>
        <v>0</v>
      </c>
      <c r="AC215" s="704"/>
      <c r="AD215" s="634"/>
      <c r="AE215" s="80"/>
      <c r="AF215" s="628"/>
      <c r="AG215" s="404">
        <v>212</v>
      </c>
    </row>
    <row r="216" spans="1:34" x14ac:dyDescent="0.5">
      <c r="A216" s="657" t="s">
        <v>513</v>
      </c>
      <c r="B216" s="285" t="s">
        <v>714</v>
      </c>
      <c r="C216" s="263" t="s">
        <v>530</v>
      </c>
      <c r="D216" s="149"/>
      <c r="E216" s="47"/>
      <c r="F216" s="33"/>
      <c r="G216" s="33"/>
      <c r="H216" s="33"/>
      <c r="I216" s="33"/>
      <c r="J216" s="33"/>
      <c r="K216" s="33"/>
      <c r="L216" s="33"/>
      <c r="M216" s="33"/>
      <c r="N216" s="33"/>
      <c r="O216" s="33"/>
      <c r="P216" s="33"/>
      <c r="Q216" s="33"/>
      <c r="R216" s="33"/>
      <c r="S216" s="33"/>
      <c r="T216" s="33"/>
      <c r="U216" s="33"/>
      <c r="V216" s="33"/>
      <c r="W216" s="33"/>
      <c r="X216" s="33"/>
      <c r="Y216" s="33"/>
      <c r="Z216" s="33"/>
      <c r="AA216" s="33"/>
      <c r="AB216" s="61">
        <f t="shared" si="98"/>
        <v>0</v>
      </c>
      <c r="AC216" s="82" t="str">
        <f>CONCATENATE(IF(D219&gt;D216," * EID Tested Positive 0-2 Months for Age "&amp;$D$20&amp;" "&amp;$D$21&amp;" is more than EID Tested 0-2 Months"&amp;CHAR(10),""),IF(E219&gt;E216," * EID Tested Positive 0-2 Months for Age "&amp;$D$20&amp;" "&amp;$E$21&amp;" is more than EID Tested 0-2 Months"&amp;CHAR(10),""))</f>
        <v/>
      </c>
      <c r="AD216" s="635" t="str">
        <f>CONCATENATE(AC218,AC219,AC220,AC221,AC222,AC223,AC224,AC202,AC216,AC217)</f>
        <v/>
      </c>
      <c r="AE216" s="80"/>
      <c r="AF216" s="637" t="str">
        <f>CONCATENATE(AE216,AE217,AE218,AE219,AE220,AE221,AE222,AE223,AE224)</f>
        <v/>
      </c>
      <c r="AG216" s="404">
        <v>213</v>
      </c>
    </row>
    <row r="217" spans="1:34" s="9" customFormat="1" x14ac:dyDescent="0.5">
      <c r="A217" s="731"/>
      <c r="B217" s="282" t="s">
        <v>713</v>
      </c>
      <c r="C217" s="130" t="s">
        <v>531</v>
      </c>
      <c r="D217" s="158"/>
      <c r="E217" s="23"/>
      <c r="F217" s="18"/>
      <c r="G217" s="18"/>
      <c r="H217" s="18"/>
      <c r="I217" s="18"/>
      <c r="J217" s="18"/>
      <c r="K217" s="18"/>
      <c r="L217" s="18"/>
      <c r="M217" s="18"/>
      <c r="N217" s="18"/>
      <c r="O217" s="18"/>
      <c r="P217" s="18"/>
      <c r="Q217" s="18"/>
      <c r="R217" s="18"/>
      <c r="S217" s="18"/>
      <c r="T217" s="18"/>
      <c r="U217" s="18"/>
      <c r="V217" s="18"/>
      <c r="W217" s="18"/>
      <c r="X217" s="18"/>
      <c r="Y217" s="18"/>
      <c r="Z217" s="18"/>
      <c r="AA217" s="18"/>
      <c r="AB217" s="58">
        <f t="shared" si="98"/>
        <v>0</v>
      </c>
      <c r="AC217" s="82" t="str">
        <f>CONCATENATE(IF(D220&gt;D217," * EID Tested Positive 2-12 Months for Age "&amp;$D$20&amp;" "&amp;$D$21&amp;" is more than EID Tested 2-12 Months"&amp;CHAR(10),""),IF(E220&gt;E217," * EID Tested Positive 2-12 Months for Age "&amp;$D$20&amp;" "&amp;$E$21&amp;" is more than EID Tested 2-12 Months"&amp;CHAR(10),""))</f>
        <v/>
      </c>
      <c r="AD217" s="633"/>
      <c r="AE217" s="81"/>
      <c r="AF217" s="627"/>
      <c r="AG217" s="404">
        <v>214</v>
      </c>
      <c r="AH217" s="311"/>
    </row>
    <row r="218" spans="1:34" ht="33" thickBot="1" x14ac:dyDescent="0.55000000000000004">
      <c r="A218" s="658"/>
      <c r="B218" s="408" t="s">
        <v>516</v>
      </c>
      <c r="C218" s="133" t="s">
        <v>532</v>
      </c>
      <c r="D218" s="159">
        <f>D216+D217</f>
        <v>0</v>
      </c>
      <c r="E218" s="59">
        <f>E216+E217</f>
        <v>0</v>
      </c>
      <c r="F218" s="37"/>
      <c r="G218" s="37"/>
      <c r="H218" s="37"/>
      <c r="I218" s="37"/>
      <c r="J218" s="37"/>
      <c r="K218" s="37"/>
      <c r="L218" s="37"/>
      <c r="M218" s="37"/>
      <c r="N218" s="37"/>
      <c r="O218" s="37"/>
      <c r="P218" s="37"/>
      <c r="Q218" s="37"/>
      <c r="R218" s="37"/>
      <c r="S218" s="37"/>
      <c r="T218" s="37"/>
      <c r="U218" s="37"/>
      <c r="V218" s="37"/>
      <c r="W218" s="37"/>
      <c r="X218" s="37"/>
      <c r="Y218" s="37"/>
      <c r="Z218" s="37"/>
      <c r="AA218" s="37"/>
      <c r="AB218" s="60">
        <f t="shared" si="98"/>
        <v>0</v>
      </c>
      <c r="AC218" s="82"/>
      <c r="AD218" s="633"/>
      <c r="AE218" s="80" t="str">
        <f>IF(AB218&gt;SUM(AB211,AB209,AB207,AB205,AB203,AB201,AB197,AB195)," EID Testing cannot be more than PMTCT HIV Positive Mothers (ANC 1 Other ANC, L&amp;D and PNC","")</f>
        <v/>
      </c>
      <c r="AF218" s="627"/>
      <c r="AG218" s="404">
        <v>215</v>
      </c>
    </row>
    <row r="219" spans="1:34" x14ac:dyDescent="0.5">
      <c r="A219" s="657" t="s">
        <v>517</v>
      </c>
      <c r="B219" s="285" t="s">
        <v>521</v>
      </c>
      <c r="C219" s="263" t="s">
        <v>533</v>
      </c>
      <c r="D219" s="194"/>
      <c r="E219" s="195"/>
      <c r="F219" s="33"/>
      <c r="G219" s="33"/>
      <c r="H219" s="33"/>
      <c r="I219" s="33"/>
      <c r="J219" s="33"/>
      <c r="K219" s="33"/>
      <c r="L219" s="33"/>
      <c r="M219" s="33"/>
      <c r="N219" s="33"/>
      <c r="O219" s="33"/>
      <c r="P219" s="33"/>
      <c r="Q219" s="33"/>
      <c r="R219" s="33"/>
      <c r="S219" s="33"/>
      <c r="T219" s="33"/>
      <c r="U219" s="33"/>
      <c r="V219" s="33"/>
      <c r="W219" s="33"/>
      <c r="X219" s="33"/>
      <c r="Y219" s="33"/>
      <c r="Z219" s="33"/>
      <c r="AA219" s="33"/>
      <c r="AB219" s="61">
        <f t="shared" si="98"/>
        <v>0</v>
      </c>
      <c r="AC219" s="82" t="str">
        <f>CONCATENATE(IF(D222&gt;D219," * EID initiated on ART 0-2 Months for Age "&amp;$D$20&amp;" "&amp;$D$21&amp;" is more than EID Positive 0-2 Months"&amp;CHAR(10),""),IF(E222&gt;E219," * EID initiated on ART 0-2 Months for Age "&amp;$D$20&amp;" "&amp;$E$21&amp;" is more than EID Positive 0-2 Months"&amp;CHAR(10),""))</f>
        <v/>
      </c>
      <c r="AD219" s="633"/>
      <c r="AE219" s="82" t="str">
        <f>CONCATENATE(IF(D222&lt;D219," * EID initiated on ART 0-2 Months for Age "&amp;$D$20&amp;" "&amp;$D$21&amp;" is less than EID Positive 0-2 Months"&amp;CHAR(10),""),IF(E222&lt;E219," * EID initiated on ART 0-2 Months for Age "&amp;$D$20&amp;" "&amp;$E$21&amp;" is less than EID Positive 0-2 Months"&amp;CHAR(10),""))</f>
        <v/>
      </c>
      <c r="AF219" s="627"/>
      <c r="AG219" s="404">
        <v>216</v>
      </c>
    </row>
    <row r="220" spans="1:34" s="9" customFormat="1" x14ac:dyDescent="0.5">
      <c r="A220" s="731"/>
      <c r="B220" s="282" t="s">
        <v>518</v>
      </c>
      <c r="C220" s="130" t="s">
        <v>534</v>
      </c>
      <c r="D220" s="196"/>
      <c r="E220" s="197"/>
      <c r="F220" s="18"/>
      <c r="G220" s="18"/>
      <c r="H220" s="18"/>
      <c r="I220" s="18"/>
      <c r="J220" s="18"/>
      <c r="K220" s="18"/>
      <c r="L220" s="18"/>
      <c r="M220" s="18"/>
      <c r="N220" s="18"/>
      <c r="O220" s="18"/>
      <c r="P220" s="18"/>
      <c r="Q220" s="18"/>
      <c r="R220" s="18"/>
      <c r="S220" s="18"/>
      <c r="T220" s="18"/>
      <c r="U220" s="18"/>
      <c r="V220" s="18"/>
      <c r="W220" s="18"/>
      <c r="X220" s="18"/>
      <c r="Y220" s="18"/>
      <c r="Z220" s="18"/>
      <c r="AA220" s="18"/>
      <c r="AB220" s="58">
        <f t="shared" si="98"/>
        <v>0</v>
      </c>
      <c r="AC220" s="82" t="str">
        <f>CONCATENATE(IF(D223&gt;D220," * EID initiated on ART 2-12 Months for Age "&amp;$D$20&amp;" "&amp;$D$21&amp;" is more than EID Positive 2-12 Months"&amp;CHAR(10),""),IF(E223&gt;E220," * EID initiated on ART 2-12 Months for Age "&amp;$D$20&amp;" "&amp;$E$21&amp;" is more than EID Positive 2-12 Months"&amp;CHAR(10),""))</f>
        <v/>
      </c>
      <c r="AD220" s="633"/>
      <c r="AE220" s="82" t="str">
        <f>CONCATENATE(IF(D223&lt;D220," * EID initiated on ART 2-12 Months for Age "&amp;$D$20&amp;" "&amp;$D$21&amp;" is less than EID Positive 2-12 Months"&amp;CHAR(10),""),IF(E223&lt;E220," * EID initiated on ART 2-12 Months for Age "&amp;$D$20&amp;" "&amp;$E$21&amp;" is less than EID Positive 2-12 Months"&amp;CHAR(10),""))</f>
        <v/>
      </c>
      <c r="AF220" s="627"/>
      <c r="AG220" s="404">
        <v>217</v>
      </c>
      <c r="AH220" s="311"/>
    </row>
    <row r="221" spans="1:34" ht="33" thickBot="1" x14ac:dyDescent="0.55000000000000004">
      <c r="A221" s="658"/>
      <c r="B221" s="408" t="s">
        <v>519</v>
      </c>
      <c r="C221" s="133" t="s">
        <v>535</v>
      </c>
      <c r="D221" s="159">
        <f>D219+D220</f>
        <v>0</v>
      </c>
      <c r="E221" s="59">
        <f>E219+E220</f>
        <v>0</v>
      </c>
      <c r="F221" s="37"/>
      <c r="G221" s="37"/>
      <c r="H221" s="37"/>
      <c r="I221" s="37"/>
      <c r="J221" s="37"/>
      <c r="K221" s="37"/>
      <c r="L221" s="37"/>
      <c r="M221" s="37"/>
      <c r="N221" s="37"/>
      <c r="O221" s="37"/>
      <c r="P221" s="37"/>
      <c r="Q221" s="37"/>
      <c r="R221" s="37"/>
      <c r="S221" s="37"/>
      <c r="T221" s="37"/>
      <c r="U221" s="37"/>
      <c r="V221" s="37"/>
      <c r="W221" s="37"/>
      <c r="X221" s="37"/>
      <c r="Y221" s="37"/>
      <c r="Z221" s="37"/>
      <c r="AA221" s="37"/>
      <c r="AB221" s="60">
        <f t="shared" si="98"/>
        <v>0</v>
      </c>
      <c r="AC221" s="82" t="str">
        <f>CONCATENATE(IF(D224&gt;D221," * EID initiated on ART 0-12 Months for Age "&amp;$D$20&amp;" "&amp;$D$21&amp;" is more than EID Positive 0-12 Months"&amp;CHAR(10),""),IF(E224&gt;E221," * EID initiated on ART 0-12 Months for Age "&amp;$D$20&amp;" "&amp;$E$21&amp;" is more than EID Positive 0-12 Months"&amp;CHAR(10),""))</f>
        <v/>
      </c>
      <c r="AD221" s="633"/>
      <c r="AE221" s="82" t="str">
        <f>CONCATENATE(IF(D224&lt;D221," * EID initiated on ART 0-12 Months for Age "&amp;$D$20&amp;" "&amp;$D$21&amp;" is less than EID Positive 0-12 Months"&amp;CHAR(10),""),IF(E224&lt;E221," * EID initiated on ART 0-12 Months for Age "&amp;$D$20&amp;" "&amp;$E$21&amp;" is less than EID Positive 0-12 Months"&amp;CHAR(10),""))</f>
        <v/>
      </c>
      <c r="AF221" s="627"/>
      <c r="AG221" s="404">
        <v>218</v>
      </c>
    </row>
    <row r="222" spans="1:34" x14ac:dyDescent="0.5">
      <c r="A222" s="657" t="s">
        <v>514</v>
      </c>
      <c r="B222" s="285" t="s">
        <v>951</v>
      </c>
      <c r="C222" s="263" t="s">
        <v>536</v>
      </c>
      <c r="D222" s="149"/>
      <c r="E222" s="47"/>
      <c r="F222" s="33"/>
      <c r="G222" s="33"/>
      <c r="H222" s="33"/>
      <c r="I222" s="33"/>
      <c r="J222" s="33"/>
      <c r="K222" s="33"/>
      <c r="L222" s="33"/>
      <c r="M222" s="33"/>
      <c r="N222" s="33"/>
      <c r="O222" s="33"/>
      <c r="P222" s="33"/>
      <c r="Q222" s="33"/>
      <c r="R222" s="33"/>
      <c r="S222" s="33"/>
      <c r="T222" s="33"/>
      <c r="U222" s="33"/>
      <c r="V222" s="33"/>
      <c r="W222" s="33"/>
      <c r="X222" s="33"/>
      <c r="Y222" s="33"/>
      <c r="Z222" s="33"/>
      <c r="AA222" s="33"/>
      <c r="AB222" s="61">
        <f t="shared" si="98"/>
        <v>0</v>
      </c>
      <c r="AC222" s="82"/>
      <c r="AD222" s="633"/>
      <c r="AE222" s="80"/>
      <c r="AF222" s="627"/>
      <c r="AG222" s="404">
        <v>219</v>
      </c>
    </row>
    <row r="223" spans="1:34" x14ac:dyDescent="0.5">
      <c r="A223" s="731"/>
      <c r="B223" s="282" t="s">
        <v>952</v>
      </c>
      <c r="C223" s="131" t="s">
        <v>537</v>
      </c>
      <c r="D223" s="158"/>
      <c r="E223" s="23"/>
      <c r="F223" s="18"/>
      <c r="G223" s="18"/>
      <c r="H223" s="18"/>
      <c r="I223" s="18"/>
      <c r="J223" s="18"/>
      <c r="K223" s="18"/>
      <c r="L223" s="18"/>
      <c r="M223" s="18"/>
      <c r="N223" s="18"/>
      <c r="O223" s="18"/>
      <c r="P223" s="18"/>
      <c r="Q223" s="18"/>
      <c r="R223" s="18"/>
      <c r="S223" s="18"/>
      <c r="T223" s="18"/>
      <c r="U223" s="18"/>
      <c r="V223" s="18"/>
      <c r="W223" s="18"/>
      <c r="X223" s="18"/>
      <c r="Y223" s="18"/>
      <c r="Z223" s="18"/>
      <c r="AA223" s="18"/>
      <c r="AB223" s="58">
        <f t="shared" si="98"/>
        <v>0</v>
      </c>
      <c r="AC223" s="82"/>
      <c r="AD223" s="633"/>
      <c r="AE223" s="80"/>
      <c r="AF223" s="627"/>
      <c r="AG223" s="404">
        <v>220</v>
      </c>
    </row>
    <row r="224" spans="1:34" ht="33" thickBot="1" x14ac:dyDescent="0.55000000000000004">
      <c r="A224" s="732"/>
      <c r="B224" s="409" t="s">
        <v>973</v>
      </c>
      <c r="C224" s="133" t="s">
        <v>538</v>
      </c>
      <c r="D224" s="160">
        <f>D222+D223</f>
        <v>0</v>
      </c>
      <c r="E224" s="286">
        <f>E222+E223</f>
        <v>0</v>
      </c>
      <c r="F224" s="49"/>
      <c r="G224" s="49"/>
      <c r="H224" s="49"/>
      <c r="I224" s="49"/>
      <c r="J224" s="49"/>
      <c r="K224" s="49"/>
      <c r="L224" s="49"/>
      <c r="M224" s="49"/>
      <c r="N224" s="49"/>
      <c r="O224" s="49"/>
      <c r="P224" s="49"/>
      <c r="Q224" s="49"/>
      <c r="R224" s="49"/>
      <c r="S224" s="49"/>
      <c r="T224" s="49"/>
      <c r="U224" s="49"/>
      <c r="V224" s="49"/>
      <c r="W224" s="49"/>
      <c r="X224" s="49"/>
      <c r="Y224" s="49"/>
      <c r="Z224" s="49"/>
      <c r="AA224" s="49"/>
      <c r="AB224" s="104">
        <f t="shared" ref="AB224" si="99">SUM(D224:AA224)</f>
        <v>0</v>
      </c>
      <c r="AC224" s="178" t="str">
        <f>CONCATENATE(IF(D224&lt;&gt;D245,"*Starting ART &lt; 1 M  Must be equals to Infants 0-12 Months HIV +ve started on ART"&amp;CHAR(10),""),IF(E224&lt;&gt;E245,"*Starting ART &lt; 1 F  Must be equals to Infants 0-12 Months +ve started on ART"&amp;CHAR(10),""))</f>
        <v/>
      </c>
      <c r="AD224" s="636"/>
      <c r="AE224" s="94"/>
      <c r="AF224" s="638"/>
      <c r="AG224" s="404">
        <v>221</v>
      </c>
    </row>
    <row r="225" spans="1:34" ht="36" thickBot="1" x14ac:dyDescent="0.55000000000000004">
      <c r="A225" s="724" t="s">
        <v>129</v>
      </c>
      <c r="B225" s="711"/>
      <c r="C225" s="711"/>
      <c r="D225" s="711"/>
      <c r="E225" s="711"/>
      <c r="F225" s="711"/>
      <c r="G225" s="711"/>
      <c r="H225" s="711"/>
      <c r="I225" s="711"/>
      <c r="J225" s="711"/>
      <c r="K225" s="711"/>
      <c r="L225" s="711"/>
      <c r="M225" s="711"/>
      <c r="N225" s="711"/>
      <c r="O225" s="711"/>
      <c r="P225" s="711"/>
      <c r="Q225" s="711"/>
      <c r="R225" s="711"/>
      <c r="S225" s="711"/>
      <c r="T225" s="711"/>
      <c r="U225" s="711"/>
      <c r="V225" s="711"/>
      <c r="W225" s="711"/>
      <c r="X225" s="711"/>
      <c r="Y225" s="711"/>
      <c r="Z225" s="711"/>
      <c r="AA225" s="711"/>
      <c r="AB225" s="711"/>
      <c r="AC225" s="711"/>
      <c r="AD225" s="711"/>
      <c r="AE225" s="711"/>
      <c r="AF225" s="712"/>
      <c r="AG225" s="404">
        <v>222</v>
      </c>
    </row>
    <row r="226" spans="1:34" ht="26.25" x14ac:dyDescent="0.5">
      <c r="A226" s="661" t="s">
        <v>37</v>
      </c>
      <c r="B226" s="687" t="s">
        <v>347</v>
      </c>
      <c r="C226" s="666" t="s">
        <v>328</v>
      </c>
      <c r="D226" s="656" t="s">
        <v>0</v>
      </c>
      <c r="E226" s="649"/>
      <c r="F226" s="649" t="s">
        <v>1</v>
      </c>
      <c r="G226" s="649"/>
      <c r="H226" s="649" t="s">
        <v>2</v>
      </c>
      <c r="I226" s="649"/>
      <c r="J226" s="649" t="s">
        <v>3</v>
      </c>
      <c r="K226" s="649"/>
      <c r="L226" s="649" t="s">
        <v>4</v>
      </c>
      <c r="M226" s="649"/>
      <c r="N226" s="649" t="s">
        <v>5</v>
      </c>
      <c r="O226" s="649"/>
      <c r="P226" s="649" t="s">
        <v>6</v>
      </c>
      <c r="Q226" s="649"/>
      <c r="R226" s="649" t="s">
        <v>7</v>
      </c>
      <c r="S226" s="649"/>
      <c r="T226" s="649" t="s">
        <v>8</v>
      </c>
      <c r="U226" s="649"/>
      <c r="V226" s="649" t="s">
        <v>23</v>
      </c>
      <c r="W226" s="649"/>
      <c r="X226" s="649" t="s">
        <v>24</v>
      </c>
      <c r="Y226" s="649"/>
      <c r="Z226" s="649" t="s">
        <v>9</v>
      </c>
      <c r="AA226" s="649"/>
      <c r="AB226" s="719" t="s">
        <v>19</v>
      </c>
      <c r="AC226" s="642" t="s">
        <v>381</v>
      </c>
      <c r="AD226" s="644" t="s">
        <v>387</v>
      </c>
      <c r="AE226" s="702" t="s">
        <v>388</v>
      </c>
      <c r="AF226" s="725" t="s">
        <v>388</v>
      </c>
      <c r="AG226" s="404">
        <v>223</v>
      </c>
    </row>
    <row r="227" spans="1:34" ht="27" thickBot="1" x14ac:dyDescent="0.55000000000000004">
      <c r="A227" s="662"/>
      <c r="B227" s="713"/>
      <c r="C227" s="667"/>
      <c r="D227" s="113" t="s">
        <v>10</v>
      </c>
      <c r="E227" s="78" t="s">
        <v>11</v>
      </c>
      <c r="F227" s="78" t="s">
        <v>10</v>
      </c>
      <c r="G227" s="78" t="s">
        <v>11</v>
      </c>
      <c r="H227" s="78" t="s">
        <v>10</v>
      </c>
      <c r="I227" s="78" t="s">
        <v>11</v>
      </c>
      <c r="J227" s="78" t="s">
        <v>10</v>
      </c>
      <c r="K227" s="78" t="s">
        <v>11</v>
      </c>
      <c r="L227" s="78" t="s">
        <v>10</v>
      </c>
      <c r="M227" s="78" t="s">
        <v>11</v>
      </c>
      <c r="N227" s="78" t="s">
        <v>10</v>
      </c>
      <c r="O227" s="78" t="s">
        <v>11</v>
      </c>
      <c r="P227" s="78" t="s">
        <v>10</v>
      </c>
      <c r="Q227" s="78" t="s">
        <v>11</v>
      </c>
      <c r="R227" s="78" t="s">
        <v>10</v>
      </c>
      <c r="S227" s="78" t="s">
        <v>11</v>
      </c>
      <c r="T227" s="78" t="s">
        <v>10</v>
      </c>
      <c r="U227" s="78" t="s">
        <v>11</v>
      </c>
      <c r="V227" s="78" t="s">
        <v>10</v>
      </c>
      <c r="W227" s="78" t="s">
        <v>11</v>
      </c>
      <c r="X227" s="78" t="s">
        <v>10</v>
      </c>
      <c r="Y227" s="78" t="s">
        <v>11</v>
      </c>
      <c r="Z227" s="78" t="s">
        <v>10</v>
      </c>
      <c r="AA227" s="78" t="s">
        <v>11</v>
      </c>
      <c r="AB227" s="720"/>
      <c r="AC227" s="643"/>
      <c r="AD227" s="645"/>
      <c r="AE227" s="702"/>
      <c r="AF227" s="726"/>
      <c r="AG227" s="404">
        <v>224</v>
      </c>
    </row>
    <row r="228" spans="1:34" x14ac:dyDescent="0.5">
      <c r="A228" s="673" t="s">
        <v>483</v>
      </c>
      <c r="B228" s="287" t="s">
        <v>499</v>
      </c>
      <c r="C228" s="263" t="s">
        <v>373</v>
      </c>
      <c r="D228" s="123"/>
      <c r="E228" s="31"/>
      <c r="F228" s="31"/>
      <c r="G228" s="31"/>
      <c r="H228" s="31"/>
      <c r="I228" s="31"/>
      <c r="J228" s="31"/>
      <c r="K228" s="30"/>
      <c r="L228" s="31"/>
      <c r="M228" s="30"/>
      <c r="N228" s="31"/>
      <c r="O228" s="30"/>
      <c r="P228" s="31"/>
      <c r="Q228" s="30"/>
      <c r="R228" s="31"/>
      <c r="S228" s="30"/>
      <c r="T228" s="31"/>
      <c r="U228" s="30"/>
      <c r="V228" s="31"/>
      <c r="W228" s="30"/>
      <c r="X228" s="31"/>
      <c r="Y228" s="30"/>
      <c r="Z228" s="31"/>
      <c r="AA228" s="31"/>
      <c r="AB228" s="86">
        <f>SUM(D228:AA228)</f>
        <v>0</v>
      </c>
      <c r="AC228" s="99"/>
      <c r="AD228" s="714" t="str">
        <f>CONCATENATE(AC228,AC229,AC233,AC235,AC238,AC239,AC240,AC241,AC234,AC236,AC237,AC231,AC230,AC232)</f>
        <v/>
      </c>
      <c r="AE228" s="96" t="str">
        <f>CONCATENATE(IF(D228&lt;D195," * ON HAART at 1st ANC for Age "&amp;D20&amp;" "&amp;D21&amp;" is less than KP at 1st ANC "&amp;CHAR(10),""),IF(E228&lt;E195," * ON HAART at 1st ANC for Age "&amp;D20&amp;" "&amp;E21&amp;" is less than KP at 1st ANC "&amp;CHAR(10),""),IF(F228&lt;F195," * ON HAART at 1st ANC for Age "&amp;F20&amp;" "&amp;F21&amp;" is less than KP at 1st ANC "&amp;CHAR(10),""),IF(G228&lt;G195," * ON HAART at 1st ANC for Age "&amp;F20&amp;" "&amp;G21&amp;" is less than KP at 1st ANC "&amp;CHAR(10),""),IF(H228&lt;H195," * ON HAART at 1st ANC for Age "&amp;H20&amp;" "&amp;H21&amp;" is less than KP at 1st ANC "&amp;CHAR(10),""),IF(I228&lt;I195," * ON HAART at 1st ANC for Age "&amp;H20&amp;" "&amp;I21&amp;" is less than KP at 1st ANC "&amp;CHAR(10),""),IF(J228&lt;J195," * ON HAART at 1st ANC for Age "&amp;J20&amp;" "&amp;J21&amp;" is less than KP at 1st ANC "&amp;CHAR(10),""),IF(K228&lt;K195," * ON HAART at 1st ANC for Age "&amp;J20&amp;" "&amp;K21&amp;" is less than KP at 1st ANC "&amp;CHAR(10),""),IF(L228&lt;L195," * ON HAART at 1st ANC for Age "&amp;L20&amp;" "&amp;L21&amp;" is less than KP at 1st ANC "&amp;CHAR(10),""),IF(M228&lt;M195," * ON HAART at 1st ANC for Age "&amp;L20&amp;" "&amp;M21&amp;" is less than KP at 1st ANC "&amp;CHAR(10),""),IF(N228&lt;N195," * ON HAART at 1st ANC for Age "&amp;N20&amp;" "&amp;N21&amp;" is less than KP at 1st ANC "&amp;CHAR(10),""),IF(O228&lt;O195," * ON HAART at 1st ANC for Age "&amp;N20&amp;" "&amp;O21&amp;" is less than KP at 1st ANC "&amp;CHAR(10),""),IF(P228&lt;P195," * ON HAART at 1st ANC for Age "&amp;P20&amp;" "&amp;P21&amp;" is less than KP at 1st ANC "&amp;CHAR(10),""),IF(Q228&lt;Q195," * ON HAART at 1st ANC for Age "&amp;P20&amp;" "&amp;Q21&amp;" is less than KP at 1st ANC "&amp;CHAR(10),""),IF(R228&lt;R195," * ON HAART at 1st ANC for Age "&amp;R20&amp;" "&amp;R21&amp;" is less than KP at 1st ANC "&amp;CHAR(10),""),IF(S228&lt;S195," * ON HAART at 1st ANC for Age "&amp;R20&amp;" "&amp;S21&amp;" is less than KP at 1st ANC "&amp;CHAR(10),""),IF(T228&lt;T195," * ON HAART at 1st ANC for Age "&amp;T20&amp;" "&amp;T21&amp;" is less than KP at 1st ANC "&amp;CHAR(10),""),IF(U228&lt;U195," * ON HAART at 1st ANC for Age "&amp;T20&amp;" "&amp;U21&amp;" is less than KP at 1st ANC "&amp;CHAR(10),""),IF(V228&lt;V195," * ON HAART at 1st ANC for Age "&amp;V20&amp;" "&amp;V21&amp;" is less than KP at 1st ANC "&amp;CHAR(10),""),IF(W228&lt;W195," * ON HAART at 1st ANC for Age "&amp;V20&amp;" "&amp;W21&amp;" is less than KP at 1st ANC "&amp;CHAR(10),""),IF(X228&lt;X195," * ON HAART at 1st ANC for Age "&amp;X20&amp;" "&amp;X21&amp;" is less than KP at 1st ANC "&amp;CHAR(10),""),IF(Y228&lt;Y195," * ON HAART at 1st ANC for Age "&amp;X20&amp;" "&amp;Y21&amp;" is less than KP at 1st ANC "&amp;CHAR(10),""),IF(Z228&lt;Z195," * ON HAART at 1st ANC for Age "&amp;Z20&amp;" "&amp;Z21&amp;" is less than KP at 1st ANC "&amp;CHAR(10),""),IF(AA228&lt;AA195," * ON HAART at 1st ANC for Age "&amp;Z20&amp;" "&amp;AA21&amp;" is less than KP at 1st ANC "&amp;CHAR(10),""))</f>
        <v/>
      </c>
      <c r="AF228" s="727" t="str">
        <f>CONCATENATE(AE228,AE229,AE233,AE235,AE238,AE239,AE240,AE241,AE230,AE231,AE232,AE236,AE237)</f>
        <v/>
      </c>
      <c r="AG228" s="404">
        <v>225</v>
      </c>
    </row>
    <row r="229" spans="1:34" x14ac:dyDescent="0.5">
      <c r="A229" s="669"/>
      <c r="B229" s="282" t="s">
        <v>500</v>
      </c>
      <c r="C229" s="131" t="s">
        <v>374</v>
      </c>
      <c r="D229" s="124"/>
      <c r="E229" s="18"/>
      <c r="F229" s="18"/>
      <c r="G229" s="18"/>
      <c r="H229" s="18"/>
      <c r="I229" s="18"/>
      <c r="J229" s="18"/>
      <c r="K229" s="19"/>
      <c r="L229" s="18"/>
      <c r="M229" s="19"/>
      <c r="N229" s="18"/>
      <c r="O229" s="19"/>
      <c r="P229" s="18"/>
      <c r="Q229" s="19"/>
      <c r="R229" s="18"/>
      <c r="S229" s="19"/>
      <c r="T229" s="18"/>
      <c r="U229" s="19"/>
      <c r="V229" s="18"/>
      <c r="W229" s="19"/>
      <c r="X229" s="18"/>
      <c r="Y229" s="19"/>
      <c r="Z229" s="18"/>
      <c r="AA229" s="18"/>
      <c r="AB229" s="36">
        <f t="shared" ref="AB229:AB241" si="100">SUM(D229:AA229)</f>
        <v>0</v>
      </c>
      <c r="AC229" s="82" t="str">
        <f>CONCATENATE(IF(D229&gt;SUM(D197)," * Start HAART at ANC 1 for Age "&amp;D20&amp;" "&amp;D21&amp;" is more than Positive Test at ANC 1"&amp;CHAR(10),""),IF(E229&gt;SUM(E197)," * Start HAART at ANC 1  for Age "&amp;D20&amp;" "&amp;E21&amp;" is more than Positive Test at ANC 1"&amp;CHAR(10),""),IF(F229&gt;SUM(F197)," * Start HAART at ANC 1  for Age "&amp;F20&amp;" "&amp;F21&amp;" is more than Positive Test at ANC 1"&amp;CHAR(10),""),IF(G229&gt;SUM(G197)," * Start HAART at ANC 1  for Age "&amp;F20&amp;" "&amp;G21&amp;" is more than Positive Test at ANC 1"&amp;CHAR(10),""),IF(H229&gt;SUM(H197)," * Start HAART at ANC 1  for Age "&amp;H20&amp;" "&amp;H21&amp;" is more than Positive Test at ANC 1"&amp;CHAR(10),""),IF(I229&gt;SUM(I197)," * Start HAART at ANC 1  for Age "&amp;H20&amp;" "&amp;I21&amp;" is more than Positive Test at ANC 1"&amp;CHAR(10),""),IF(J229&gt;SUM(J197)," * Start HAART at ANC 1  for Age "&amp;J20&amp;" "&amp;J21&amp;" is more than Positive Test at ANC 1"&amp;CHAR(10),""),IF(K229&gt;SUM(K197)," * Start HAART at ANC 1  for Age "&amp;J20&amp;" "&amp;K21&amp;" is more than Positive Test at ANC 1"&amp;CHAR(10),""),IF(L229&gt;SUM(L197)," * Start HAART at ANC 1  for Age "&amp;L20&amp;" "&amp;L21&amp;" is more than Positive Test at ANC 1"&amp;CHAR(10),""),IF(M229&gt;SUM(M197)," * Start HAART at ANC 1  for Age "&amp;L20&amp;" "&amp;M21&amp;" is more than Positive Test at ANC 1"&amp;CHAR(10),""),IF(N229&gt;SUM(N197)," * Start HAART at ANC 1  for Age "&amp;N20&amp;" "&amp;N21&amp;" is more than Positive Test at ANC 1"&amp;CHAR(10),""),IF(O229&gt;SUM(O197)," * Start HAART at ANC 1  for Age "&amp;N20&amp;" "&amp;O21&amp;" is more than Positive Test at ANC 1"&amp;CHAR(10),""),IF(P229&gt;SUM(P197)," * Start HAART at ANC 1  for Age "&amp;P20&amp;" "&amp;P21&amp;" is more than Positive Test at ANC 1"&amp;CHAR(10),""),IF(Q229&gt;SUM(Q197)," * Start HAART at ANC 1  for Age "&amp;P20&amp;" "&amp;Q21&amp;" is more than Positive Test at ANC 1"&amp;CHAR(10),""),IF(R229&gt;SUM(R197)," * Start HAART at ANC 1  for Age "&amp;R20&amp;" "&amp;R21&amp;" is more than Positive Test at ANC 1"&amp;CHAR(10),""),IF(S229&gt;SUM(S197)," * Start HAART at ANC 1  for Age "&amp;R20&amp;" "&amp;S21&amp;" is more than Positive Test at ANC 1"&amp;CHAR(10),""),IF(T229&gt;SUM(T197)," * Start HAART at ANC 1  for Age "&amp;T20&amp;" "&amp;T21&amp;" is more than Positive Test at ANC 1"&amp;CHAR(10),""),IF(U229&gt;SUM(U197)," * Start HAART at ANC 1  for Age "&amp;T20&amp;" "&amp;U21&amp;" is more than Positive Test at ANC 1"&amp;CHAR(10),""),IF(V229&gt;SUM(V197)," * Start HAART at ANC 1  for Age "&amp;V20&amp;" "&amp;V21&amp;" is more than Positive Test at ANC 1"&amp;CHAR(10),""),IF(W229&gt;SUM(W197)," * Start HAART at ANC 1  for Age "&amp;V20&amp;" "&amp;W21&amp;" is more than Positive Test at ANC 1"&amp;CHAR(10),""),IF(X229&gt;SUM(X197)," * Start HAART at ANC 1  for Age "&amp;X20&amp;" "&amp;X21&amp;" is more than Positive Test at ANC 1"&amp;CHAR(10),""),IF(Y229&gt;SUM(Y197)," * Start HAART at ANC 1  for Age "&amp;X20&amp;" "&amp;Y21&amp;" is more than Positive Test at ANC 1"&amp;CHAR(10),""),IF(Z229&gt;SUM(Z197)," * Start HAART at ANC 1  for Age "&amp;Z20&amp;" "&amp;Z21&amp;" is more than Positive Test at ANC 1"&amp;CHAR(10),""),IF(AA229&gt;SUM(AA197)," * Start HAART at ANC 1  for Age "&amp;Z20&amp;" "&amp;AA21&amp;" is more than Positive Test at ANC 1"&amp;CHAR(10),""),IF(AB229&gt;SUM(AB197)," * Total Start HAART at ANC 1  is more than Positive Test at ANC 1"&amp;CHAR(10),""))</f>
        <v/>
      </c>
      <c r="AD229" s="715"/>
      <c r="AE229" s="80" t="str">
        <f>CONCATENATE(IF(D229&lt;SUM(D197)," * New positive at ANC1 for Age "&amp;D20&amp;" "&amp;D21&amp;" is greater than Start HAART ANC1"&amp;CHAR(10),""),IF(E229&lt;SUM(E197)," * New positive at ANC1 for Age "&amp;D20&amp;" "&amp;E21&amp;" is greater than Start HAART ANC1"&amp;CHAR(10),""),IF(F229&lt;SUM(F197)," * New positive at ANC1 for Age "&amp;F20&amp;" "&amp;F21&amp;" is greater than Start HAART ANC1"&amp;CHAR(10),""),IF(G229&lt;SUM(G197)," * New positive at ANC1 for Age "&amp;F20&amp;" "&amp;G21&amp;" is greater than Start HAART ANC1"&amp;CHAR(10),""),IF(H229&lt;SUM(H197)," * New positive at ANC1 for Age "&amp;H20&amp;" "&amp;H21&amp;" is greater than Start HAART ANC1"&amp;CHAR(10),""),IF(I229&lt;SUM(I197)," * New positive at ANC1 for Age "&amp;H20&amp;" "&amp;I21&amp;" is greater than Start HAART ANC1"&amp;CHAR(10),""),IF(J229&lt;SUM(J197)," * New positive at ANC1 for Age "&amp;J20&amp;" "&amp;J21&amp;" is greater than Start HAART ANC1"&amp;CHAR(10),""),IF(K229&lt;SUM(K197)," * New positive at ANC1 for Age "&amp;J20&amp;" "&amp;K21&amp;" is greater than Start HAART ANC1"&amp;CHAR(10),""),IF(L229&lt;SUM(L197)," * New positive at ANC1 for Age "&amp;L20&amp;" "&amp;L21&amp;" is greater than Start HAART ANC1"&amp;CHAR(10),""),IF(M229&lt;SUM(M197)," * New positive at ANC1 for Age "&amp;L20&amp;" "&amp;M21&amp;" is greater than Start HAART ANC1"&amp;CHAR(10),""),IF(N229&lt;SUM(N197)," * New positive at ANC1 for Age "&amp;N20&amp;" "&amp;N21&amp;" is greater than Start HAART ANC1"&amp;CHAR(10),""),IF(O229&lt;SUM(O197)," * New positive at ANC1 for Age "&amp;N20&amp;" "&amp;O21&amp;" is greater than Start HAART ANC1"&amp;CHAR(10),""),IF(P229&lt;SUM(P197)," * New positive at ANC1 for Age "&amp;P20&amp;" "&amp;P21&amp;" is greater than Start HAART ANC1"&amp;CHAR(10),""),IF(Q229&lt;SUM(Q197)," * New positive at ANC1 for Age "&amp;P20&amp;" "&amp;Q21&amp;" is greater than Start HAART ANC1"&amp;CHAR(10),""),IF(R229&lt;SUM(R197)," * New positive at ANC1 for Age "&amp;R20&amp;" "&amp;R21&amp;" is greater than Start HAART ANC1"&amp;CHAR(10),""),IF(S229&lt;SUM(S197)," * New positive at ANC1 for Age "&amp;R20&amp;" "&amp;S21&amp;" is greater than Start HAART ANC1"&amp;CHAR(10),""),IF(T229&lt;SUM(T197)," * New positive at ANC1 for Age "&amp;T20&amp;" "&amp;T21&amp;" is greater than Start HAART ANC1"&amp;CHAR(10),""),IF(U229&lt;SUM(U197)," * New positive at ANC1 for Age "&amp;T20&amp;" "&amp;U21&amp;" is greater than Start HAART ANC1"&amp;CHAR(10),""),IF(V229&lt;SUM(V197)," * New positive at ANC1 for Age "&amp;V20&amp;" "&amp;V21&amp;" is greater than Start HAART ANC1"&amp;CHAR(10),""),IF(W229&lt;SUM(W197)," * New positive at ANC1 for Age "&amp;V20&amp;" "&amp;W21&amp;" is greater than Start HAART ANC1"&amp;CHAR(10),""),IF(X229&lt;SUM(X197)," * New positive at ANC1 for Age "&amp;X20&amp;" "&amp;X21&amp;" is greater than Start HAART ANC1"&amp;CHAR(10),""),IF(Y229&lt;SUM(Y197)," * New positive at ANC1 for Age "&amp;X20&amp;" "&amp;Y21&amp;" is greater than Start HAART ANC1"&amp;CHAR(10),""),IF(Z229&lt;SUM(Z197)," * New positive at ANC1 for Age "&amp;Z20&amp;" "&amp;Z21&amp;" is greater than Start HAART ANC1"&amp;CHAR(10),""),IF(AA229&lt;SUM(AA197)," * New positive at ANC1 for Age "&amp;Z20&amp;" "&amp;AA21&amp;" is greater than Start HAART ANC1"&amp;CHAR(10),""))</f>
        <v/>
      </c>
      <c r="AF229" s="728"/>
      <c r="AG229" s="404">
        <v>226</v>
      </c>
    </row>
    <row r="230" spans="1:34" ht="33" thickBot="1" x14ac:dyDescent="0.55000000000000004">
      <c r="A230" s="670"/>
      <c r="B230" s="409" t="s">
        <v>501</v>
      </c>
      <c r="C230" s="144" t="s">
        <v>508</v>
      </c>
      <c r="D230" s="259"/>
      <c r="E230" s="228"/>
      <c r="F230" s="228"/>
      <c r="G230" s="228"/>
      <c r="H230" s="228"/>
      <c r="I230" s="228"/>
      <c r="J230" s="228"/>
      <c r="K230" s="243">
        <f>SUM(K228:K229)</f>
        <v>0</v>
      </c>
      <c r="L230" s="228"/>
      <c r="M230" s="243">
        <f>SUM(M228:M229)</f>
        <v>0</v>
      </c>
      <c r="N230" s="228"/>
      <c r="O230" s="243">
        <f>SUM(O228:O229)</f>
        <v>0</v>
      </c>
      <c r="P230" s="228"/>
      <c r="Q230" s="243">
        <f>SUM(Q228:Q229)</f>
        <v>0</v>
      </c>
      <c r="R230" s="228"/>
      <c r="S230" s="243">
        <f>SUM(S228:S229)</f>
        <v>0</v>
      </c>
      <c r="T230" s="228"/>
      <c r="U230" s="243">
        <f>SUM(U228:U229)</f>
        <v>0</v>
      </c>
      <c r="V230" s="228"/>
      <c r="W230" s="243">
        <f>SUM(W228:W229)</f>
        <v>0</v>
      </c>
      <c r="X230" s="228"/>
      <c r="Y230" s="243">
        <f>SUM(Y228:Y229)</f>
        <v>0</v>
      </c>
      <c r="Z230" s="228"/>
      <c r="AA230" s="228"/>
      <c r="AB230" s="240">
        <f t="shared" si="100"/>
        <v>0</v>
      </c>
      <c r="AC230" s="82"/>
      <c r="AD230" s="715"/>
      <c r="AE230" s="80"/>
      <c r="AF230" s="728"/>
      <c r="AG230" s="404">
        <v>227</v>
      </c>
    </row>
    <row r="231" spans="1:34" x14ac:dyDescent="0.5">
      <c r="A231" s="659" t="s">
        <v>1025</v>
      </c>
      <c r="B231" s="297" t="s">
        <v>715</v>
      </c>
      <c r="C231" s="263" t="s">
        <v>509</v>
      </c>
      <c r="D231" s="266"/>
      <c r="E231" s="221"/>
      <c r="F231" s="221"/>
      <c r="G231" s="221"/>
      <c r="H231" s="221"/>
      <c r="I231" s="221"/>
      <c r="J231" s="221"/>
      <c r="K231" s="222"/>
      <c r="L231" s="221"/>
      <c r="M231" s="222"/>
      <c r="N231" s="221"/>
      <c r="O231" s="222"/>
      <c r="P231" s="221"/>
      <c r="Q231" s="222"/>
      <c r="R231" s="221"/>
      <c r="S231" s="222"/>
      <c r="T231" s="221"/>
      <c r="U231" s="222"/>
      <c r="V231" s="221"/>
      <c r="W231" s="222"/>
      <c r="X231" s="221"/>
      <c r="Y231" s="222"/>
      <c r="Z231" s="221"/>
      <c r="AA231" s="221"/>
      <c r="AB231" s="223">
        <f t="shared" si="100"/>
        <v>0</v>
      </c>
      <c r="AC231" s="82"/>
      <c r="AD231" s="715"/>
      <c r="AE231" s="81" t="str">
        <f>CONCATENATE(IF(D231&lt;&gt;SUM(D203)," * Initial test Positive Result at ANC 2 and above for Age "&amp;D20&amp;" "&amp;D21&amp;" is not equal to Initial start HAART at ANC2 and above"&amp;CHAR(10),""),IF(E231&lt;&gt;SUM(E203)," * Initial test Positive Result at ANC 2 and above for Age "&amp;D20&amp;" "&amp;E21&amp;" is not equal to Initial start HAART at ANC2 and above"&amp;CHAR(10),""),IF(F231&lt;&gt;SUM(F203)," * Initial test Positive Result at ANC 2 and above for Age "&amp;F20&amp;" "&amp;F21&amp;" is not equal to Initial start HAART at ANC2 and above"&amp;CHAR(10),""),IF(G231&lt;&gt;SUM(G203)," * Initial test Positive Result at ANC 2 and above for Age "&amp;F20&amp;" "&amp;G21&amp;" is not equal to Initial start HAART at ANC2 and above"&amp;CHAR(10),""),IF(H231&lt;&gt;SUM(H203)," * Initial test Positive Result at ANC 2 and above for Age "&amp;H20&amp;" "&amp;H21&amp;" is not equal to Initial start HAART at ANC2 and above"&amp;CHAR(10),""),IF(I231&lt;&gt;SUM(I203)," * Initial test Positive Result at ANC 2 and above for Age "&amp;H20&amp;" "&amp;I21&amp;" is not equal to Initial start HAART at ANC2 and above"&amp;CHAR(10),""),IF(J231&lt;&gt;SUM(J203)," * Initial test Positive Result at ANC 2 and above for Age "&amp;J20&amp;" "&amp;J21&amp;" is not equal to Initial start HAART at ANC2 and above"&amp;CHAR(10),""),IF(K231&lt;&gt;K203," * Initial test Positive Result at ANC 2 and above for Age "&amp;J20&amp;" "&amp;K21&amp;" is not equal to Initial start HAART at ANC2 and above"&amp;CHAR(10),""),IF(L231&lt;&gt;SUM(L203)," * Initial test Positive Result at ANC 2 and above for Age "&amp;L20&amp;" "&amp;L21&amp;" is not equal to Initial start HAART at ANC2 and above"&amp;CHAR(10),""),IF(M231&lt;&gt;SUM(M203)," * Initial test Positive Result at ANC 2 and above for Age "&amp;L20&amp;" "&amp;M21&amp;" is not equal to Initial start HAART at ANC2 and above"&amp;CHAR(10),""),IF(N231&lt;&gt;SUM(N203)," * Initial test Positive Result at ANC 2 and above for Age "&amp;N20&amp;" "&amp;N21&amp;" is not equal to Initial start HAART at ANC2 and above"&amp;CHAR(10),""),IF(O231&lt;&gt;SUM(O203)," * Initial test Positive Result at ANC 2 and above for Age "&amp;N20&amp;" "&amp;O21&amp;" is not equal to Initial start HAART at ANC2 and above"&amp;CHAR(10),""),IF(P231&lt;&gt;SUM(P203)," * Initial test Positive Result at ANC 2 and above for Age "&amp;P20&amp;" "&amp;P21&amp;" is not equal to Initial start HAART at ANC2 and above"&amp;CHAR(10),""),IF(Q231&lt;&gt;SUM(Q203)," * Initial test Positive Result at ANC 2 and above for Age "&amp;P20&amp;" "&amp;Q21&amp;" is not equal to Initial start HAART at ANC2 and above"&amp;CHAR(10),""),IF(R231&lt;&gt;SUM(R203)," * Initial test Positive Result at ANC 2 and above for Age "&amp;R20&amp;" "&amp;R21&amp;" is not equal to Initial start HAART at ANC2 and above"&amp;CHAR(10),""),IF(S231&lt;&gt;SUM(S203)," * Initial test Positive Result at ANC 2 and above for Age "&amp;R20&amp;" "&amp;S21&amp;" is not equal to Initial start HAART at ANC2 and above"&amp;CHAR(10),""),IF(T231&lt;&gt;SUM(T203)," * Initial test Positive Result at ANC 2 and above for Age "&amp;T20&amp;" "&amp;T21&amp;" is not equal to Initial start HAART at ANC2 and above"&amp;CHAR(10),""),IF(U231&lt;&gt;SUM(U203)," * Initial test Positive Result at ANC 2 and above for Age "&amp;T20&amp;" "&amp;U21&amp;" is not equal to Initial start HAART at ANC2 and above"&amp;CHAR(10),""),IF(V231&lt;&gt;SUM(V203)," * Initial test Positive Result at ANC 2 and above for Age "&amp;V20&amp;" "&amp;V21&amp;" is not equal to Initial start HAART at ANC2 and above"&amp;CHAR(10),""),IF(W231&lt;&gt;SUM(W203)," * Initial test Positive Result at ANC 2 and above for Age "&amp;V20&amp;" "&amp;W21&amp;" is not equal to Initial start HAART at ANC2 and above"&amp;CHAR(10),""),IF(X231&lt;&gt;SUM(X203)," * Initial test Positive Result at ANC 2 and above for Age "&amp;X20&amp;" "&amp;X21&amp;" is not equal to Initial start HAART at ANC2 and above"&amp;CHAR(10),""),IF(Y231&lt;&gt;SUM(Y203)," * Initial test Positive Result at ANC 2 and above for Age "&amp;X20&amp;" "&amp;Y21&amp;" is not equal to Initial start HAART at ANC2 and above"&amp;CHAR(10),""),IF(Z231&lt;&gt;SUM(Z203)," * Initial test Positive Result at ANC 2 and above for Age "&amp;Z20&amp;" "&amp;Z21&amp;" is not equal to Initial start HAART at ANC2 and above"&amp;CHAR(10),""),IF(AA231&lt;&gt;SUM(AA203)," * Initial test Positive Result at ANC 2 and above for Age "&amp;Z20&amp;" "&amp;AA21&amp;" is not equal to Initial start HAART at ANC2 and above"&amp;CHAR(10),""))</f>
        <v/>
      </c>
      <c r="AF231" s="728"/>
      <c r="AG231" s="404">
        <v>228</v>
      </c>
    </row>
    <row r="232" spans="1:34" ht="31.5" thickBot="1" x14ac:dyDescent="0.55000000000000004">
      <c r="A232" s="660"/>
      <c r="B232" s="402" t="s">
        <v>503</v>
      </c>
      <c r="C232" s="133" t="s">
        <v>510</v>
      </c>
      <c r="D232" s="267"/>
      <c r="E232" s="225"/>
      <c r="F232" s="225"/>
      <c r="G232" s="225"/>
      <c r="H232" s="225"/>
      <c r="I232" s="225"/>
      <c r="J232" s="225"/>
      <c r="K232" s="226"/>
      <c r="L232" s="225"/>
      <c r="M232" s="226"/>
      <c r="N232" s="225"/>
      <c r="O232" s="226"/>
      <c r="P232" s="225"/>
      <c r="Q232" s="226"/>
      <c r="R232" s="225"/>
      <c r="S232" s="226"/>
      <c r="T232" s="225"/>
      <c r="U232" s="226"/>
      <c r="V232" s="225"/>
      <c r="W232" s="226"/>
      <c r="X232" s="225"/>
      <c r="Y232" s="226"/>
      <c r="Z232" s="225"/>
      <c r="AA232" s="225"/>
      <c r="AB232" s="227">
        <f t="shared" si="100"/>
        <v>0</v>
      </c>
      <c r="AC232" s="82"/>
      <c r="AD232" s="715"/>
      <c r="AE232" s="81" t="str">
        <f>CONCATENATE(IF(D232&lt;&gt;SUM(D203)," * Retest Positive Result at ANC 2 and above for Age "&amp;D20&amp;" "&amp;D21&amp;" is not equal to Retest start HAART at ANC2 and above"&amp;CHAR(10),""),IF(E232&lt;&gt;SUM(E203)," * Retest Positive Result at ANC 2 and above for Age "&amp;D20&amp;" "&amp;E21&amp;" is not equal to Retest start HAART at ANC2 and above"&amp;CHAR(10),""),IF(F232&lt;&gt;SUM(F203)," * Retest Positive Result at ANC 2 and above for Age "&amp;F20&amp;" "&amp;F21&amp;" is not equal to Retest start HAART at ANC2 and above"&amp;CHAR(10),""),IF(G232&lt;&gt;SUM(G203)," * Retest Positive Result at ANC 2 and above for Age "&amp;F20&amp;" "&amp;G21&amp;" is not equal to Retest start HAART at ANC2 and above"&amp;CHAR(10),""),IF(H232&lt;&gt;SUM(H203)," * Retest Positive Result at ANC 2 and above for Age "&amp;H20&amp;" "&amp;H21&amp;" is not equal to Retest start HAART at ANC2 and above"&amp;CHAR(10),""),IF(I232&lt;&gt;SUM(I203)," * Retest Positive Result at ANC 2 and above for Age "&amp;H20&amp;" "&amp;I21&amp;" is not equal to Retest start HAART at ANC2 and above"&amp;CHAR(10),""),IF(J232&lt;&gt;SUM(J203)," * Retest Positive Result at ANC 2 and above for Age "&amp;J20&amp;" "&amp;J21&amp;" is not equal to Retest start HAART at ANC2 and above"&amp;CHAR(10),""),IF(K232&lt;&gt;K203," * Retest Positive Result at ANC 2 and above for Age "&amp;J20&amp;" "&amp;K21&amp;" is not equal to Retest start HAART at ANC2 and above"&amp;CHAR(10),""),IF(L232&lt;&gt;SUM(L203)," * Retest Positive Result at ANC 2 and above for Age "&amp;L20&amp;" "&amp;L21&amp;" is not equal to Retest start HAART at ANC2 and above"&amp;CHAR(10),""),IF(M232&lt;&gt;SUM(M203)," * Retest Positive Result at ANC 2 and above for Age "&amp;L20&amp;" "&amp;M21&amp;" is not equal to Retest start HAART at ANC2 and above"&amp;CHAR(10),""),IF(N232&lt;&gt;SUM(N203)," * Retest Positive Result at ANC 2 and above for Age "&amp;N20&amp;" "&amp;N21&amp;" is not equal to Retest start HAART at ANC2 and above"&amp;CHAR(10),""),IF(O232&lt;&gt;SUM(O203)," * Retest Positive Result at ANC 2 and above for Age "&amp;N20&amp;" "&amp;O21&amp;" is not equal to Retest start HAART at ANC2 and above"&amp;CHAR(10),""),IF(P232&lt;&gt;SUM(P203)," * Retest Positive Result at ANC 2 and above for Age "&amp;P20&amp;" "&amp;P21&amp;" is not equal to Retest start HAART at ANC2 and above"&amp;CHAR(10),""),IF(Q232&lt;&gt;SUM(Q203)," * Retest Positive Result at ANC 2 and above for Age "&amp;P20&amp;" "&amp;Q21&amp;" is not equal to Retest start HAART at ANC2 and above"&amp;CHAR(10),""),IF(R232&lt;&gt;SUM(R203)," * Retest Positive Result at ANC 2 and above for Age "&amp;R20&amp;" "&amp;R21&amp;" is not equal to Retest start HAART at ANC2 and above"&amp;CHAR(10),""),IF(S232&lt;&gt;SUM(S203)," * Retest Positive Result at ANC 2 and above for Age "&amp;R20&amp;" "&amp;S21&amp;" is not equal to Retest start HAART at ANC2 and above"&amp;CHAR(10),""),IF(T232&lt;&gt;SUM(T203)," * Retest Positive Result at ANC 2 and above for Age "&amp;T20&amp;" "&amp;T21&amp;" is not equal to Retest start HAART at ANC2 and above"&amp;CHAR(10),""),IF(U232&lt;&gt;SUM(U203)," * Retest Positive Result at ANC 2 and above for Age "&amp;T20&amp;" "&amp;U21&amp;" is not equal to Retest start HAART at ANC2 and above"&amp;CHAR(10),""),IF(V232&lt;&gt;SUM(V203)," * Retest Positive Result at ANC 2 and above for Age "&amp;V20&amp;" "&amp;V21&amp;" is not equal to Retest start HAART at ANC2 and above"&amp;CHAR(10),""),IF(W232&lt;&gt;SUM(W203)," * Retest Positive Result at ANC 2 and above for Age "&amp;V20&amp;" "&amp;W21&amp;" is not equal to Retest start HAART at ANC2 and above"&amp;CHAR(10),""),IF(X232&lt;&gt;SUM(X203)," * Retest Positive Result at ANC 2 and above for Age "&amp;X20&amp;" "&amp;X21&amp;" is not equal to Retest start HAART at ANC2 and above"&amp;CHAR(10),""),IF(Y232&lt;&gt;SUM(Y203)," * Retest Positive Result at ANC 2 and above for Age "&amp;X20&amp;" "&amp;Y21&amp;" is not equal to Retest start HAART at ANC2 and above"&amp;CHAR(10),""),IF(Z232&lt;&gt;SUM(Z203)," * Retest Positive Result at ANC 2 and above for Age "&amp;Z20&amp;" "&amp;Z21&amp;" is not equal to Retest start HAART at ANC2 and above"&amp;CHAR(10),""),IF(AA232&lt;&gt;SUM(AA203)," * Retest Positive Result at ANC 2 and above for Age "&amp;Z20&amp;" "&amp;AA21&amp;" is not equal to Retest start HAART at ANC2 and above"&amp;CHAR(10),""))</f>
        <v/>
      </c>
      <c r="AF232" s="728"/>
      <c r="AG232" s="404">
        <v>229</v>
      </c>
    </row>
    <row r="233" spans="1:34" s="9" customFormat="1" x14ac:dyDescent="0.5">
      <c r="A233" s="650" t="s">
        <v>488</v>
      </c>
      <c r="B233" s="287" t="s">
        <v>504</v>
      </c>
      <c r="C233" s="510" t="s">
        <v>375</v>
      </c>
      <c r="D233" s="258"/>
      <c r="E233" s="220"/>
      <c r="F233" s="220"/>
      <c r="G233" s="220"/>
      <c r="H233" s="220"/>
      <c r="I233" s="220"/>
      <c r="J233" s="220"/>
      <c r="K233" s="219"/>
      <c r="L233" s="220"/>
      <c r="M233" s="219"/>
      <c r="N233" s="220"/>
      <c r="O233" s="219"/>
      <c r="P233" s="220"/>
      <c r="Q233" s="219"/>
      <c r="R233" s="220"/>
      <c r="S233" s="219"/>
      <c r="T233" s="220"/>
      <c r="U233" s="219"/>
      <c r="V233" s="220"/>
      <c r="W233" s="219"/>
      <c r="X233" s="220"/>
      <c r="Y233" s="219"/>
      <c r="Z233" s="220"/>
      <c r="AA233" s="220"/>
      <c r="AB233" s="238">
        <f t="shared" si="100"/>
        <v>0</v>
      </c>
      <c r="AC233" s="93" t="str">
        <f>CONCATENATE(IF(D233&gt;D205," * start HAART L&amp;D  for Age "&amp;D20&amp;" "&amp;D21&amp;" is more than Positive Result L&amp;D "&amp;CHAR(10),""),IF(E233&gt;E205," * start HAART L&amp;D  for Age "&amp;D20&amp;" "&amp;E21&amp;" is more than Positive Result L&amp;D "&amp;CHAR(10),""),IF(F233&gt;F205," * start HAART L&amp;D  for Age "&amp;F20&amp;" "&amp;F21&amp;" is more than Positive Result L&amp;D "&amp;CHAR(10),""),IF(G233&gt;G205," * start HAART L&amp;D  for Age "&amp;F20&amp;" "&amp;G21&amp;" is more than Positive Result L&amp;D "&amp;CHAR(10),""),IF(H233&gt;H205," * start HAART L&amp;D  for Age "&amp;H20&amp;" "&amp;H21&amp;" is more than Positive Result L&amp;D "&amp;CHAR(10),""),IF(I233&gt;I205," * start HAART L&amp;D  for Age "&amp;H20&amp;" "&amp;I21&amp;" is more than Positive Result L&amp;D "&amp;CHAR(10),""),IF(J233&gt;J205," * start HAART L&amp;D  for Age "&amp;J20&amp;" "&amp;J21&amp;" is more than Positive Result L&amp;D "&amp;CHAR(10),""),IF(K233&gt;K205," * start HAART L&amp;D  for Age "&amp;J20&amp;" "&amp;K21&amp;" is more than Positive Result L&amp;D "&amp;CHAR(10),""),IF(L233&gt;L205," * start HAART L&amp;D  for Age "&amp;L20&amp;" "&amp;L21&amp;" is more than Positive Result L&amp;D "&amp;CHAR(10),""),IF(M233&gt;M205," * start HAART L&amp;D  for Age "&amp;L20&amp;" "&amp;M21&amp;" is more than Positive Result L&amp;D "&amp;CHAR(10),""),IF(N233&gt;N205," * start HAART L&amp;D  for Age "&amp;N20&amp;" "&amp;N21&amp;" is more than Positive Result L&amp;D "&amp;CHAR(10),""),IF(O233&gt;O205," * start HAART L&amp;D  for Age "&amp;N20&amp;" "&amp;O21&amp;" is more than Positive Result L&amp;D "&amp;CHAR(10),""),IF(P233&gt;P205," * start HAART L&amp;D  for Age "&amp;P20&amp;" "&amp;P21&amp;" is more than Positive Result L&amp;D "&amp;CHAR(10),""),IF(Q233&gt;Q205," * start HAART L&amp;D  for Age "&amp;P20&amp;" "&amp;Q21&amp;" is more than Positive Result L&amp;D "&amp;CHAR(10),""),IF(R233&gt;R205," * start HAART L&amp;D  for Age "&amp;R20&amp;" "&amp;R21&amp;" is more than Positive Result L&amp;D "&amp;CHAR(10),""),IF(S233&gt;S205," * start HAART L&amp;D  for Age "&amp;R20&amp;" "&amp;S21&amp;" is more than Positive Result L&amp;D "&amp;CHAR(10),""),IF(T233&gt;T205," * start HAART L&amp;D  for Age "&amp;T20&amp;" "&amp;T21&amp;" is more than Positive Result L&amp;D "&amp;CHAR(10),""),IF(U233&gt;U205," * start HAART L&amp;D  for Age "&amp;T20&amp;" "&amp;U21&amp;" is more than Positive Result L&amp;D "&amp;CHAR(10),""),IF(V233&gt;V205," * start HAART L&amp;D  for Age "&amp;V20&amp;" "&amp;V21&amp;" is more than Positive Result L&amp;D "&amp;CHAR(10),""),IF(W233&gt;W205," * start HAART L&amp;D  for Age "&amp;V20&amp;" "&amp;W21&amp;" is more than Positive Result L&amp;D "&amp;CHAR(10),""),IF(X233&gt;X205," * start HAART L&amp;D  for Age "&amp;X20&amp;" "&amp;X21&amp;" is more than Positive Result L&amp;D "&amp;CHAR(10),""),IF(Y233&gt;Y205," * start HAART L&amp;D  for Age "&amp;X20&amp;" "&amp;Y21&amp;" is more than Positive Result L&amp;D "&amp;CHAR(10),""),IF(Z233&gt;Z205," * start HAART L&amp;D  for Age "&amp;Z20&amp;" "&amp;Z21&amp;" is more than Positive Result L&amp;D "&amp;CHAR(10),""),IF(AA233&gt;AA205," * start HAART L&amp;D  for Age "&amp;Z20&amp;" "&amp;AA21&amp;" is more than Positive Result L&amp;D "&amp;CHAR(10),"")
)</f>
        <v/>
      </c>
      <c r="AD233" s="715"/>
      <c r="AE233" s="81" t="str">
        <f>CONCATENATE(IF(D233&lt;D205," * start HAART L&amp;D  for Age "&amp;D20&amp;" "&amp;D21&amp;" is less than Positive Result L&amp;D "&amp;CHAR(10),""),IF(E233&lt;E205," * start HAART L&amp;D  for Age "&amp;D20&amp;" "&amp;E21&amp;" is less than Positive Result L&amp;D "&amp;CHAR(10),""),IF(F233&lt;F205," * start HAART L&amp;D  for Age "&amp;F20&amp;" "&amp;F21&amp;" is less than Positive Result L&amp;D "&amp;CHAR(10),""),IF(G233&lt;G205," * start HAART L&amp;D  for Age "&amp;F20&amp;" "&amp;G21&amp;" is less than Positive Result L&amp;D "&amp;CHAR(10),""),IF(H233&lt;H205," * start HAART L&amp;D  for Age "&amp;H20&amp;" "&amp;H21&amp;" is less than Positive Result L&amp;D "&amp;CHAR(10),""),IF(I233&lt;I205," * start HAART L&amp;D  for Age "&amp;H20&amp;" "&amp;I21&amp;" is less than Positive Result L&amp;D "&amp;CHAR(10),""),IF(J233&lt;J205," * start HAART L&amp;D  for Age "&amp;J20&amp;" "&amp;J21&amp;" is less than Positive Result L&amp;D "&amp;CHAR(10),""),IF(K233&lt;K205," * start HAART L&amp;D  for Age "&amp;J20&amp;" "&amp;K21&amp;" is less than Positive Result L&amp;D "&amp;CHAR(10),""),IF(L233&lt;L205," * start HAART L&amp;D  for Age "&amp;L20&amp;" "&amp;L21&amp;" is less than Positive Result L&amp;D "&amp;CHAR(10),""),IF(M233&lt;M205," * start HAART L&amp;D  for Age "&amp;L20&amp;" "&amp;M21&amp;" is less than Positive Result L&amp;D "&amp;CHAR(10),""),IF(N233&lt;N205," * start HAART L&amp;D  for Age "&amp;N20&amp;" "&amp;N21&amp;" is less than Positive Result L&amp;D "&amp;CHAR(10),""),IF(O233&lt;O205," * start HAART L&amp;D  for Age "&amp;N20&amp;" "&amp;O21&amp;" is less than Positive Result L&amp;D "&amp;CHAR(10),""),IF(P233&lt;P205," * start HAART L&amp;D  for Age "&amp;P20&amp;" "&amp;P21&amp;" is less than Positive Result L&amp;D "&amp;CHAR(10),""),IF(Q233&lt;Q205," * start HAART L&amp;D  for Age "&amp;P20&amp;" "&amp;Q21&amp;" is less than Positive Result L&amp;D "&amp;CHAR(10),""),IF(R233&lt;R205," * start HAART L&amp;D  for Age "&amp;R20&amp;" "&amp;R21&amp;" is less than Positive Result L&amp;D "&amp;CHAR(10),""),IF(S233&lt;S205," * start HAART L&amp;D  for Age "&amp;R20&amp;" "&amp;S21&amp;" is less than Positive Result L&amp;D "&amp;CHAR(10),""),IF(T233&lt;T205," * start HAART L&amp;D  for Age "&amp;T20&amp;" "&amp;T21&amp;" is less than Positive Result L&amp;D "&amp;CHAR(10),""),IF(U233&lt;U205," * start HAART L&amp;D  for Age "&amp;T20&amp;" "&amp;U21&amp;" is less than Positive Result L&amp;D "&amp;CHAR(10),""),IF(V233&lt;V205," * start HAART L&amp;D  for Age "&amp;V20&amp;" "&amp;V21&amp;" is less than Positive Result L&amp;D "&amp;CHAR(10),""),IF(W233&lt;W205," * start HAART L&amp;D  for Age "&amp;V20&amp;" "&amp;W21&amp;" is less than Positive Result L&amp;D "&amp;CHAR(10),""),IF(X233&lt;X205," * start HAART L&amp;D  for Age "&amp;X20&amp;" "&amp;X21&amp;" is less than Positive Result L&amp;D "&amp;CHAR(10),""),IF(Y233&lt;Y205," * start HAART L&amp;D  for Age "&amp;X20&amp;" "&amp;Y21&amp;" is less than Positive Result L&amp;D "&amp;CHAR(10),""),IF(Z233&lt;Z205," * start HAART L&amp;D  for Age "&amp;Z20&amp;" "&amp;Z21&amp;" is less than Positive Result L&amp;D "&amp;CHAR(10),""),IF(AA233&lt;AA205," * start HAART L&amp;D  for Age "&amp;Z20&amp;" "&amp;AA21&amp;" is less than Positive Result L&amp;D "&amp;CHAR(10),""))</f>
        <v/>
      </c>
      <c r="AF233" s="728"/>
      <c r="AG233" s="404">
        <v>230</v>
      </c>
      <c r="AH233" s="311"/>
    </row>
    <row r="234" spans="1:34" s="9" customFormat="1" ht="31.5" thickBot="1" x14ac:dyDescent="0.55000000000000004">
      <c r="A234" s="652"/>
      <c r="B234" s="284" t="s">
        <v>647</v>
      </c>
      <c r="C234" s="483" t="s">
        <v>648</v>
      </c>
      <c r="D234" s="138"/>
      <c r="E234" s="37"/>
      <c r="F234" s="37"/>
      <c r="G234" s="37"/>
      <c r="H234" s="37"/>
      <c r="I234" s="37"/>
      <c r="J234" s="37"/>
      <c r="K234" s="38"/>
      <c r="L234" s="37"/>
      <c r="M234" s="38"/>
      <c r="N234" s="37"/>
      <c r="O234" s="38"/>
      <c r="P234" s="37"/>
      <c r="Q234" s="38"/>
      <c r="R234" s="37"/>
      <c r="S234" s="38"/>
      <c r="T234" s="37"/>
      <c r="U234" s="38"/>
      <c r="V234" s="37"/>
      <c r="W234" s="38"/>
      <c r="X234" s="37"/>
      <c r="Y234" s="38"/>
      <c r="Z234" s="37"/>
      <c r="AA234" s="37"/>
      <c r="AB234" s="224">
        <f t="shared" si="100"/>
        <v>0</v>
      </c>
      <c r="AC234" s="93" t="str">
        <f>CONCATENATE(IF(D234&gt;D207," * Retested start HAART L&amp;D  for Age "&amp;D20&amp;" "&amp;D21&amp;" is more than Retested Positive Result L&amp;D "&amp;CHAR(10),""),IF(E234&gt;E207," * Retested start HAART L&amp;D  for Age "&amp;D20&amp;" "&amp;E21&amp;" is more than Retested Positive Result L&amp;D "&amp;CHAR(10),""),IF(F234&gt;F207," * Retested start HAART L&amp;D  for Age "&amp;F20&amp;" "&amp;F21&amp;" is more than Retested Positive Result L&amp;D "&amp;CHAR(10),""),IF(G234&gt;G207," * Retested start HAART L&amp;D  for Age "&amp;F20&amp;" "&amp;G21&amp;" is more than Retested Positive Result L&amp;D "&amp;CHAR(10),""),IF(H234&gt;H207," * Retested start HAART L&amp;D  for Age "&amp;H20&amp;" "&amp;H21&amp;" is more than Retested Positive Result L&amp;D "&amp;CHAR(10),""),IF(I234&gt;I207," * Retested start HAART L&amp;D  for Age "&amp;H20&amp;" "&amp;I21&amp;" is more than Retested Positive Result L&amp;D "&amp;CHAR(10),""),IF(J234&gt;J207," * Retested start HAART L&amp;D  for Age "&amp;J20&amp;" "&amp;J21&amp;" is more than Retested Positive Result L&amp;D "&amp;CHAR(10),""),IF(K234&gt;K207," * Retested start HAART L&amp;D  for Age "&amp;J20&amp;" "&amp;K21&amp;" is more than Retested Positive Result L&amp;D "&amp;CHAR(10),""),IF(L234&gt;L207," * Retested start HAART L&amp;D  for Age "&amp;L20&amp;" "&amp;L21&amp;" is more than Retested Positive Result L&amp;D "&amp;CHAR(10),""),IF(M234&gt;M207," * Retested start HAART L&amp;D  for Age "&amp;L20&amp;" "&amp;M21&amp;" is more than Retested Positive Result L&amp;D "&amp;CHAR(10),""),IF(N234&gt;N207," * Retested start HAART L&amp;D  for Age "&amp;N20&amp;" "&amp;N21&amp;" is more than Retested Positive Result L&amp;D "&amp;CHAR(10),""),IF(O234&gt;O207," * Retested start HAART L&amp;D  for Age "&amp;N20&amp;" "&amp;O21&amp;" is more than Retested Positive Result L&amp;D "&amp;CHAR(10),""),IF(P234&gt;P207," * Retested start HAART L&amp;D  for Age "&amp;P20&amp;" "&amp;P21&amp;" is more than Retested Positive Result L&amp;D "&amp;CHAR(10),""),IF(Q234&gt;Q207," * Retested start HAART L&amp;D  for Age "&amp;P20&amp;" "&amp;Q21&amp;" is more than Retested Positive Result L&amp;D "&amp;CHAR(10),""),IF(R234&gt;R207," * Retested start HAART L&amp;D  for Age "&amp;R20&amp;" "&amp;R21&amp;" is more than Retested Positive Result L&amp;D "&amp;CHAR(10),""),IF(S234&gt;S207," * Retested start HAART L&amp;D  for Age "&amp;R20&amp;" "&amp;S21&amp;" is more than Retested Positive Result L&amp;D "&amp;CHAR(10),""),IF(T234&gt;T207," * Retested start HAART L&amp;D  for Age "&amp;T20&amp;" "&amp;T21&amp;" is more than Retested Positive Result L&amp;D "&amp;CHAR(10),""),IF(U234&gt;U207," * Retested start HAART L&amp;D  for Age "&amp;T20&amp;" "&amp;U21&amp;" is more than Retested Positive Result L&amp;D "&amp;CHAR(10),""),IF(V234&gt;V207," * Retested start HAART L&amp;D  for Age "&amp;V20&amp;" "&amp;V21&amp;" is more than Retested Positive Result L&amp;D "&amp;CHAR(10),""),IF(W234&gt;W207," * Retested start HAART L&amp;D  for Age "&amp;V20&amp;" "&amp;W21&amp;" is more than Retested Positive Result L&amp;D "&amp;CHAR(10),""),IF(X234&gt;X207," * Retested start HAART L&amp;D  for Age "&amp;X20&amp;" "&amp;X21&amp;" is more than Retested Positive Result L&amp;D "&amp;CHAR(10),""),IF(Y234&gt;Y207," * Retested start HAART L&amp;D  for Age "&amp;X20&amp;" "&amp;Y21&amp;" is more than Retested Positive Result L&amp;D "&amp;CHAR(10),""),IF(Z234&gt;Z207," * Retested start HAART L&amp;D  for Age "&amp;Z20&amp;" "&amp;Z21&amp;" is more than Retested Positive Result L&amp;D "&amp;CHAR(10),""),IF(AA234&gt;AA207," * Retested start HAART L&amp;D  for Age "&amp;Z20&amp;" "&amp;AA21&amp;" is more than Retested Positive Result L&amp;D "&amp;CHAR(10),"")
)</f>
        <v/>
      </c>
      <c r="AD234" s="715"/>
      <c r="AE234" s="81"/>
      <c r="AF234" s="728"/>
      <c r="AG234" s="404">
        <v>231</v>
      </c>
      <c r="AH234" s="311"/>
    </row>
    <row r="235" spans="1:34" x14ac:dyDescent="0.5">
      <c r="A235" s="668" t="s">
        <v>493</v>
      </c>
      <c r="B235" s="285" t="s">
        <v>506</v>
      </c>
      <c r="C235" s="263" t="s">
        <v>376</v>
      </c>
      <c r="D235" s="136"/>
      <c r="E235" s="33"/>
      <c r="F235" s="33"/>
      <c r="G235" s="33"/>
      <c r="H235" s="33"/>
      <c r="I235" s="33"/>
      <c r="J235" s="33"/>
      <c r="K235" s="34"/>
      <c r="L235" s="33"/>
      <c r="M235" s="34"/>
      <c r="N235" s="33"/>
      <c r="O235" s="34"/>
      <c r="P235" s="33"/>
      <c r="Q235" s="34"/>
      <c r="R235" s="33"/>
      <c r="S235" s="34"/>
      <c r="T235" s="33"/>
      <c r="U235" s="34"/>
      <c r="V235" s="33"/>
      <c r="W235" s="34"/>
      <c r="X235" s="33"/>
      <c r="Y235" s="34"/>
      <c r="Z235" s="33"/>
      <c r="AA235" s="33"/>
      <c r="AB235" s="35">
        <f t="shared" si="100"/>
        <v>0</v>
      </c>
      <c r="AC235" s="82" t="str">
        <f>CONCATENATE(IF(D235&gt;D209," * F06-16 for Age "&amp;D20&amp;" "&amp;D21&amp;" is more than F06-10"&amp;CHAR(10),""),IF(E235&gt;E209," * F06-16 for Age "&amp;D20&amp;" "&amp;E21&amp;" is more than F06-10"&amp;CHAR(10),""),IF(F235&gt;F209," * F06-16 for Age "&amp;F20&amp;" "&amp;F21&amp;" is more than F06-10"&amp;CHAR(10),""),IF(G235&gt;G209," * F06-16 for Age "&amp;F20&amp;" "&amp;G21&amp;" is more than F06-10"&amp;CHAR(10),""),IF(H235&gt;H209," * F06-16 for Age "&amp;H20&amp;" "&amp;H21&amp;" is more than F06-10"&amp;CHAR(10),""),IF(I235&gt;I209," * F06-16 for Age "&amp;H20&amp;" "&amp;I21&amp;" is more than F06-10"&amp;CHAR(10),""),IF(J235&gt;J209," * F06-16 for Age "&amp;J20&amp;" "&amp;J21&amp;" is more than F06-10"&amp;CHAR(10),""),IF(K235&gt;K209," * F06-16 for Age "&amp;J20&amp;" "&amp;K21&amp;" is more than F06-10"&amp;CHAR(10),""),IF(L235&gt;L209," * F06-16 for Age "&amp;L20&amp;" "&amp;L21&amp;" is more than F06-10"&amp;CHAR(10),""),IF(M235&gt;M209," * F06-16 for Age "&amp;L20&amp;" "&amp;M21&amp;" is more than F06-10"&amp;CHAR(10),""),IF(N235&gt;N209," * F06-16 for Age "&amp;N20&amp;" "&amp;N21&amp;" is more than F06-10"&amp;CHAR(10),""),IF(O235&gt;O209," * F06-16 for Age "&amp;N20&amp;" "&amp;O21&amp;" is more than F06-10"&amp;CHAR(10),""),IF(P235&gt;P209," * F06-16 for Age "&amp;P20&amp;" "&amp;P21&amp;" is more than F06-10"&amp;CHAR(10),""),IF(Q235&gt;Q209," * F06-16 for Age "&amp;P20&amp;" "&amp;Q21&amp;" is more than F06-10"&amp;CHAR(10),""),IF(R235&gt;R209," * F06-16 for Age "&amp;R20&amp;" "&amp;R21&amp;" is more than F06-10"&amp;CHAR(10),""),IF(S235&gt;S209," * F06-16 for Age "&amp;R20&amp;" "&amp;S21&amp;" is more than F06-10"&amp;CHAR(10),""),IF(T235&gt;T209," * F06-16 for Age "&amp;T20&amp;" "&amp;T21&amp;" is more than F06-10"&amp;CHAR(10),""),IF(U235&gt;U209," * F06-16 for Age "&amp;T20&amp;" "&amp;U21&amp;" is more than F06-10"&amp;CHAR(10),""),IF(V235&gt;V209," * F06-16 for Age "&amp;V20&amp;" "&amp;V21&amp;" is more than F06-10"&amp;CHAR(10),""),IF(W235&gt;W209," * F06-16 for Age "&amp;V20&amp;" "&amp;W21&amp;" is more than F06-10"&amp;CHAR(10),""),IF(X235&gt;X209," * F06-16 for Age "&amp;X20&amp;" "&amp;X21&amp;" is more than F06-10"&amp;CHAR(10),""),IF(Y235&gt;Y209," * F06-16 for Age "&amp;X20&amp;" "&amp;Y21&amp;" is more than F06-10"&amp;CHAR(10),""),IF(Z235&gt;Z209," * F06-16 for Age "&amp;Z20&amp;" "&amp;Z21&amp;" is more than F06-10"&amp;CHAR(10),""),IF(AA235&gt;AA209," * F06-16 for Age "&amp;Z20&amp;" "&amp;AA21&amp;" is more than F06-10"&amp;CHAR(10),""),IF(AB235&gt;AB209," * Total F06-16 is more than Total F06-10"&amp;CHAR(10),""))</f>
        <v/>
      </c>
      <c r="AD235" s="715"/>
      <c r="AE235" s="80" t="str">
        <f>CONCATENATE(IF(D235&lt;D209," * F06-16 for Age "&amp;D20&amp;" "&amp;D21&amp;" is less than F06-10"&amp;CHAR(10),""),IF(E235&lt;E209," * F06-16 for Age "&amp;D20&amp;" "&amp;E21&amp;" is less than F06-10"&amp;CHAR(10),""),IF(F235&lt;F209," * F06-16 for Age "&amp;F20&amp;" "&amp;F21&amp;" is less than F06-10"&amp;CHAR(10),""),IF(G235&lt;G209," * F06-16 for Age "&amp;F20&amp;" "&amp;G21&amp;" is less than F06-10"&amp;CHAR(10),""),IF(H235&lt;H209," * F06-16 for Age "&amp;H20&amp;" "&amp;H21&amp;" is less than F06-10"&amp;CHAR(10),""),IF(I235&lt;I209," * F06-16 for Age "&amp;H20&amp;" "&amp;I21&amp;" is less than F06-10"&amp;CHAR(10),""),IF(J235&lt;J209," * F06-16 for Age "&amp;J20&amp;" "&amp;J21&amp;" is less than F06-10"&amp;CHAR(10),""),IF(K235&lt;K209," * F06-16 for Age "&amp;J20&amp;" "&amp;K21&amp;" is less than F06-10"&amp;CHAR(10),""),IF(L235&lt;L209," * F06-16 for Age "&amp;L20&amp;" "&amp;L21&amp;" is less than F06-10"&amp;CHAR(10),""),IF(M235&lt;M209," * F06-16 for Age "&amp;L20&amp;" "&amp;M21&amp;" is less than F06-10"&amp;CHAR(10),""),IF(N235&lt;N209," * F06-16 for Age "&amp;N20&amp;" "&amp;N21&amp;" is less than F06-10"&amp;CHAR(10),""),IF(O235&lt;O209," * F06-16 for Age "&amp;N20&amp;" "&amp;O21&amp;" is less than F06-10"&amp;CHAR(10),""),IF(P235&lt;P209," * F06-16 for Age "&amp;P20&amp;" "&amp;P21&amp;" is less than F06-10"&amp;CHAR(10),""),IF(Q235&lt;Q209," * F06-16 for Age "&amp;P20&amp;" "&amp;Q21&amp;" is less than F06-10"&amp;CHAR(10),""),IF(R235&lt;R209," * F06-16 for Age "&amp;R20&amp;" "&amp;R21&amp;" is less than F06-10"&amp;CHAR(10),""),IF(S235&lt;S209," * F06-16 for Age "&amp;R20&amp;" "&amp;S21&amp;" is less than F06-10"&amp;CHAR(10),""),IF(T235&lt;T209," * F06-16 for Age "&amp;T20&amp;" "&amp;T21&amp;" is less than F06-10"&amp;CHAR(10),""),IF(U235&lt;U209," * F06-16 for Age "&amp;T20&amp;" "&amp;U21&amp;" is less than F06-10"&amp;CHAR(10),""),IF(V235&lt;V209," * F06-16 for Age "&amp;V20&amp;" "&amp;V21&amp;" is less than F06-10"&amp;CHAR(10),""),IF(W235&lt;W209," * F06-16 for Age "&amp;V20&amp;" "&amp;W21&amp;" is less than F06-10"&amp;CHAR(10),""),IF(X235&lt;X209," * F06-16 for Age "&amp;X20&amp;" "&amp;X21&amp;" is less than F06-10"&amp;CHAR(10),""),IF(Y235&lt;Y209," * F06-16 for Age "&amp;X20&amp;" "&amp;Y21&amp;" is less than F06-10"&amp;CHAR(10),""),IF(Z235&lt;Z209," * F06-16 for Age "&amp;Z20&amp;" "&amp;Z21&amp;" is less than F06-10"&amp;CHAR(10),""),IF(AA235&lt;AA209," * F06-16 for Age "&amp;Z20&amp;" "&amp;AA21&amp;" is less than F06-10"&amp;CHAR(10),""),IF(AB235&lt;AB209," * Total F06-16 is less than Total F06-10"&amp;CHAR(10),""))</f>
        <v/>
      </c>
      <c r="AF235" s="728"/>
      <c r="AG235" s="404">
        <v>232</v>
      </c>
    </row>
    <row r="236" spans="1:34" x14ac:dyDescent="0.5">
      <c r="A236" s="669"/>
      <c r="B236" s="282" t="s">
        <v>507</v>
      </c>
      <c r="C236" s="131" t="s">
        <v>511</v>
      </c>
      <c r="D236" s="124"/>
      <c r="E236" s="18"/>
      <c r="F236" s="18"/>
      <c r="G236" s="18"/>
      <c r="H236" s="18"/>
      <c r="I236" s="18"/>
      <c r="J236" s="18"/>
      <c r="K236" s="19"/>
      <c r="L236" s="18"/>
      <c r="M236" s="19"/>
      <c r="N236" s="18"/>
      <c r="O236" s="19"/>
      <c r="P236" s="18"/>
      <c r="Q236" s="19"/>
      <c r="R236" s="18"/>
      <c r="S236" s="19"/>
      <c r="T236" s="18"/>
      <c r="U236" s="19"/>
      <c r="V236" s="18"/>
      <c r="W236" s="19"/>
      <c r="X236" s="18"/>
      <c r="Y236" s="19"/>
      <c r="Z236" s="18"/>
      <c r="AA236" s="18"/>
      <c r="AB236" s="224">
        <f t="shared" si="100"/>
        <v>0</v>
      </c>
      <c r="AC236" s="82" t="str">
        <f>CONCATENATE(IF(D236&gt;D211," * Retest Start HAART at PNC &lt; = 6 weeks for Age "&amp;D20&amp;" "&amp;D21&amp;" is more than Retesting positive result at PNC &lt; = 6 weeks"&amp;CHAR(10),""),IF(E236&gt;E211," * Retest Start HAART at PNC &lt; = 6 weeks for Age "&amp;D20&amp;" "&amp;E21&amp;" is more than Retesting positive result at PNC &lt; = 6 weeks"&amp;CHAR(10),""),IF(F236&gt;F211," * Retest Start HAART at PNC &lt; = 6 weeks for Age "&amp;F20&amp;" "&amp;F21&amp;" is more than Retesting positive result at PNC &lt; = 6 weeks"&amp;CHAR(10),""),IF(G236&gt;G211," * Retest Start HAART at PNC &lt; = 6 weeks for Age "&amp;F20&amp;" "&amp;G21&amp;" is more than Retesting positive result at PNC &lt; = 6 weeks"&amp;CHAR(10),""),IF(H236&gt;H211," * Retest Start HAART at PNC &lt; = 6 weeks for Age "&amp;H20&amp;" "&amp;H21&amp;" is more than Retesting positive result at PNC &lt; = 6 weeks"&amp;CHAR(10),""),IF(I236&gt;I211," * Retest Start HAART at PNC &lt; = 6 weeks for Age "&amp;H20&amp;" "&amp;I21&amp;" is more than Retesting positive result at PNC &lt; = 6 weeks"&amp;CHAR(10),""),IF(J236&gt;J211," * Retest Start HAART at PNC &lt; = 6 weeks for Age "&amp;J20&amp;" "&amp;J21&amp;" is more than Retesting positive result at PNC &lt; = 6 weeks"&amp;CHAR(10),""),IF(K236&gt;K211," * Retest Start HAART at PNC &lt; = 6 weeks for Age "&amp;J20&amp;" "&amp;K21&amp;" is more than Retesting positive result at PNC &lt; = 6 weeks"&amp;CHAR(10),""),IF(L236&gt;L211," * Retest Start HAART at PNC &lt; = 6 weeks for Age "&amp;L20&amp;" "&amp;L21&amp;" is more than Retesting positive result at PNC &lt; = 6 weeks"&amp;CHAR(10),""),IF(M236&gt;M211," * Retest Start HAART at PNC &lt; = 6 weeks for Age "&amp;L20&amp;" "&amp;M21&amp;" is more than Retesting positive result at PNC &lt; = 6 weeks"&amp;CHAR(10),""),IF(N236&gt;N211," * Retest Start HAART at PNC &lt; = 6 weeks for Age "&amp;N20&amp;" "&amp;N21&amp;" is more than Retesting positive result at PNC &lt; = 6 weeks"&amp;CHAR(10),""),IF(O236&gt;O211," * Retest Start HAART at PNC &lt; = 6 weeks for Age "&amp;N20&amp;" "&amp;O21&amp;" is more than Retesting positive result at PNC &lt; = 6 weeks"&amp;CHAR(10),""),IF(P236&gt;P211," * Retest Start HAART at PNC &lt; = 6 weeks for Age "&amp;P20&amp;" "&amp;P21&amp;" is more than Retesting positive result at PNC &lt; = 6 weeks"&amp;CHAR(10),""),IF(Q236&gt;Q211," * Retest Start HAART at PNC &lt; = 6 weeks for Age "&amp;P20&amp;" "&amp;Q21&amp;" is more than Retesting positive result at PNC &lt; = 6 weeks"&amp;CHAR(10),""),IF(R236&gt;R211," * Retest Start HAART at PNC &lt; = 6 weeks for Age "&amp;R20&amp;" "&amp;R21&amp;" is more than Retesting positive result at PNC &lt; = 6 weeks"&amp;CHAR(10),""),IF(S236&gt;S211," * Retest Start HAART at PNC &lt; = 6 weeks for Age "&amp;R20&amp;" "&amp;S21&amp;" is more than Retesting positive result at PNC &lt; = 6 weeks"&amp;CHAR(10),""),IF(T236&gt;T211," * Retest Start HAART at PNC &lt; = 6 weeks for Age "&amp;T20&amp;" "&amp;T21&amp;" is more than Retesting positive result at PNC &lt; = 6 weeks"&amp;CHAR(10),""),IF(U236&gt;U211," * Retest Start HAART at PNC &lt; = 6 weeks for Age "&amp;T20&amp;" "&amp;U21&amp;" is more than Retesting positive result at PNC &lt; = 6 weeks"&amp;CHAR(10),""),IF(V236&gt;V211," * Retest Start HAART at PNC &lt; = 6 weeks for Age "&amp;V20&amp;" "&amp;V21&amp;" is more than Retesting positive result at PNC &lt; = 6 weeks"&amp;CHAR(10),""),IF(W236&gt;W211," * Retest Start HAART at PNC &lt; = 6 weeks for Age "&amp;V20&amp;" "&amp;W21&amp;" is more than Retesting positive result at PNC &lt; = 6 weeks"&amp;CHAR(10),""),IF(X236&gt;X211," * Retest Start HAART at PNC &lt; = 6 weeks for Age "&amp;X20&amp;" "&amp;X21&amp;" is more than Retesting positive result at PNC &lt; = 6 weeks"&amp;CHAR(10),""),IF(Y236&gt;Y211," * Retest Start HAART at PNC &lt; = 6 weeks for Age "&amp;X20&amp;" "&amp;Y21&amp;" is more than Retesting positive result at PNC &lt; = 6 weeks"&amp;CHAR(10),""),IF(Z236&gt;Z211," * Retest Start HAART at PNC &lt; = 6 weeks for Age "&amp;Z20&amp;" "&amp;Z21&amp;" is more than Retesting positive result at PNC &lt; = 6 weeks"&amp;CHAR(10),""),IF(AA236&gt;AA211," * Retest Start HAART at PNC &lt; = 6 weeks for Age "&amp;Z20&amp;" "&amp;AA21&amp;" is more than Retesting positive result at PNC &lt; = 6 weeks"&amp;CHAR(10),""))</f>
        <v/>
      </c>
      <c r="AD236" s="715"/>
      <c r="AE236" s="80"/>
      <c r="AF236" s="728"/>
      <c r="AG236" s="404">
        <v>233</v>
      </c>
    </row>
    <row r="237" spans="1:34" s="9" customFormat="1" ht="31.5" thickBot="1" x14ac:dyDescent="0.55000000000000004">
      <c r="A237" s="670"/>
      <c r="B237" s="284" t="s">
        <v>505</v>
      </c>
      <c r="C237" s="483" t="s">
        <v>512</v>
      </c>
      <c r="D237" s="138"/>
      <c r="E237" s="37"/>
      <c r="F237" s="37"/>
      <c r="G237" s="37"/>
      <c r="H237" s="37"/>
      <c r="I237" s="37"/>
      <c r="J237" s="37"/>
      <c r="K237" s="38"/>
      <c r="L237" s="37"/>
      <c r="M237" s="38"/>
      <c r="N237" s="37"/>
      <c r="O237" s="38"/>
      <c r="P237" s="37"/>
      <c r="Q237" s="38"/>
      <c r="R237" s="37"/>
      <c r="S237" s="38"/>
      <c r="T237" s="37"/>
      <c r="U237" s="38"/>
      <c r="V237" s="37"/>
      <c r="W237" s="38"/>
      <c r="X237" s="37"/>
      <c r="Y237" s="38"/>
      <c r="Z237" s="37"/>
      <c r="AA237" s="37"/>
      <c r="AB237" s="224">
        <f t="shared" si="100"/>
        <v>0</v>
      </c>
      <c r="AC237" s="82" t="str">
        <f>CONCATENATE(IF(D237&gt;D213," * Start HAART at PNC  &gt; 6 weeks for Age "&amp;D20&amp;" "&amp;D21&amp;" is more than  positive result at PNC  &gt; 6 weeks"&amp;CHAR(10),""),IF(E237&gt;E213," * Start HAART at PNC  &gt; 6 weeks for Age "&amp;D20&amp;" "&amp;E21&amp;" is more than  positive result at PNC  &gt; 6 weeks"&amp;CHAR(10),""),IF(F237&gt;F213," * Start HAART at PNC  &gt; 6 weeks for Age "&amp;F20&amp;" "&amp;F21&amp;" is more than  positive result at PNC  &gt; 6 weeks"&amp;CHAR(10),""),IF(G237&gt;G213," * Start HAART at PNC  &gt; 6 weeks for Age "&amp;F20&amp;" "&amp;G21&amp;" is more than  positive result at PNC  &gt; 6 weeks"&amp;CHAR(10),""),IF(H237&gt;H213," * Start HAART at PNC  &gt; 6 weeks for Age "&amp;H20&amp;" "&amp;H21&amp;" is more than  positive result at PNC  &gt; 6 weeks"&amp;CHAR(10),""),IF(I237&gt;I213," * Start HAART at PNC  &gt; 6 weeks for Age "&amp;H20&amp;" "&amp;I21&amp;" is more than  positive result at PNC  &gt; 6 weeks"&amp;CHAR(10),""),IF(J237&gt;J213," * Start HAART at PNC  &gt; 6 weeks for Age "&amp;J20&amp;" "&amp;J21&amp;" is more than  positive result at PNC  &gt; 6 weeks"&amp;CHAR(10),""),IF(K237&gt;K213," * Start HAART at PNC  &gt; 6 weeks for Age "&amp;J20&amp;" "&amp;K21&amp;" is more than  positive result at PNC  &gt; 6 weeks"&amp;CHAR(10),""),IF(L237&gt;L213," * Start HAART at PNC  &gt; 6 weeks for Age "&amp;L20&amp;" "&amp;L21&amp;" is more than  positive result at PNC  &gt; 6 weeks"&amp;CHAR(10),""),IF(M237&gt;M213," * Start HAART at PNC  &gt; 6 weeks for Age "&amp;L20&amp;" "&amp;M21&amp;" is more than  positive result at PNC  &gt; 6 weeks"&amp;CHAR(10),""),IF(N237&gt;N213," * Start HAART at PNC  &gt; 6 weeks for Age "&amp;N20&amp;" "&amp;N21&amp;" is more than  positive result at PNC  &gt; 6 weeks"&amp;CHAR(10),""),IF(O237&gt;O213," * Start HAART at PNC  &gt; 6 weeks for Age "&amp;N20&amp;" "&amp;O21&amp;" is more than  positive result at PNC  &gt; 6 weeks"&amp;CHAR(10),""),IF(P237&gt;P213," * Start HAART at PNC  &gt; 6 weeks for Age "&amp;P20&amp;" "&amp;P21&amp;" is more than  positive result at PNC  &gt; 6 weeks"&amp;CHAR(10),""),IF(Q237&gt;Q213," * Start HAART at PNC  &gt; 6 weeks for Age "&amp;P20&amp;" "&amp;Q21&amp;" is more than  positive result at PNC  &gt; 6 weeks"&amp;CHAR(10),""),IF(R237&gt;R213," * Start HAART at PNC  &gt; 6 weeks for Age "&amp;R20&amp;" "&amp;R21&amp;" is more than  positive result at PNC  &gt; 6 weeks"&amp;CHAR(10),""),IF(S237&gt;S213," * Start HAART at PNC  &gt; 6 weeks for Age "&amp;R20&amp;" "&amp;S21&amp;" is more than  positive result at PNC  &gt; 6 weeks"&amp;CHAR(10),""),IF(T237&gt;T213," * Start HAART at PNC  &gt; 6 weeks for Age "&amp;T20&amp;" "&amp;T21&amp;" is more than  positive result at PNC  &gt; 6 weeks"&amp;CHAR(10),""),IF(U237&gt;U213," * Start HAART at PNC  &gt; 6 weeks for Age "&amp;T20&amp;" "&amp;U21&amp;" is more than  positive result at PNC  &gt; 6 weeks"&amp;CHAR(10),""),IF(V237&gt;V213," * Start HAART at PNC  &gt; 6 weeks for Age "&amp;V20&amp;" "&amp;V21&amp;" is more than  positive result at PNC  &gt; 6 weeks"&amp;CHAR(10),""),IF(W237&gt;W213," * Start HAART at PNC  &gt; 6 weeks for Age "&amp;V20&amp;" "&amp;W21&amp;" is more than  positive result at PNC  &gt; 6 weeks"&amp;CHAR(10),""),IF(X237&gt;X213," * Start HAART at PNC  &gt; 6 weeks for Age "&amp;X20&amp;" "&amp;X21&amp;" is more than  positive result at PNC  &gt; 6 weeks"&amp;CHAR(10),""),IF(Y237&gt;Y213," * Start HAART at PNC  &gt; 6 weeks for Age "&amp;X20&amp;" "&amp;Y21&amp;" is more than  positive result at PNC  &gt; 6 weeks"&amp;CHAR(10),""),IF(Z237&gt;Z213," * Start HAART at PNC  &gt; 6 weeks for Age "&amp;Z20&amp;" "&amp;Z21&amp;" is more than  positive result at PNC  &gt; 6 weeks"&amp;CHAR(10),""),IF(AA237&gt;AA213," * Start HAART at PNC  &gt; 6 weeks for Age "&amp;Z20&amp;" "&amp;AA21&amp;" is more than  positive result at PNC  &gt; 6 weeks"&amp;CHAR(10),""))</f>
        <v/>
      </c>
      <c r="AD237" s="715"/>
      <c r="AE237" s="81"/>
      <c r="AF237" s="728"/>
      <c r="AG237" s="404">
        <v>234</v>
      </c>
      <c r="AH237" s="311"/>
    </row>
    <row r="238" spans="1:34" ht="33" thickBot="1" x14ac:dyDescent="0.55000000000000004">
      <c r="A238" s="419" t="s">
        <v>290</v>
      </c>
      <c r="B238" s="288" t="s">
        <v>290</v>
      </c>
      <c r="C238" s="162" t="s">
        <v>377</v>
      </c>
      <c r="D238" s="161"/>
      <c r="E238" s="63"/>
      <c r="F238" s="63"/>
      <c r="G238" s="63"/>
      <c r="H238" s="63"/>
      <c r="I238" s="63"/>
      <c r="J238" s="63"/>
      <c r="K238" s="64"/>
      <c r="L238" s="63"/>
      <c r="M238" s="64"/>
      <c r="N238" s="63"/>
      <c r="O238" s="64"/>
      <c r="P238" s="63"/>
      <c r="Q238" s="64"/>
      <c r="R238" s="63"/>
      <c r="S238" s="64"/>
      <c r="T238" s="63"/>
      <c r="U238" s="64"/>
      <c r="V238" s="63"/>
      <c r="W238" s="64"/>
      <c r="X238" s="63"/>
      <c r="Y238" s="64"/>
      <c r="Z238" s="63"/>
      <c r="AA238" s="63"/>
      <c r="AB238" s="65">
        <f t="shared" si="100"/>
        <v>0</v>
      </c>
      <c r="AC238" s="82"/>
      <c r="AD238" s="715"/>
      <c r="AE238" s="80"/>
      <c r="AF238" s="728"/>
      <c r="AG238" s="404">
        <v>235</v>
      </c>
    </row>
    <row r="239" spans="1:34" s="9" customFormat="1" x14ac:dyDescent="0.5">
      <c r="A239" s="668" t="s">
        <v>1026</v>
      </c>
      <c r="B239" s="285" t="s">
        <v>716</v>
      </c>
      <c r="C239" s="153" t="s">
        <v>378</v>
      </c>
      <c r="D239" s="136"/>
      <c r="E239" s="33"/>
      <c r="F239" s="33"/>
      <c r="G239" s="33"/>
      <c r="H239" s="33"/>
      <c r="I239" s="33"/>
      <c r="J239" s="33"/>
      <c r="K239" s="34"/>
      <c r="L239" s="33"/>
      <c r="M239" s="34"/>
      <c r="N239" s="33"/>
      <c r="O239" s="34"/>
      <c r="P239" s="33"/>
      <c r="Q239" s="34"/>
      <c r="R239" s="33"/>
      <c r="S239" s="34"/>
      <c r="T239" s="33"/>
      <c r="U239" s="34"/>
      <c r="V239" s="33"/>
      <c r="W239" s="34"/>
      <c r="X239" s="33"/>
      <c r="Y239" s="34"/>
      <c r="Z239" s="33"/>
      <c r="AA239" s="33"/>
      <c r="AB239" s="35">
        <f t="shared" si="100"/>
        <v>0</v>
      </c>
      <c r="AC239" s="82" t="str">
        <f>CONCATENATE(IF(D239&gt;SUM(D197,D201,D195,D203)," * Infant Prophylaxis ANC for Age "&amp;D20&amp;" "&amp;D21&amp;" is more than Positive at ANC (F06-02+F06-04+F06-06+F06-062)"&amp;CHAR(10),""),IF(E239&gt;SUM(E197,E201,E195,E203)," * Infant Prophylaxis ANC  for Age "&amp;D20&amp;" "&amp;E21&amp;" is more than Positive at ANC (F06-02+F06-04+F06-06+F06-062)"&amp;CHAR(10),""),IF(F239&gt;SUM(F197,F201,F195,F203)," * Infant Prophylaxis ANC  for Age "&amp;F20&amp;" "&amp;F21&amp;" is more than Positive at ANC (F06-02+F06-04+F06-06+F06-062)"&amp;CHAR(10),""),IF(G239&gt;SUM(G197,G201,G195,F203)," * Infant Prophylaxis ANC  for Age "&amp;F20&amp;" "&amp;G21&amp;" is more than Positive at ANC (F06-02+F06-04+F06-06+F06-062)"&amp;CHAR(10),""),IF(H239&gt;SUM(H197,H201,H195)," * Infant Prophylaxis ANC  for Age "&amp;H20&amp;" "&amp;H21&amp;" is more than Positive at ANC (F06-02+F06-04+F06-06+F06-062)"&amp;CHAR(10),""),IF(I239&gt;SUM(I197,I201,I195)," * Infant Prophylaxis ANC  for Age "&amp;H20&amp;" "&amp;I21&amp;" is more than Positive at ANC (F06-02+F06-04+F06-06+F06-062)"&amp;CHAR(10),""),IF(J239&gt;SUM(J197,J201,J195)," * Infant Prophylaxis ANC  for Age "&amp;J20&amp;" "&amp;J21&amp;" is more than Positive at ANC (F06-02+F06-04+F06-06+F06-062)"&amp;CHAR(10),""),IF(K239&gt;SUM(K197,K201,K195,K203)," * Infant Prophylaxis ANC  for Age "&amp;J20&amp;" "&amp;K21&amp;" is more than Positive at ANC (F06-02+F06-04+F06-06+F06-062)"&amp;CHAR(10),""),IF(L239&gt;SUM(L197,L201,L195,L203)," * Infant Prophylaxis ANC  for Age "&amp;L20&amp;" "&amp;L21&amp;" is more than Positive at ANC (F06-02+F06-04+F06-06+F06-062)"&amp;CHAR(10),""),IF(M239&gt;SUM(M197,M201,M195,M203)," * Infant Prophylaxis ANC  for Age "&amp;L20&amp;" "&amp;M21&amp;" is more than Positive at ANC (F06-02+F06-04+F06-06+F06-062)"&amp;CHAR(10),""),IF(N239&gt;SUM(N197,N201,N195,N203)," * Infant Prophylaxis ANC  for Age "&amp;N20&amp;" "&amp;N21&amp;" is more than Positive at ANC (F06-02+F06-04+F06-06+F06-062)"&amp;CHAR(10),""),IF(O239&gt;SUM(O197,O201,O195,O203)," * Infant Prophylaxis ANC  for Age "&amp;N20&amp;" "&amp;O21&amp;" is more than Positive at ANC (F06-02+F06-04+F06-06+F06-062)"&amp;CHAR(10),""),IF(P239&gt;SUM(P197,P201,P195,P203)," * Infant Prophylaxis ANC  for Age "&amp;P20&amp;" "&amp;P21&amp;" is more than Positive at ANC (F06-02+F06-04+F06-06+F06-062)"&amp;CHAR(10),""),IF(Q239&gt;SUM(Q197,Q201,Q195,Q203)," * Infant Prophylaxis ANC  for Age "&amp;P20&amp;" "&amp;Q21&amp;" is more than Positive at ANC (F06-02+F06-04+F06-06+F06-062)"&amp;CHAR(10),""),IF(R239&gt;SUM(R197,R201,R195,R203)," * Infant Prophylaxis ANC  for Age "&amp;R20&amp;" "&amp;R21&amp;" is more than Positive at ANC (F06-02+F06-04+F06-06+F06-062)"&amp;CHAR(10),""),IF(S239&gt;SUM(S197,S201,S195,S203)," * Infant Prophylaxis ANC  for Age "&amp;R20&amp;" "&amp;S21&amp;" is more than Positive at ANC (F06-02+F06-04+F06-06+F06-062)"&amp;CHAR(10),""),IF(T239&gt;SUM(T197,T201,T195,T203)," * Infant Prophylaxis ANC  for Age "&amp;T20&amp;" "&amp;T21&amp;" is more than Positive at ANC (F06-02+F06-04+F06-06+F06-062)"&amp;CHAR(10),""),IF(U239&gt;SUM(U197,U201,U195,U203)," * Infant Prophylaxis ANC  for Age "&amp;T20&amp;" "&amp;U21&amp;" is more than Positive at ANC (F06-02+F06-04+F06-06+F06-062)"&amp;CHAR(10),""),IF(V239&gt;SUM(V197,V201,V195,V203)," * Infant Prophylaxis ANC  for Age "&amp;V20&amp;" "&amp;V21&amp;" is more than Positive at ANC (F06-02+F06-04+F06-06+F06-062)"&amp;CHAR(10),""),IF(W239&gt;SUM(W197,W201,W195,W203)," * Infant Prophylaxis ANC  for Age "&amp;V20&amp;" "&amp;W21&amp;" is more than Positive at ANC (F06-02+F06-04+F06-06+F06-062)"&amp;CHAR(10),""),IF(X239&gt;SUM(X197,X201,X195,X203)," * Infant Prophylaxis ANC  for Age "&amp;X20&amp;" "&amp;X21&amp;" is more than Positive at ANC (F06-02+F06-04+F06-06+F06-062)"&amp;CHAR(10),""),IF(Y239&gt;SUM(Y197,Y201,Y195,Y203)," * Infant Prophylaxis ANC  for Age "&amp;X20&amp;" "&amp;Y21&amp;" is more than Positive at ANC (F06-02+F06-04+F06-06+F06-062)"&amp;CHAR(10),""),IF(Z239&gt;SUM(Z197,Z201,Z195,Z203)," * Infant Prophylaxis ANC  for Age "&amp;Z20&amp;" "&amp;Z21&amp;" is more than Positive at ANC (F06-02+F06-04+F06-06+F06-062)"&amp;CHAR(10),""),IF(AA239&gt;SUM(AA197,AA201,AA195,AA203)," * Infant Prophylaxis ANC  for Age "&amp;Z20&amp;" "&amp;AA21&amp;" is more than Positive at ANC (F06-02+F06-04+F06-06+F06-062)"&amp;CHAR(10),""))</f>
        <v/>
      </c>
      <c r="AD239" s="715"/>
      <c r="AE239" s="81" t="str">
        <f>CONCATENATE(IF(D239&lt;SUM(D197,D195,D201,D203)," * Sum of (KP at 1st ANC +New positive at ANC1 + New positive at ANC2 or More+Retesting positive Result at ANC2 or More) for Age "&amp;D20&amp;" "&amp;D21&amp;" is greater than Infant Prophylaxis ANC"&amp;CHAR(10),""),IF(E239&lt;SUM(E197,E195,E201,E203)," * Sum of (KP at 1st ANC +New positive at ANC1 + New positive at ANC2 or More+Retesting positive Result at ANC2 or More) for Age "&amp;D20&amp;" "&amp;E21&amp;" is greater than Infant Prophylaxis ANC"&amp;CHAR(10),""),IF(F239&lt;SUM(F197,F195,F201,F203)," * Sum of (KP at 1st ANC +New positive at ANC1 + New positive at ANC2 or More+Retesting positive Result at ANC2 or More) for Age "&amp;F20&amp;" "&amp;F21&amp;" is greater than Infant Prophylaxis ANC"&amp;CHAR(10),""),IF(G239&lt;SUM(G197,G195,G201,G203)," * Sum of (KP at 1st ANC +New positive at ANC1 + New positive at ANC2 or More+Retesting positive Result at ANC2 or More) for Age "&amp;F20&amp;" "&amp;G21&amp;" is greater than Infant Prophylaxis ANC"&amp;CHAR(10),""),IF(H239&lt;SUM(H197,H195,H201,H203)," * Sum of (KP at 1st ANC +New positive at ANC1 + New positive at ANC2 or More+Retesting positive Result at ANC2 or More) for Age "&amp;H20&amp;" "&amp;H21&amp;" is greater than Infant Prophylaxis ANC"&amp;CHAR(10),""),IF(I239&lt;SUM(I197,I195,I201,I203)," * Sum of (KP at 1st ANC +New positive at ANC1 + New positive at ANC2 or More+Retesting positive Result at ANC2 or More) for Age "&amp;H20&amp;" "&amp;I21&amp;" is greater than Infant Prophylaxis ANC"&amp;CHAR(10),""),IF(J239&lt;SUM(J197,J195,J201,J203)," * Sum of (KP at 1st ANC +New positive at ANC1 + New positive at ANC2 or More+Retesting positive Result at ANC2 or More) for Age "&amp;J20&amp;" "&amp;J21&amp;" is greater than Infant Prophylaxis ANC"&amp;CHAR(10),""),IF(K239&lt;SUM(K197,K195,K201,K203)," * Sum of (KP at 1st ANC +New positive at ANC1 + New positive at ANC2 or More+Retesting positive Result at ANC2 or More) for Age "&amp;J20&amp;" "&amp;K21&amp;" is greater than Infant Prophylaxis ANC"&amp;CHAR(10),""),IF(L239&lt;SUM(L197,L195,L201,L203)," * Sum of (KP at 1st ANC +New positive at ANC1 + New positive at ANC2 or More+Retesting positive Result at ANC2 or More) for Age "&amp;L20&amp;" "&amp;L21&amp;" is greater than Infant Prophylaxis ANC"&amp;CHAR(10),""),IF(M239&lt;SUM(M197,M195,M201,M203)," * Sum of (KP at 1st ANC +New positive at ANC1 + New positive at ANC2 or More+Retesting positive Result at ANC2 or More) for Age "&amp;L20&amp;" "&amp;M21&amp;" is greater than Infant Prophylaxis ANC"&amp;CHAR(10),""),IF(N239&lt;SUM(N197,N195,N201,N203)," * Sum of (KP at 1st ANC +New positive at ANC1 + New positive at ANC2 or More+Retesting positive Result at ANC2 or More) for Age "&amp;N20&amp;" "&amp;N21&amp;" is greater than Infant Prophylaxis ANC"&amp;CHAR(10),""),IF(O239&lt;SUM(O197,O195,O201,O203)," * Sum of (KP at 1st ANC +New positive at ANC1 + New positive at ANC2 or More+Retesting positive Result at ANC2 or More) for Age "&amp;N20&amp;" "&amp;O21&amp;" is greater than Infant Prophylaxis ANC"&amp;CHAR(10),""),IF(P239&lt;SUM(P197,P195,P201,P203)," * Sum of (KP at 1st ANC +New positive at ANC1 + New positive at ANC2 or More+Retesting positive Result at ANC2 or More) for Age "&amp;P20&amp;" "&amp;P21&amp;" is greater than Infant Prophylaxis ANC"&amp;CHAR(10),""),IF(Q239&lt;SUM(Q197,Q195,Q201,Q203)," * Sum of (KP at 1st ANC +New positive at ANC1 + New positive at ANC2 or More+Retesting positive Result at ANC2 or More) for Age "&amp;P20&amp;" "&amp;Q21&amp;" is greater than Infant Prophylaxis ANC"&amp;CHAR(10),""),IF(R239&lt;SUM(R197,R195,R201,R203)," * Sum of (KP at 1st ANC +New positive at ANC1 + New positive at ANC2 or More+Retesting positive Result at ANC2 or More) for Age "&amp;R20&amp;" "&amp;R21&amp;" is greater than Infant Prophylaxis ANC"&amp;CHAR(10),""),IF(S239&lt;SUM(S197,S195,S201,S203)," * Sum of (KP at 1st ANC +New positive at ANC1 + New positive at ANC2 or More+Retesting positive Result at ANC2 or More) for Age "&amp;R20&amp;" "&amp;S21&amp;" is greater than Infant Prophylaxis ANC"&amp;CHAR(10),""),IF(T239&lt;SUM(T197,T195,T201&lt;T203)," * Sum of (KP at 1st ANC +New positive at ANC1 + New positive at ANC2 or More+Retesting positive Result at ANC2 or More) for Age "&amp;T20&amp;" "&amp;T21&amp;" is greater than Infant Prophylaxis ANC"&amp;CHAR(10),""),IF(U239&lt;SUM(U197,U195,U201,U203)," * Sum of (KP at 1st ANC +New positive at ANC1 + New positive at ANC2 or More+Retesting positive Result at ANC2 or More) for Age "&amp;T20&amp;" "&amp;U21&amp;" is greater than Infant Prophylaxis ANC"&amp;CHAR(10),""),IF(V239&lt;SUM(V197,V195,V201,V203)," * Sum of (KP at 1st ANC +New positive at ANC1 + New positive at ANC2 or More+Retesting positive Result at ANC2 or More) for Age "&amp;V20&amp;" "&amp;V21&amp;" is greater than Infant Prophylaxis ANC"&amp;CHAR(10),""),IF(W239&lt;SUM(W197,W195,W201,W203)," * Sum of (KP at 1st ANC +New positive at ANC1 + New positive at ANC2 or More+Retesting positive Result at ANC2 or More) for Age "&amp;V20&amp;" "&amp;W21&amp;" is greater than Infant Prophylaxis ANC"&amp;CHAR(10),""),IF(X239&lt;SUM(X197,X195,X201,X203)," * Sum of (KP at 1st ANC +New positive at ANC1 + New positive at ANC2 or More+Retesting positive Result at ANC2 or More) for Age "&amp;X20&amp;" "&amp;X21&amp;" is greater than Infant Prophylaxis ANC"&amp;CHAR(10),""),IF(Y239&lt;SUM(Y197,Y195,Y201,Y203)," * Sum of (KP at 1st ANC +New positive at ANC1 + New positive at ANC2 or More+Retesting positive Result at ANC2 or More) for Age "&amp;X20&amp;" "&amp;Y21&amp;" is greater than Infant Prophylaxis ANC"&amp;CHAR(10),""),IF(Z239&lt;SUM(Z197,Z195,Z201,Z203)," * Sum of (KP at 1st ANC +New positive at ANC1 + New positive at ANC2 or More+Retesting positive Result at ANC2 or More) for Age "&amp;Z20&amp;" "&amp;Z21&amp;" is greater than Infant Prophylaxis ANC"&amp;CHAR(10),""),IF(AA239&lt;SUM(AA197,AA195,AA201,AA203)," * Sum of (KP at 1st ANC +New positive at ANC1 + New positive at ANC2 or More+Retesting positive Result at ANC2 or More) for Age "&amp;Z20&amp;" "&amp;AA21&amp;" is greater than Infant Prophylaxis ANC"&amp;CHAR(10),""))</f>
        <v/>
      </c>
      <c r="AF239" s="728"/>
      <c r="AG239" s="404">
        <v>236</v>
      </c>
      <c r="AH239" s="311"/>
    </row>
    <row r="240" spans="1:34" x14ac:dyDescent="0.5">
      <c r="A240" s="669"/>
      <c r="B240" s="282" t="s">
        <v>717</v>
      </c>
      <c r="C240" s="131" t="s">
        <v>379</v>
      </c>
      <c r="D240" s="124"/>
      <c r="E240" s="18"/>
      <c r="F240" s="18"/>
      <c r="G240" s="18"/>
      <c r="H240" s="18"/>
      <c r="I240" s="18"/>
      <c r="J240" s="18"/>
      <c r="K240" s="19"/>
      <c r="L240" s="18"/>
      <c r="M240" s="19"/>
      <c r="N240" s="18"/>
      <c r="O240" s="19"/>
      <c r="P240" s="18"/>
      <c r="Q240" s="19"/>
      <c r="R240" s="18"/>
      <c r="S240" s="19"/>
      <c r="T240" s="18"/>
      <c r="U240" s="19"/>
      <c r="V240" s="18"/>
      <c r="W240" s="19"/>
      <c r="X240" s="18"/>
      <c r="Y240" s="19"/>
      <c r="Z240" s="18"/>
      <c r="AA240" s="18"/>
      <c r="AB240" s="36">
        <f t="shared" si="100"/>
        <v>0</v>
      </c>
      <c r="AC240" s="82" t="str">
        <f>CONCATENATE(IF(D240&gt;D205," * F06-19 for Age "&amp;D20&amp;" "&amp;D21&amp;" is more than F06-08"&amp;CHAR(10),""),IF(E240&gt;E205," * F06-19 for Age "&amp;D20&amp;" "&amp;E21&amp;" is more than F06-08"&amp;CHAR(10),""),IF(F240&gt;F205," * F06-19 for Age "&amp;F20&amp;" "&amp;F21&amp;" is more than F06-08"&amp;CHAR(10),""),IF(G240&gt;G205," * F06-19 for Age "&amp;F20&amp;" "&amp;G21&amp;" is more than F06-08"&amp;CHAR(10),""),IF(H240&gt;H205," * F06-19 for Age "&amp;H20&amp;" "&amp;H21&amp;" is more than F06-08"&amp;CHAR(10),""),IF(I240&gt;I205," * F06-19 for Age "&amp;H20&amp;" "&amp;I21&amp;" is more than F06-08"&amp;CHAR(10),""),IF(J240&gt;J205," * F06-19 for Age "&amp;J20&amp;" "&amp;J21&amp;" is more than F06-08"&amp;CHAR(10),""),IF(K240&gt;K205," * F06-19 for Age "&amp;J20&amp;" "&amp;K21&amp;" is more than F06-08"&amp;CHAR(10),""),IF(L240&gt;L205," * F06-19 for Age "&amp;L20&amp;" "&amp;L21&amp;" is more than F06-08"&amp;CHAR(10),""),IF(M240&gt;M205," * F06-19 for Age "&amp;L20&amp;" "&amp;M21&amp;" is more than F06-08"&amp;CHAR(10),""),IF(N240&gt;N205," * F06-19 for Age "&amp;N20&amp;" "&amp;N21&amp;" is more than F06-08"&amp;CHAR(10),""),IF(O240&gt;O205," * F06-19 for Age "&amp;N20&amp;" "&amp;O21&amp;" is more than F06-08"&amp;CHAR(10),""),IF(P240&gt;P205," * F06-19 for Age "&amp;P20&amp;" "&amp;P21&amp;" is more than F06-08"&amp;CHAR(10),""),IF(Q240&gt;Q205," * F06-19 for Age "&amp;P20&amp;" "&amp;Q21&amp;" is more than F06-08"&amp;CHAR(10),""),IF(R240&gt;R205," * F06-19 for Age "&amp;R20&amp;" "&amp;R21&amp;" is more than F06-08"&amp;CHAR(10),""),IF(S240&gt;S205," * F06-19 for Age "&amp;R20&amp;" "&amp;S21&amp;" is more than F06-08"&amp;CHAR(10),""),IF(T240&gt;T205," * F06-19 for Age "&amp;T20&amp;" "&amp;T21&amp;" is more than F06-08"&amp;CHAR(10),""),IF(U240&gt;U205," * F06-19 for Age "&amp;T20&amp;" "&amp;U21&amp;" is more than F06-08"&amp;CHAR(10),""),IF(V240&gt;V205," * F06-19 for Age "&amp;V20&amp;" "&amp;V21&amp;" is more than F06-08"&amp;CHAR(10),""),IF(W240&gt;W205," * F06-19 for Age "&amp;V20&amp;" "&amp;W21&amp;" is more than F06-08"&amp;CHAR(10),""),IF(X240&gt;X205," * F06-19 for Age "&amp;X20&amp;" "&amp;X21&amp;" is more than F06-08"&amp;CHAR(10),""),IF(Y240&gt;Y205," * F06-19 for Age "&amp;X20&amp;" "&amp;Y21&amp;" is more than F06-08"&amp;CHAR(10),""),IF(Z240&gt;Z205," * F06-19 for Age "&amp;Z20&amp;" "&amp;Z21&amp;" is more than F06-08"&amp;CHAR(10),""),IF(AA240&gt;AA205," * F06-19 for Age "&amp;Z20&amp;" "&amp;AA21&amp;" is more than F06-08"&amp;CHAR(10),""),IF(AB240&gt;AB205," * Total F06-19 is more than Total F06-08"&amp;CHAR(10),""))</f>
        <v/>
      </c>
      <c r="AD240" s="715"/>
      <c r="AE240" s="80" t="str">
        <f>CONCATENATE(IF(D240&lt;D205," * F06-19 for Age "&amp;D20&amp;" "&amp;D21&amp;" is less than F06-08"&amp;CHAR(10),""),IF(E240&lt;E205," * F06-19 for Age "&amp;D20&amp;" "&amp;E21&amp;" is less than F06-08"&amp;CHAR(10),""),IF(F240&lt;F205," * F06-19 for Age "&amp;F20&amp;" "&amp;F21&amp;" is less than F06-08"&amp;CHAR(10),""),IF(G240&lt;G205," * F06-19 for Age "&amp;F20&amp;" "&amp;G21&amp;" is less than F06-08"&amp;CHAR(10),""),IF(H240&lt;H205," * F06-19 for Age "&amp;H20&amp;" "&amp;H21&amp;" is less than F06-08"&amp;CHAR(10),""),IF(I240&lt;I205," * F06-19 for Age "&amp;H20&amp;" "&amp;I21&amp;" is less than F06-08"&amp;CHAR(10),""),IF(J240&lt;J205," * F06-19 for Age "&amp;J20&amp;" "&amp;J21&amp;" is less than F06-08"&amp;CHAR(10),""),IF(K240&lt;K205," * F06-19 for Age "&amp;J20&amp;" "&amp;K21&amp;" is less than F06-08"&amp;CHAR(10),""),IF(L240&lt;L205," * F06-19 for Age "&amp;L20&amp;" "&amp;L21&amp;" is less than F06-08"&amp;CHAR(10),""),IF(M240&lt;M205," * F06-19 for Age "&amp;L20&amp;" "&amp;M21&amp;" is less than F06-08"&amp;CHAR(10),""),IF(N240&lt;N205," * F06-19 for Age "&amp;N20&amp;" "&amp;N21&amp;" is less than F06-08"&amp;CHAR(10),""),IF(O240&lt;O205," * F06-19 for Age "&amp;N20&amp;" "&amp;O21&amp;" is less than F06-08"&amp;CHAR(10),""),IF(P240&lt;P205," * F06-19 for Age "&amp;P20&amp;" "&amp;P21&amp;" is less than F06-08"&amp;CHAR(10),""),IF(Q240&lt;Q205," * F06-19 for Age "&amp;P20&amp;" "&amp;Q21&amp;" is less than F06-08"&amp;CHAR(10),""),IF(R240&lt;R205," * F06-19 for Age "&amp;R20&amp;" "&amp;R21&amp;" is less than F06-08"&amp;CHAR(10),""),IF(S240&lt;S205," * F06-19 for Age "&amp;R20&amp;" "&amp;S21&amp;" is less than F06-08"&amp;CHAR(10),""),IF(T240&lt;T205," * F06-19 for Age "&amp;T20&amp;" "&amp;T21&amp;" is less than F06-08"&amp;CHAR(10),""),IF(U240&lt;U205," * F06-19 for Age "&amp;T20&amp;" "&amp;U21&amp;" is less than F06-08"&amp;CHAR(10),""),IF(V240&lt;V205," * F06-19 for Age "&amp;V20&amp;" "&amp;V21&amp;" is less than F06-08"&amp;CHAR(10),""),IF(W240&lt;W205," * F06-19 for Age "&amp;V20&amp;" "&amp;W21&amp;" is less than F06-08"&amp;CHAR(10),""),IF(X240&lt;X205," * F06-19 for Age "&amp;X20&amp;" "&amp;X21&amp;" is less than F06-08"&amp;CHAR(10),""),IF(Y240&lt;Y205," * F06-19 for Age "&amp;X20&amp;" "&amp;Y21&amp;" is less than F06-08"&amp;CHAR(10),""),IF(Z240&lt;Z205," * F06-19 for Age "&amp;Z20&amp;" "&amp;Z21&amp;" is less than F06-08"&amp;CHAR(10),""),IF(AA240&lt;AA205," * F06-19 for Age "&amp;Z20&amp;" "&amp;AA21&amp;" is less than F06-08"&amp;CHAR(10),""),IF(AB240&lt;AB205," * Total F06-19 is less than Total F06-08"&amp;CHAR(10),""))</f>
        <v/>
      </c>
      <c r="AF240" s="728"/>
      <c r="AG240" s="404">
        <v>237</v>
      </c>
    </row>
    <row r="241" spans="1:34" ht="31.5" thickBot="1" x14ac:dyDescent="0.55000000000000004">
      <c r="A241" s="780"/>
      <c r="B241" s="289" t="s">
        <v>718</v>
      </c>
      <c r="C241" s="133" t="s">
        <v>380</v>
      </c>
      <c r="D241" s="125"/>
      <c r="E241" s="49"/>
      <c r="F241" s="49"/>
      <c r="G241" s="49"/>
      <c r="H241" s="49"/>
      <c r="I241" s="49"/>
      <c r="J241" s="49"/>
      <c r="K241" s="50"/>
      <c r="L241" s="49"/>
      <c r="M241" s="229"/>
      <c r="N241" s="49"/>
      <c r="O241" s="229"/>
      <c r="P241" s="49"/>
      <c r="Q241" s="229"/>
      <c r="R241" s="49"/>
      <c r="S241" s="229"/>
      <c r="T241" s="49"/>
      <c r="U241" s="229"/>
      <c r="V241" s="49"/>
      <c r="W241" s="229"/>
      <c r="X241" s="49"/>
      <c r="Y241" s="229"/>
      <c r="Z241" s="49"/>
      <c r="AA241" s="49"/>
      <c r="AB241" s="88">
        <f t="shared" si="100"/>
        <v>0</v>
      </c>
      <c r="AC241" s="178" t="str">
        <f>CONCATENATE(IF(D241&gt;D209+D211," * Infant Prophylaxis PNC &lt; 6 Weeks for Age "&amp;D20&amp;" "&amp;D21&amp;" is more than Positive PNC &lt;= 6 weeks"&amp;CHAR(10),""),IF(E241&gt;E209+E211," * Infant Prophylaxis PNC &lt; 6 Weeks for Age "&amp;D20&amp;" "&amp;E21&amp;" is more than Positive PNC &lt;= 6 weeks"&amp;CHAR(10),""),IF(F241&gt;F209+F211," * Infant Prophylaxis PNC &lt; 6 Weeks for Age "&amp;F20&amp;" "&amp;F21&amp;" is more than Positive PNC &lt;= 6 weeks"&amp;CHAR(10),""),IF(G241&gt;G209+G211," * Infant Prophylaxis PNC &lt; 6 Weeks for Age "&amp;F20&amp;" "&amp;G21&amp;" is more than Positive PNC &lt;= 6 weeks"&amp;CHAR(10),""),IF(H241&gt;H209+H211," * Infant Prophylaxis PNC &lt; 6 Weeks for Age "&amp;H20&amp;" "&amp;H21&amp;" is more than Positive PNC &lt;= 6 weeks"&amp;CHAR(10),""),IF(I241&gt;I209+I211," * Infant Prophylaxis PNC &lt; 6 Weeks for Age "&amp;H20&amp;" "&amp;I21&amp;" is more than Positive PNC &lt;= 6 weeks"&amp;CHAR(10),""),IF(J241&gt;J209+J211," * Infant Prophylaxis PNC &lt; 6 Weeks for Age "&amp;J20&amp;" "&amp;J21&amp;" is more than Positive PNC &lt;= 6 weeks"&amp;CHAR(10),""),IF(K241&gt;K209+K211," * Infant Prophylaxis PNC &lt; 6 Weeks for Age "&amp;J20&amp;" "&amp;K21&amp;" is more than Positive PNC &lt;= 6 weeks"&amp;CHAR(10),""),IF(L241&gt;L209+L211," * Infant Prophylaxis PNC &lt; 6 Weeks for Age "&amp;L20&amp;" "&amp;L21&amp;" is more than Positive PNC &lt;= 6 weeks"&amp;CHAR(10),""),IF(M241&gt;M209+M211," * Infant Prophylaxis PNC &lt; 6 Weeks for Age "&amp;L20&amp;" "&amp;M21&amp;" is more than Positive PNC &lt;= 6 weeks"&amp;CHAR(10),""),IF(N241&gt;N209+N211," * Infant Prophylaxis PNC &lt; 6 Weeks for Age "&amp;N20&amp;" "&amp;N21&amp;" is more than Positive PNC &lt;= 6 weeks"&amp;CHAR(10),""),IF(O241&gt;O209+O211," * Infant Prophylaxis PNC &lt; 6 Weeks for Age "&amp;N20&amp;" "&amp;O21&amp;" is more than Positive PNC &lt;= 6 weeks"&amp;CHAR(10),""),IF(P241&gt;P209+P211," * Infant Prophylaxis PNC &lt; 6 Weeks for Age "&amp;P20&amp;" "&amp;P21&amp;" is more than Positive PNC &lt;= 6 weeks"&amp;CHAR(10),""),IF(Q241&gt;Q209+Q211," * Infant Prophylaxis PNC &lt; 6 Weeks for Age "&amp;P20&amp;" "&amp;Q21&amp;" is more than Positive PNC &lt;= 6 weeks"&amp;CHAR(10),""),IF(R241&gt;R209+R211," * Infant Prophylaxis PNC &lt; 6 Weeks for Age "&amp;R20&amp;" "&amp;R21&amp;" is more than Positive PNC &lt;= 6 weeks"&amp;CHAR(10),""),IF(S241&gt;S209+S211+S211," * Infant Prophylaxis PNC &lt; 6 Weeks for Age "&amp;R20&amp;" "&amp;S21&amp;" is more than Positive PNC &lt;= 6 weeks"&amp;CHAR(10),""),IF(T241&gt;T209+T211," * Infant Prophylaxis PNC &lt; 6 Weeks for Age "&amp;T20&amp;" "&amp;T21&amp;" is more than Positive PNC &lt;= 6 weeks"&amp;CHAR(10),""),IF(U241&gt;U209+U211," * Infant Prophylaxis PNC &lt; 6 Weeks for Age "&amp;T20&amp;" "&amp;U21&amp;" is more than Positive PNC &lt;= 6 weeks"&amp;CHAR(10),""),IF(V241&gt;V209+V211," * Infant Prophylaxis PNC &lt; 6 Weeks for Age "&amp;V20&amp;" "&amp;V21&amp;" is more than Positive PNC &lt;= 6 weeks"&amp;CHAR(10),""),IF(W241&gt;W209+W211," * Infant Prophylaxis PNC &lt; 6 Weeks for Age "&amp;V20&amp;" "&amp;W21&amp;" is more than Positive PNC &lt;= 6 weeks"&amp;CHAR(10),""),IF(X241&gt;X209+X211," * Infant Prophylaxis PNC &lt; 6 Weeks for Age "&amp;X20&amp;" "&amp;X21&amp;" is more than Positive PNC &lt;= 6 weeks"&amp;CHAR(10),""),IF(Y241&gt;Y209+Y211," * Infant Prophylaxis PNC &lt; 6 Weeks for Age "&amp;X20&amp;" "&amp;Y21&amp;" is more than Positive PNC &lt;= 6 weeks"&amp;CHAR(10),""),IF(Z241&gt;Z209+Z211," * Infant Prophylaxis PNC &lt; 6 Weeks for Age "&amp;Z20&amp;" "&amp;Z21&amp;" is more than Positive PNC &lt;= 6 weeks"&amp;CHAR(10),""),IF(AA241&gt;AA209+AA211," * Infant Prophylaxis PNC &lt; 6 Weeks for Age "&amp;Z20&amp;" "&amp;AA21&amp;" is more than Positive PNC &lt;= 6 weeks"&amp;CHAR(10),""))</f>
        <v/>
      </c>
      <c r="AD241" s="716"/>
      <c r="AE241" s="94" t="str">
        <f>CONCATENATE(IF(D241&lt;D209," * F06-20 for Age "&amp;D20&amp;" "&amp;D21&amp;" is less than F06-10"&amp;CHAR(10),""),IF(E241&lt;E209," * F06-20 for Age "&amp;D20&amp;" "&amp;E21&amp;" is less than F06-10"&amp;CHAR(10),""),IF(F241&lt;F209," * F06-20 for Age "&amp;F20&amp;" "&amp;F21&amp;" is less than F06-10"&amp;CHAR(10),""),IF(G241&lt;G209," * F06-20 for Age "&amp;F20&amp;" "&amp;G21&amp;" is less than F06-10"&amp;CHAR(10),""),IF(H241&lt;H209," * F06-20 for Age "&amp;H20&amp;" "&amp;H21&amp;" is less than F06-10"&amp;CHAR(10),""),IF(I241&lt;I209," * F06-20 for Age "&amp;H20&amp;" "&amp;I21&amp;" is less than F06-10"&amp;CHAR(10),""),IF(J241&lt;J209," * F06-20 for Age "&amp;J20&amp;" "&amp;J21&amp;" is less than F06-10"&amp;CHAR(10),""),IF(K241&lt;K209," * F06-20 for Age "&amp;J20&amp;" "&amp;K21&amp;" is less than F06-10"&amp;CHAR(10),""),IF(L241&lt;L209," * F06-20 for Age "&amp;L20&amp;" "&amp;L21&amp;" is less than F06-10"&amp;CHAR(10),""),IF(M241&lt;M209," * F06-20 for Age "&amp;L20&amp;" "&amp;M21&amp;" is less than F06-10"&amp;CHAR(10),""),IF(N241&lt;N209," * F06-20 for Age "&amp;N20&amp;" "&amp;N21&amp;" is less than F06-10"&amp;CHAR(10),""),IF(O241&lt;O209," * F06-20 for Age "&amp;N20&amp;" "&amp;O21&amp;" is less than F06-10"&amp;CHAR(10),""),IF(P241&lt;P209," * F06-20 for Age "&amp;P20&amp;" "&amp;P21&amp;" is less than F06-10"&amp;CHAR(10),""),IF(Q241&lt;Q209," * F06-20 for Age "&amp;P20&amp;" "&amp;Q21&amp;" is less than F06-10"&amp;CHAR(10),""),IF(R241&lt;R209," * F06-20 for Age "&amp;R20&amp;" "&amp;R21&amp;" is less than F06-10"&amp;CHAR(10),""),IF(S241&lt;S209," * F06-20 for Age "&amp;R20&amp;" "&amp;S21&amp;" is less than F06-10"&amp;CHAR(10),""),IF(T241&lt;T209," * F06-20 for Age "&amp;T20&amp;" "&amp;T21&amp;" is less than F06-10"&amp;CHAR(10),""),IF(U241&lt;U209," * F06-20 for Age "&amp;T20&amp;" "&amp;U21&amp;" is less than F06-10"&amp;CHAR(10),""),IF(V241&lt;V209," * F06-20 for Age "&amp;V20&amp;" "&amp;V21&amp;" is less than F06-10"&amp;CHAR(10),""),IF(W241&lt;W209," * F06-20 for Age "&amp;V20&amp;" "&amp;W21&amp;" is less than F06-10"&amp;CHAR(10),""),IF(X241&lt;X209," * F06-20 for Age "&amp;X20&amp;" "&amp;X21&amp;" is less than F06-10"&amp;CHAR(10),""),IF(Y241&lt;Y209," * F06-20 for Age "&amp;X20&amp;" "&amp;Y21&amp;" is less than F06-10"&amp;CHAR(10),""),IF(Z241&lt;Z209," * F06-20 for Age "&amp;Z20&amp;" "&amp;Z21&amp;" is less than F06-10"&amp;CHAR(10),""),IF(AA241&lt;AA209," * F06-20 for Age "&amp;Z20&amp;" "&amp;AA21&amp;" is less than F06-10"&amp;CHAR(10),""),IF(AB241&lt;AB209," * Total F06-20 is less than Total F06-10"&amp;CHAR(10),""))</f>
        <v/>
      </c>
      <c r="AF241" s="729"/>
      <c r="AG241" s="404">
        <v>238</v>
      </c>
    </row>
    <row r="242" spans="1:34" ht="36" thickBot="1" x14ac:dyDescent="0.55000000000000004">
      <c r="A242" s="724" t="s">
        <v>131</v>
      </c>
      <c r="B242" s="711"/>
      <c r="C242" s="711"/>
      <c r="D242" s="711"/>
      <c r="E242" s="711"/>
      <c r="F242" s="711"/>
      <c r="G242" s="711"/>
      <c r="H242" s="711"/>
      <c r="I242" s="711"/>
      <c r="J242" s="711"/>
      <c r="K242" s="711"/>
      <c r="L242" s="711"/>
      <c r="M242" s="711"/>
      <c r="N242" s="711"/>
      <c r="O242" s="711"/>
      <c r="P242" s="711"/>
      <c r="Q242" s="711"/>
      <c r="R242" s="711"/>
      <c r="S242" s="711"/>
      <c r="T242" s="711"/>
      <c r="U242" s="711"/>
      <c r="V242" s="711"/>
      <c r="W242" s="711"/>
      <c r="X242" s="711"/>
      <c r="Y242" s="711"/>
      <c r="Z242" s="711"/>
      <c r="AA242" s="711"/>
      <c r="AB242" s="711"/>
      <c r="AC242" s="711"/>
      <c r="AD242" s="711"/>
      <c r="AE242" s="711"/>
      <c r="AF242" s="712"/>
      <c r="AG242" s="404">
        <v>239</v>
      </c>
    </row>
    <row r="243" spans="1:34" ht="26.25" customHeight="1" x14ac:dyDescent="0.5">
      <c r="A243" s="661" t="s">
        <v>37</v>
      </c>
      <c r="B243" s="687" t="s">
        <v>347</v>
      </c>
      <c r="C243" s="666" t="s">
        <v>328</v>
      </c>
      <c r="D243" s="703" t="s">
        <v>0</v>
      </c>
      <c r="E243" s="703"/>
      <c r="F243" s="703" t="s">
        <v>1</v>
      </c>
      <c r="G243" s="703"/>
      <c r="H243" s="703" t="s">
        <v>2</v>
      </c>
      <c r="I243" s="703"/>
      <c r="J243" s="703" t="s">
        <v>3</v>
      </c>
      <c r="K243" s="703"/>
      <c r="L243" s="703" t="s">
        <v>4</v>
      </c>
      <c r="M243" s="703"/>
      <c r="N243" s="703" t="s">
        <v>5</v>
      </c>
      <c r="O243" s="703"/>
      <c r="P243" s="703" t="s">
        <v>6</v>
      </c>
      <c r="Q243" s="703"/>
      <c r="R243" s="703" t="s">
        <v>7</v>
      </c>
      <c r="S243" s="703"/>
      <c r="T243" s="703" t="s">
        <v>8</v>
      </c>
      <c r="U243" s="703"/>
      <c r="V243" s="703" t="s">
        <v>23</v>
      </c>
      <c r="W243" s="703"/>
      <c r="X243" s="703" t="s">
        <v>24</v>
      </c>
      <c r="Y243" s="703"/>
      <c r="Z243" s="703" t="s">
        <v>9</v>
      </c>
      <c r="AA243" s="703"/>
      <c r="AB243" s="671" t="s">
        <v>19</v>
      </c>
      <c r="AC243" s="722" t="s">
        <v>381</v>
      </c>
      <c r="AD243" s="694" t="s">
        <v>387</v>
      </c>
      <c r="AE243" s="701" t="s">
        <v>388</v>
      </c>
      <c r="AF243" s="789" t="s">
        <v>388</v>
      </c>
      <c r="AG243" s="404">
        <v>240</v>
      </c>
    </row>
    <row r="244" spans="1:34" ht="27" customHeight="1" thickBot="1" x14ac:dyDescent="0.55000000000000004">
      <c r="A244" s="662"/>
      <c r="B244" s="713"/>
      <c r="C244" s="667"/>
      <c r="D244" s="29" t="s">
        <v>10</v>
      </c>
      <c r="E244" s="29" t="s">
        <v>11</v>
      </c>
      <c r="F244" s="29" t="s">
        <v>10</v>
      </c>
      <c r="G244" s="29" t="s">
        <v>11</v>
      </c>
      <c r="H244" s="29" t="s">
        <v>10</v>
      </c>
      <c r="I244" s="29" t="s">
        <v>11</v>
      </c>
      <c r="J244" s="29" t="s">
        <v>10</v>
      </c>
      <c r="K244" s="29" t="s">
        <v>11</v>
      </c>
      <c r="L244" s="29" t="s">
        <v>10</v>
      </c>
      <c r="M244" s="29" t="s">
        <v>11</v>
      </c>
      <c r="N244" s="29" t="s">
        <v>10</v>
      </c>
      <c r="O244" s="29" t="s">
        <v>11</v>
      </c>
      <c r="P244" s="29" t="s">
        <v>10</v>
      </c>
      <c r="Q244" s="29" t="s">
        <v>11</v>
      </c>
      <c r="R244" s="29" t="s">
        <v>10</v>
      </c>
      <c r="S244" s="29" t="s">
        <v>11</v>
      </c>
      <c r="T244" s="29" t="s">
        <v>10</v>
      </c>
      <c r="U244" s="29" t="s">
        <v>11</v>
      </c>
      <c r="V244" s="29" t="s">
        <v>10</v>
      </c>
      <c r="W244" s="29" t="s">
        <v>11</v>
      </c>
      <c r="X244" s="29" t="s">
        <v>10</v>
      </c>
      <c r="Y244" s="29" t="s">
        <v>11</v>
      </c>
      <c r="Z244" s="29" t="s">
        <v>10</v>
      </c>
      <c r="AA244" s="29" t="s">
        <v>11</v>
      </c>
      <c r="AB244" s="672"/>
      <c r="AC244" s="723"/>
      <c r="AD244" s="645"/>
      <c r="AE244" s="702"/>
      <c r="AF244" s="726"/>
      <c r="AG244" s="404">
        <v>241</v>
      </c>
    </row>
    <row r="245" spans="1:34" s="4" customFormat="1" ht="33" thickBot="1" x14ac:dyDescent="0.55000000000000004">
      <c r="A245" s="420" t="s">
        <v>298</v>
      </c>
      <c r="B245" s="245" t="s">
        <v>874</v>
      </c>
      <c r="C245" s="62" t="s">
        <v>299</v>
      </c>
      <c r="D245" s="84">
        <f>SUM(D246:D251)</f>
        <v>0</v>
      </c>
      <c r="E245" s="237">
        <f t="shared" ref="E245:AA245" si="101">SUM(E246:E251)</f>
        <v>0</v>
      </c>
      <c r="F245" s="237">
        <f t="shared" si="101"/>
        <v>0</v>
      </c>
      <c r="G245" s="237">
        <f t="shared" si="101"/>
        <v>0</v>
      </c>
      <c r="H245" s="237">
        <f t="shared" si="101"/>
        <v>0</v>
      </c>
      <c r="I245" s="237">
        <f t="shared" si="101"/>
        <v>0</v>
      </c>
      <c r="J245" s="237">
        <f t="shared" si="101"/>
        <v>0</v>
      </c>
      <c r="K245" s="237">
        <f t="shared" si="101"/>
        <v>0</v>
      </c>
      <c r="L245" s="237">
        <f t="shared" si="101"/>
        <v>0</v>
      </c>
      <c r="M245" s="237">
        <f t="shared" si="101"/>
        <v>0</v>
      </c>
      <c r="N245" s="237">
        <f t="shared" si="101"/>
        <v>0</v>
      </c>
      <c r="O245" s="237">
        <f t="shared" si="101"/>
        <v>0</v>
      </c>
      <c r="P245" s="237">
        <f t="shared" si="101"/>
        <v>0</v>
      </c>
      <c r="Q245" s="237">
        <f t="shared" si="101"/>
        <v>0</v>
      </c>
      <c r="R245" s="237">
        <f t="shared" si="101"/>
        <v>0</v>
      </c>
      <c r="S245" s="237">
        <f t="shared" si="101"/>
        <v>0</v>
      </c>
      <c r="T245" s="237">
        <f t="shared" si="101"/>
        <v>0</v>
      </c>
      <c r="U245" s="237">
        <f t="shared" si="101"/>
        <v>0</v>
      </c>
      <c r="V245" s="237">
        <f t="shared" si="101"/>
        <v>0</v>
      </c>
      <c r="W245" s="237">
        <f t="shared" si="101"/>
        <v>0</v>
      </c>
      <c r="X245" s="237">
        <f t="shared" si="101"/>
        <v>0</v>
      </c>
      <c r="Y245" s="237">
        <f t="shared" si="101"/>
        <v>0</v>
      </c>
      <c r="Z245" s="237">
        <f t="shared" si="101"/>
        <v>0</v>
      </c>
      <c r="AA245" s="237">
        <f t="shared" si="101"/>
        <v>0</v>
      </c>
      <c r="AB245" s="85">
        <f>SUM(D245:AA245)</f>
        <v>0</v>
      </c>
      <c r="AC245" s="82" t="str">
        <f>CONCATENATE(IF(D245&gt;D255," * Starting ART for Age "&amp;D20&amp;" "&amp;D21&amp;" is more than Current On ART"&amp;CHAR(10),""),IF(E245&gt;E255," * Starting ART for Age "&amp;D20&amp;" "&amp;E21&amp;" is more than Current On ART"&amp;CHAR(10),""),IF(F245&gt;F255," * Starting ART for Age "&amp;F20&amp;" "&amp;F21&amp;" is more than Current On ART"&amp;CHAR(10),""),IF(G245&gt;G255," * Starting ART for Age "&amp;F20&amp;" "&amp;G21&amp;" is more than Current On ART"&amp;CHAR(10),""),IF(H245&gt;H255," * Starting ART for Age "&amp;H20&amp;" "&amp;H21&amp;" is more than Current On ART"&amp;CHAR(10),""),IF(I245&gt;I255," * Starting ART for Age "&amp;H20&amp;" "&amp;I21&amp;" is more than Current On ART"&amp;CHAR(10),""),IF(J245&gt;J255," * Starting ART for Age "&amp;J20&amp;" "&amp;J21&amp;" is more than Current On ART"&amp;CHAR(10),""),IF(K245&gt;K255," * Starting ART for Age "&amp;J20&amp;" "&amp;K21&amp;" is more than Current On ART"&amp;CHAR(10),""),IF(L245&gt;L255," * Starting ART for Age "&amp;L20&amp;" "&amp;L21&amp;" is more than Current On ART"&amp;CHAR(10),""),IF(M245&gt;M255," * Starting ART for Age "&amp;L20&amp;" "&amp;M21&amp;" is more than Current On ART"&amp;CHAR(10),""),IF(N245&gt;N255," * Starting ART for Age "&amp;N20&amp;" "&amp;N21&amp;" is more than Current On ART"&amp;CHAR(10),""),IF(O245&gt;O255," * Starting ART for Age "&amp;N20&amp;" "&amp;O21&amp;" is more than Current On ART"&amp;CHAR(10),""),IF(P245&gt;P255," * Starting ART for Age "&amp;P20&amp;" "&amp;P21&amp;" is more than Current On ART"&amp;CHAR(10),""),IF(Q245&gt;Q255," * Starting ART for Age "&amp;P20&amp;" "&amp;Q21&amp;" is more than Current On ART"&amp;CHAR(10),""),IF(R245&gt;R255," * Starting ART for Age "&amp;R20&amp;" "&amp;R21&amp;" is more than Current On ART"&amp;CHAR(10),""),IF(S245&gt;S255," * Starting ART for Age "&amp;R20&amp;" "&amp;S21&amp;" is more than Current On ART"&amp;CHAR(10),""),IF(T245&gt;T255," * Starting ART for Age "&amp;T20&amp;" "&amp;T21&amp;" is more than Current On ART"&amp;CHAR(10),""),IF(U245&gt;U255," * Starting ART for Age "&amp;T20&amp;" "&amp;U21&amp;" is more than Current On ART"&amp;CHAR(10),""),IF(V245&gt;V255," * Starting ART for Age "&amp;V20&amp;" "&amp;V21&amp;" is more than Current On ART"&amp;CHAR(10),""),IF(W245&gt;W255," * Starting ART for Age "&amp;V20&amp;" "&amp;W21&amp;" is more than Current On ART"&amp;CHAR(10),""),IF(X245&gt;X255," * Starting ART for Age "&amp;X20&amp;" "&amp;X21&amp;" is more than Current On ART"&amp;CHAR(10),""),IF(Y245&gt;Y255," * Starting ART for Age "&amp;X20&amp;" "&amp;Y21&amp;" is more than Current On ART"&amp;CHAR(10),""),IF(Z245&gt;Z255," * Starting ART for Age "&amp;Z20&amp;" "&amp;Z21&amp;" is more than Current On ART"&amp;CHAR(10),""),IF(AA245&gt;AA255," * Starting ART for Age "&amp;Z20&amp;" "&amp;AA21&amp;" is more than Current On ART"&amp;CHAR(10),""))</f>
        <v/>
      </c>
      <c r="AD245" s="622" t="str">
        <f>CONCATENATE(AC245,AC246,AC247,AC248,AC249,AC250,AC251,AC252,AC254,AC255,AC256,AC257,AC258,AC259,AC260,AC261,AC262,AC264,AC263,AC265,AC266,AC267,AC268,AC269)</f>
        <v/>
      </c>
      <c r="AE245" s="80"/>
      <c r="AF245" s="626" t="str">
        <f>CONCATENATE(AE245,AE246,AE247,AE248,AE249,AE250,AE251,AE252,AE254,AE255,AE256,AE257,AE258,AE259,AE260,AE261,AE262,AE263,AE264,AE265,AE266,AE267,AE268,AE269)</f>
        <v/>
      </c>
      <c r="AG245" s="404">
        <v>242</v>
      </c>
      <c r="AH245" s="314"/>
    </row>
    <row r="246" spans="1:34" x14ac:dyDescent="0.5">
      <c r="A246" s="659" t="s">
        <v>578</v>
      </c>
      <c r="B246" s="290" t="s">
        <v>396</v>
      </c>
      <c r="C246" s="263" t="s">
        <v>572</v>
      </c>
      <c r="D246" s="163"/>
      <c r="E246" s="34"/>
      <c r="F246" s="34"/>
      <c r="G246" s="34"/>
      <c r="H246" s="34"/>
      <c r="I246" s="34"/>
      <c r="J246" s="34"/>
      <c r="K246" s="34"/>
      <c r="L246" s="34"/>
      <c r="M246" s="34"/>
      <c r="N246" s="34"/>
      <c r="O246" s="34"/>
      <c r="P246" s="34"/>
      <c r="Q246" s="34"/>
      <c r="R246" s="34"/>
      <c r="S246" s="34"/>
      <c r="T246" s="34"/>
      <c r="U246" s="34"/>
      <c r="V246" s="34"/>
      <c r="W246" s="34"/>
      <c r="X246" s="34"/>
      <c r="Y246" s="34"/>
      <c r="Z246" s="34"/>
      <c r="AA246" s="34"/>
      <c r="AB246" s="66">
        <f t="shared" ref="AB246:AB251" si="102">SUM(D246:AA246)</f>
        <v>0</v>
      </c>
      <c r="AC246" s="82"/>
      <c r="AD246" s="623"/>
      <c r="AE246" s="80"/>
      <c r="AF246" s="627"/>
      <c r="AG246" s="404">
        <v>243</v>
      </c>
    </row>
    <row r="247" spans="1:34" x14ac:dyDescent="0.5">
      <c r="A247" s="686"/>
      <c r="B247" s="291" t="s">
        <v>391</v>
      </c>
      <c r="C247" s="131" t="s">
        <v>573</v>
      </c>
      <c r="D247" s="164"/>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67">
        <f t="shared" si="102"/>
        <v>0</v>
      </c>
      <c r="AC247" s="82"/>
      <c r="AD247" s="623"/>
      <c r="AE247" s="80"/>
      <c r="AF247" s="627"/>
      <c r="AG247" s="404">
        <v>244</v>
      </c>
    </row>
    <row r="248" spans="1:34" x14ac:dyDescent="0.5">
      <c r="A248" s="686"/>
      <c r="B248" s="291" t="s">
        <v>392</v>
      </c>
      <c r="C248" s="131" t="s">
        <v>574</v>
      </c>
      <c r="D248" s="164"/>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67">
        <f t="shared" si="102"/>
        <v>0</v>
      </c>
      <c r="AC248" s="82"/>
      <c r="AD248" s="623"/>
      <c r="AE248" s="80"/>
      <c r="AF248" s="627"/>
      <c r="AG248" s="404">
        <v>245</v>
      </c>
    </row>
    <row r="249" spans="1:34" x14ac:dyDescent="0.5">
      <c r="A249" s="686"/>
      <c r="B249" s="291" t="s">
        <v>393</v>
      </c>
      <c r="C249" s="131" t="s">
        <v>575</v>
      </c>
      <c r="D249" s="164"/>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67">
        <f t="shared" si="102"/>
        <v>0</v>
      </c>
      <c r="AC249" s="82"/>
      <c r="AD249" s="623"/>
      <c r="AE249" s="80"/>
      <c r="AF249" s="627"/>
      <c r="AG249" s="404">
        <v>246</v>
      </c>
    </row>
    <row r="250" spans="1:34" x14ac:dyDescent="0.5">
      <c r="A250" s="686"/>
      <c r="B250" s="291" t="s">
        <v>394</v>
      </c>
      <c r="C250" s="131" t="s">
        <v>576</v>
      </c>
      <c r="D250" s="164"/>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67">
        <f t="shared" si="102"/>
        <v>0</v>
      </c>
      <c r="AC250" s="82"/>
      <c r="AD250" s="623"/>
      <c r="AE250" s="80"/>
      <c r="AF250" s="627"/>
      <c r="AG250" s="404">
        <v>247</v>
      </c>
    </row>
    <row r="251" spans="1:34" ht="31.5" thickBot="1" x14ac:dyDescent="0.55000000000000004">
      <c r="A251" s="660"/>
      <c r="B251" s="292" t="s">
        <v>395</v>
      </c>
      <c r="C251" s="133" t="s">
        <v>577</v>
      </c>
      <c r="D251" s="146"/>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68">
        <f t="shared" si="102"/>
        <v>0</v>
      </c>
      <c r="AC251" s="82"/>
      <c r="AD251" s="623"/>
      <c r="AE251" s="80"/>
      <c r="AF251" s="627"/>
      <c r="AG251" s="404">
        <v>248</v>
      </c>
    </row>
    <row r="252" spans="1:34" ht="31.5" thickBot="1" x14ac:dyDescent="0.55000000000000004">
      <c r="A252" s="420" t="s">
        <v>579</v>
      </c>
      <c r="B252" s="498" t="s">
        <v>719</v>
      </c>
      <c r="C252" s="162" t="s">
        <v>300</v>
      </c>
      <c r="D252" s="500"/>
      <c r="E252" s="63"/>
      <c r="F252" s="63"/>
      <c r="G252" s="63"/>
      <c r="H252" s="63"/>
      <c r="I252" s="63"/>
      <c r="J252" s="63"/>
      <c r="K252" s="64"/>
      <c r="L252" s="63"/>
      <c r="M252" s="64"/>
      <c r="N252" s="63"/>
      <c r="O252" s="64"/>
      <c r="P252" s="63"/>
      <c r="Q252" s="64"/>
      <c r="R252" s="63"/>
      <c r="S252" s="64"/>
      <c r="T252" s="63"/>
      <c r="U252" s="64"/>
      <c r="V252" s="63"/>
      <c r="W252" s="64"/>
      <c r="X252" s="63"/>
      <c r="Y252" s="64"/>
      <c r="Z252" s="63"/>
      <c r="AA252" s="501"/>
      <c r="AB252" s="499">
        <f t="shared" ref="AB252:AB280" si="103">SUM(D252:AA252)</f>
        <v>0</v>
      </c>
      <c r="AC252" s="179" t="str">
        <f>CONCATENATE(IF(D252&gt;D245," * F07-02 for Age "&amp;D20&amp;" "&amp;D21&amp;" is more than F07-01"&amp;CHAR(10),""),IF(E252&gt;E245," * F07-02 for Age "&amp;D20&amp;" "&amp;E21&amp;" is more than F07-01"&amp;CHAR(10),""),IF(F252&gt;F245," * F07-02 for Age "&amp;F20&amp;" "&amp;F21&amp;" is more than F07-01"&amp;CHAR(10),""),IF(G252&gt;G245," * F07-02 for Age "&amp;F20&amp;" "&amp;G21&amp;" is more than F07-01"&amp;CHAR(10),""),IF(H252&gt;H245," * F07-02 for Age "&amp;H20&amp;" "&amp;H21&amp;" is more than F07-01"&amp;CHAR(10),""),IF(I252&gt;I245," * F07-02 for Age "&amp;H20&amp;" "&amp;I21&amp;" is more than F07-01"&amp;CHAR(10),""),IF(J252&gt;J245," * F07-02 for Age "&amp;J20&amp;" "&amp;J21&amp;" is more than F07-01"&amp;CHAR(10),""),IF(K252&gt;K245," * F07-02 for Age "&amp;J20&amp;" "&amp;K21&amp;" is more than F07-01"&amp;CHAR(10),""),IF(L252&gt;L245," * F07-02 for Age "&amp;L20&amp;" "&amp;L21&amp;" is more than F07-01"&amp;CHAR(10),""),IF(M252&gt;M245," * F07-02 for Age "&amp;L20&amp;" "&amp;M21&amp;" is more than F07-01"&amp;CHAR(10),""),IF(N252&gt;N245," * F07-02 for Age "&amp;N20&amp;" "&amp;N21&amp;" is more than F07-01"&amp;CHAR(10),""),IF(O252&gt;O245," * F07-02 for Age "&amp;N20&amp;" "&amp;O21&amp;" is more than F07-01"&amp;CHAR(10),""),IF(P252&gt;P245," * F07-02 for Age "&amp;P20&amp;" "&amp;P21&amp;" is more than F07-01"&amp;CHAR(10),""),IF(Q252&gt;Q245," * F07-02 for Age "&amp;P20&amp;" "&amp;Q21&amp;" is more than F07-01"&amp;CHAR(10),""),IF(R252&gt;R245," * F07-02 for Age "&amp;R20&amp;" "&amp;R21&amp;" is more than F07-01"&amp;CHAR(10),""),IF(S252&gt;S245," * F07-02 for Age "&amp;R20&amp;" "&amp;S21&amp;" is more than F07-01"&amp;CHAR(10),""),IF(T252&gt;T245," * F07-02 for Age "&amp;T20&amp;" "&amp;T21&amp;" is more than F07-01"&amp;CHAR(10),""),IF(U252&gt;U245," * F07-02 for Age "&amp;T20&amp;" "&amp;U21&amp;" is more than F07-01"&amp;CHAR(10),""),IF(V252&gt;V245," * F07-02 for Age "&amp;V20&amp;" "&amp;V21&amp;" is more than F07-01"&amp;CHAR(10),""),IF(W252&gt;W245," * F07-02 for Age "&amp;V20&amp;" "&amp;W21&amp;" is more than F07-01"&amp;CHAR(10),""),IF(X252&gt;X245," * F07-02 for Age "&amp;X20&amp;" "&amp;X21&amp;" is more than F07-01"&amp;CHAR(10),""),IF(Y252&gt;Y245," * F07-02 for Age "&amp;X20&amp;" "&amp;Y21&amp;" is more than F07-01"&amp;CHAR(10),""),IF(Z252&gt;Z245," * F07-02 for Age "&amp;Z20&amp;" "&amp;Z21&amp;" is more than F07-01"&amp;CHAR(10),""),IF(AA252&gt;AA245," * F07-02 for Age "&amp;Z20&amp;" "&amp;AA21&amp;" is more than F07-01"&amp;CHAR(10),""),IF(AB252&gt;AB245," * Total F07-02 is more than Total F07-01"&amp;CHAR(10),""))</f>
        <v/>
      </c>
      <c r="AD252" s="623"/>
      <c r="AE252" s="81" t="str">
        <f>CONCATENATE(IF(AND(AB245&gt;0,OR(SUM(AB27,AB32,AB34,AB36,AB38,AB40,AB42,AB44,AB46,AB48,AB197,AB201,AB205,AB209)=0,SUM(AB26,AB31,AB33,AB35,AB37,AB39,AB41,AB43,AB45,AB47,AB196,AB200,AB204,AB208)=0))," * This site started patients on ART yet it has 0 positives or zero tested "&amp;CHAR(10),""),"")</f>
        <v/>
      </c>
      <c r="AF252" s="627"/>
      <c r="AG252" s="404">
        <v>249</v>
      </c>
    </row>
    <row r="253" spans="1:34" s="207" customFormat="1" ht="31.5" thickBot="1" x14ac:dyDescent="0.55000000000000004">
      <c r="A253" s="488" t="s">
        <v>1061</v>
      </c>
      <c r="B253" s="502" t="s">
        <v>1062</v>
      </c>
      <c r="C253" s="325" t="s">
        <v>1063</v>
      </c>
      <c r="D253" s="69"/>
      <c r="E253" s="69"/>
      <c r="F253" s="69"/>
      <c r="G253" s="69"/>
      <c r="H253" s="69"/>
      <c r="I253" s="69"/>
      <c r="J253" s="69"/>
      <c r="K253" s="69"/>
      <c r="L253" s="69"/>
      <c r="M253" s="69"/>
      <c r="N253" s="69"/>
      <c r="O253" s="69"/>
      <c r="P253" s="69"/>
      <c r="Q253" s="69"/>
      <c r="R253" s="69"/>
      <c r="S253" s="69"/>
      <c r="T253" s="69"/>
      <c r="U253" s="69"/>
      <c r="V253" s="69"/>
      <c r="W253" s="69"/>
      <c r="X253" s="69"/>
      <c r="Y253" s="69"/>
      <c r="Z253" s="69"/>
      <c r="AA253" s="69"/>
      <c r="AB253" s="503"/>
      <c r="AC253" s="484"/>
      <c r="AD253" s="623"/>
      <c r="AE253" s="235"/>
      <c r="AF253" s="627"/>
      <c r="AG253" s="404"/>
      <c r="AH253" s="310"/>
    </row>
    <row r="254" spans="1:34" x14ac:dyDescent="0.5">
      <c r="A254" s="793" t="s">
        <v>580</v>
      </c>
      <c r="B254" s="264" t="s">
        <v>1056</v>
      </c>
      <c r="C254" s="126" t="s">
        <v>561</v>
      </c>
      <c r="D254" s="163"/>
      <c r="E254" s="34"/>
      <c r="F254" s="34"/>
      <c r="G254" s="34"/>
      <c r="H254" s="34"/>
      <c r="I254" s="34"/>
      <c r="J254" s="34"/>
      <c r="K254" s="34"/>
      <c r="L254" s="34"/>
      <c r="M254" s="34"/>
      <c r="N254" s="34"/>
      <c r="O254" s="34"/>
      <c r="P254" s="34"/>
      <c r="Q254" s="34"/>
      <c r="R254" s="34"/>
      <c r="S254" s="34"/>
      <c r="T254" s="34"/>
      <c r="U254" s="34"/>
      <c r="V254" s="34"/>
      <c r="W254" s="34"/>
      <c r="X254" s="34"/>
      <c r="Y254" s="34"/>
      <c r="Z254" s="34"/>
      <c r="AA254" s="34"/>
      <c r="AB254" s="35">
        <f t="shared" ref="AB254" si="104">SUM(D254:AA254)</f>
        <v>0</v>
      </c>
      <c r="AC254" s="82" t="str">
        <f>CONCATENATE(IF(D254&gt;D255," * &lt; 28 Days Defaulters for Age "&amp;D20&amp;" "&amp;D21&amp;" is more than Current On ART"&amp;CHAR(10),""),IF(E254&gt;E255," * &lt; 28 Days Defaulters for Age "&amp;D20&amp;" "&amp;E21&amp;" is more than Current On ART"&amp;CHAR(10),""),IF(F254&gt;F255," * &lt; 28 Days Defaulters for Age "&amp;F20&amp;" "&amp;F21&amp;" is more than Current On ART"&amp;CHAR(10),""),IF(G254&gt;G255," * &lt; 28 Days Defaulters for Age "&amp;F20&amp;" "&amp;G21&amp;" is more than Current On ART"&amp;CHAR(10),""),IF(H254&gt;H255," * &lt; 28 Days Defaulters for Age "&amp;H20&amp;" "&amp;H21&amp;" is more than Current On ART"&amp;CHAR(10),""),IF(I254&gt;I255," * &lt; 28 Days Defaulters for Age "&amp;H20&amp;" "&amp;I21&amp;" is more than Current On ART"&amp;CHAR(10),""),IF(J254&gt;J255," * &lt; 28 Days Defaulters for Age "&amp;J20&amp;" "&amp;J21&amp;" is more than Current On ART"&amp;CHAR(10),""),IF(K254&gt;K255," * &lt; 28 Days Defaulters for Age "&amp;J20&amp;" "&amp;K21&amp;" is more than Current On ART"&amp;CHAR(10),""),IF(L254&gt;L255," * &lt; 28 Days Defaulters for Age "&amp;L20&amp;" "&amp;L21&amp;" is more than Current On ART"&amp;CHAR(10),""),IF(M254&gt;M255," * &lt; 28 Days Defaulters for Age "&amp;L20&amp;" "&amp;M21&amp;" is more than Current On ART"&amp;CHAR(10),""),IF(N254&gt;N255," * &lt; 28 Days Defaulters for Age "&amp;N20&amp;" "&amp;N21&amp;" is more than Current On ART"&amp;CHAR(10),""),IF(O254&gt;O255," * &lt; 28 Days Defaulters for Age "&amp;N20&amp;" "&amp;O21&amp;" is more than Current On ART"&amp;CHAR(10),""),IF(P254&gt;P255," * &lt; 28 Days Defaulters for Age "&amp;P20&amp;" "&amp;P21&amp;" is more than Current On ART"&amp;CHAR(10),""),IF(Q254&gt;Q255," * &lt; 28 Days Defaulters for Age "&amp;P20&amp;" "&amp;Q21&amp;" is more than Current On ART"&amp;CHAR(10),""),IF(R254&gt;R255," * &lt; 28 Days Defaulters for Age "&amp;R20&amp;" "&amp;R21&amp;" is more than Current On ART"&amp;CHAR(10),""),IF(S254&gt;S255," * &lt; 28 Days Defaulters for Age "&amp;R20&amp;" "&amp;S21&amp;" is more than Current On ART"&amp;CHAR(10),""),IF(T254&gt;T255," * &lt; 28 Days Defaulters for Age "&amp;T20&amp;" "&amp;T21&amp;" is more than Current On ART"&amp;CHAR(10),""),IF(U254&gt;U255," * &lt; 28 Days Defaulters for Age "&amp;T20&amp;" "&amp;U21&amp;" is more than Current On ART"&amp;CHAR(10),""),IF(V254&gt;V255," * &lt; 28 Days Defaulters for Age "&amp;V20&amp;" "&amp;V21&amp;" is more than Current On ART"&amp;CHAR(10),""),IF(W254&gt;W255," * &lt; 28 Days Defaulters for Age "&amp;V20&amp;" "&amp;W21&amp;" is more than Current On ART"&amp;CHAR(10),""),IF(X254&gt;X255," * &lt; 28 Days Defaulters for Age "&amp;X20&amp;" "&amp;X21&amp;" is more than Current On ART"&amp;CHAR(10),""),IF(Y254&gt;Y255," * &lt; 28 Days Defaulters for Age "&amp;X20&amp;" "&amp;Y21&amp;" is more than Current On ART"&amp;CHAR(10),""),IF(Z254&gt;Z255," * &lt; 28 Days Defaulters for Age "&amp;Z20&amp;" "&amp;Z21&amp;" is more than Current On ART"&amp;CHAR(10),""),IF(AA254&gt;AA255," * &lt; 28 Days Defaulters for Age "&amp;Z20&amp;" "&amp;AA21&amp;" is more than Current On ART"&amp;CHAR(10),""))</f>
        <v/>
      </c>
      <c r="AD254" s="623"/>
      <c r="AE254" s="80"/>
      <c r="AF254" s="627"/>
      <c r="AG254" s="404">
        <v>250</v>
      </c>
    </row>
    <row r="255" spans="1:34" ht="33" thickBot="1" x14ac:dyDescent="0.55000000000000004">
      <c r="A255" s="794"/>
      <c r="B255" s="293" t="s">
        <v>873</v>
      </c>
      <c r="C255" s="133" t="s">
        <v>302</v>
      </c>
      <c r="D255" s="165">
        <f>SUM(D256:D261)</f>
        <v>0</v>
      </c>
      <c r="E255" s="70">
        <f t="shared" ref="E255:AA255" si="105">SUM(E256:E261)</f>
        <v>0</v>
      </c>
      <c r="F255" s="70">
        <f t="shared" si="105"/>
        <v>0</v>
      </c>
      <c r="G255" s="70">
        <f t="shared" si="105"/>
        <v>0</v>
      </c>
      <c r="H255" s="70">
        <f t="shared" si="105"/>
        <v>0</v>
      </c>
      <c r="I255" s="70">
        <f t="shared" si="105"/>
        <v>0</v>
      </c>
      <c r="J255" s="70">
        <f t="shared" si="105"/>
        <v>0</v>
      </c>
      <c r="K255" s="70">
        <f t="shared" si="105"/>
        <v>0</v>
      </c>
      <c r="L255" s="70">
        <f t="shared" si="105"/>
        <v>0</v>
      </c>
      <c r="M255" s="70">
        <f t="shared" si="105"/>
        <v>0</v>
      </c>
      <c r="N255" s="70">
        <f t="shared" si="105"/>
        <v>0</v>
      </c>
      <c r="O255" s="70">
        <f t="shared" si="105"/>
        <v>0</v>
      </c>
      <c r="P255" s="70">
        <f t="shared" si="105"/>
        <v>0</v>
      </c>
      <c r="Q255" s="70">
        <f t="shared" si="105"/>
        <v>0</v>
      </c>
      <c r="R255" s="70">
        <f t="shared" si="105"/>
        <v>0</v>
      </c>
      <c r="S255" s="70">
        <f t="shared" si="105"/>
        <v>0</v>
      </c>
      <c r="T255" s="70">
        <f t="shared" si="105"/>
        <v>0</v>
      </c>
      <c r="U255" s="70">
        <f t="shared" si="105"/>
        <v>0</v>
      </c>
      <c r="V255" s="70">
        <f t="shared" si="105"/>
        <v>0</v>
      </c>
      <c r="W255" s="70">
        <f t="shared" si="105"/>
        <v>0</v>
      </c>
      <c r="X255" s="70">
        <f t="shared" si="105"/>
        <v>0</v>
      </c>
      <c r="Y255" s="70">
        <f t="shared" si="105"/>
        <v>0</v>
      </c>
      <c r="Z255" s="70">
        <f t="shared" si="105"/>
        <v>0</v>
      </c>
      <c r="AA255" s="70">
        <f t="shared" si="105"/>
        <v>0</v>
      </c>
      <c r="AB255" s="71">
        <f>SUM(AB256:AB261)</f>
        <v>0</v>
      </c>
      <c r="AC255" s="82" t="str">
        <f>CONCATENATE(IF(D255&lt;&gt;D268,""&amp;CHAR(10)&amp;"  * Current on ART by month of dispense F07-16 for age "&amp;D243&amp;" "&amp;D244&amp;" is not equal to Clients current On ART F07-03 age  "&amp;D243&amp;" "&amp;D244&amp;"",""),IF(E255&lt;&gt;E268,""&amp;CHAR(10)&amp;"  * Current on ART by month of dispense F07-16 for age "&amp;D243&amp;" "&amp;E244&amp;" is not equal to Clients current On ART F07-03 age  "&amp;D243&amp;" "&amp;E244&amp;"",""),IF(F255&lt;&gt;F268,""&amp;CHAR(10)&amp;"  * Current on ART by month of dispense F07-16 for age "&amp;F243&amp;" "&amp;F244&amp;" is not equal to Clients current On ART F07-03 age  "&amp;F243&amp;" "&amp;F244&amp;"",""),IF(G255&lt;&gt;G268,""&amp;CHAR(10)&amp;"  * Current on ART by month of dispense F07-16 for age "&amp;F243&amp;" "&amp;G244&amp;" is not equal to Clients current On ART F07-03 age  "&amp;F243&amp;" "&amp;G244&amp;"",""),IF(H255&lt;&gt;H268,""&amp;CHAR(10)&amp;"  * Current on ART by month of dispense F07-16 for age "&amp;H243&amp;" "&amp;H244&amp;" is not equal to Clients current On ART F07-03 age  "&amp;H243&amp;" "&amp;H244&amp;"",""),IF(I255&lt;&gt;I268,""&amp;CHAR(10)&amp;"  * Current on ART by month of dispense F07-16 for age "&amp;H243&amp;" "&amp;I244&amp;" is not equal to Clients current On ART F07-03 age  "&amp;H243&amp;" "&amp;I244&amp;"",""),IF(J255&lt;&gt;J268,""&amp;CHAR(10)&amp;"  * Current on ART by month of dispense F07-16 for age "&amp;J243&amp;" "&amp;J244&amp;" is not equal to Clients current On ART F07-03 age  "&amp;J243&amp;" "&amp;J244&amp;"",""),IF(K255&lt;&gt;K268,""&amp;CHAR(10)&amp;"  * Current on ART by month of dispense F07-16 for age "&amp;J243&amp;" "&amp;K244&amp;" is not equal to Clients current On ART F07-03 age  "&amp;J243&amp;" "&amp;K244&amp;"",""),IF(L255&lt;&gt;L268,""&amp;CHAR(10)&amp;"  * Current on ART by month of dispense F07-16 for age "&amp;L243&amp;" "&amp;L244&amp;" is not equal to Clients current On ART F07-03 age  "&amp;L243&amp;" "&amp;L244&amp;"",""),IF(M255&lt;&gt;M268,""&amp;CHAR(10)&amp;"  * Current on ART by month of dispense F07-16 for age "&amp;L243&amp;" "&amp;M244&amp;" is not equal to Clients current On ART F07-03 age  "&amp;L243&amp;" "&amp;M244&amp;"",""),IF(N255&lt;&gt;N268,""&amp;CHAR(10)&amp;"  * Current on ART by month of dispense F07-16 for age "&amp;N243&amp;" "&amp;N244&amp;" is not equal to Clients current On ART F07-03 age  "&amp;N243&amp;" "&amp;N244&amp;"",""),IF(O255&lt;&gt;O268,""&amp;CHAR(10)&amp;"  * Current on ART by month of dispense F07-16 for age "&amp;N243&amp;" "&amp;O244&amp;" is not equal to Clients current On ART F07-03 age  "&amp;N243&amp;" "&amp;O244&amp;"",""),IF(P255&lt;&gt;P268,""&amp;CHAR(10)&amp;"  * Current on ART by month of dispense F07-16 for age "&amp;P243&amp;" "&amp;P244&amp;" is not equal to Clients current On ART F07-03 age  "&amp;P243&amp;" "&amp;P244&amp;"",""),IF(Q255&lt;&gt;Q268,""&amp;CHAR(10)&amp;"  * Current on ART by month of dispense F07-16 for age "&amp;P243&amp;" "&amp;Q244&amp;" is not equal to Clients current On ART F07-03 age  "&amp;P243&amp;" "&amp;Q244&amp;"",""),IF(R255&lt;&gt;R268,""&amp;CHAR(10)&amp;"  * Current on ART by month of dispense F07-16 for age "&amp;R243&amp;" "&amp;R244&amp;" is not equal to Clients current On ART F07-03 age  "&amp;R243&amp;" "&amp;R244&amp;"",""),IF(S255&lt;&gt;S268,""&amp;CHAR(10)&amp;"  * Current on ART by month of dispense F07-16 for age "&amp;R243&amp;" "&amp;S244&amp;" is not equal to Clients current On ART F07-03 age  "&amp;R243&amp;" "&amp;S244&amp;"",""),IF(T255&lt;&gt;T268,""&amp;CHAR(10)&amp;"  * Current on ART by month of dispense F07-16 for age "&amp;T243&amp;" "&amp;T244&amp;" is not equal to Clients current On ART F07-03 age  "&amp;T243&amp;" "&amp;T244&amp;"",""),IF(U255&lt;&gt;U268,""&amp;CHAR(10)&amp;"  * Current on ART by month of dispense F07-16 for age "&amp;T243&amp;" "&amp;U244&amp;" is not equal to Clients current On ART F07-03 age  "&amp;T243&amp;" "&amp;U244&amp;"",""),IF(V255&lt;&gt;V268,""&amp;CHAR(10)&amp;"  * Current on ART by month of dispense F07-16 for age "&amp;V243&amp;" "&amp;V244&amp;" is not equal to Clients current On ART F07-03 age  "&amp;V243&amp;" "&amp;V244&amp;"",""),IF(W255&lt;&gt;W268,""&amp;CHAR(10)&amp;"  * Current on ART by month of dispense F07-16 for age "&amp;V243&amp;" "&amp;W244&amp;" is not equal to Clients current On ART F07-03 age  "&amp;V243&amp;" "&amp;W244&amp;"",""),IF(X255&lt;&gt;X268,""&amp;CHAR(10)&amp;"  * Current on ART by month of dispense F07-16 for age "&amp;X243&amp;" "&amp;X244&amp;" is not equal to Clients current On ART F07-03 age  "&amp;X243&amp;" "&amp;X244&amp;"",""),IF(Y255&lt;&gt;Y268,""&amp;CHAR(10)&amp;"  * Current on ART by month of dispense F07-16 for age "&amp;X243&amp;" "&amp;Y244&amp;" is not equal to Clients current On ART F07-03 age  "&amp;X243&amp;" "&amp;Y244&amp;"",""),IF(Z255&lt;&gt;Z268,""&amp;CHAR(10)&amp;"  * Current on ART by month of dispense F07-16 for age "&amp;Z243&amp;" "&amp;Z244&amp;" is not equal to Clients current On ART F07-03 age  "&amp;Z243&amp;" "&amp;Z244&amp;"",""),IF(AA255&lt;&gt;AA268,""&amp;CHAR(10)&amp;"  * Current on ART by month of dispense F07-16 for age "&amp;Z243&amp;" "&amp;AA244&amp;" is not equal to Clients current On ART F07-03 age  "&amp;Z243&amp;" "&amp;AA244&amp;"",""))</f>
        <v/>
      </c>
      <c r="AD255" s="623"/>
      <c r="AE255" s="80"/>
      <c r="AF255" s="627"/>
      <c r="AG255" s="404">
        <v>251</v>
      </c>
    </row>
    <row r="256" spans="1:34" x14ac:dyDescent="0.5">
      <c r="A256" s="795" t="s">
        <v>441</v>
      </c>
      <c r="B256" s="290" t="s">
        <v>396</v>
      </c>
      <c r="C256" s="129" t="s">
        <v>410</v>
      </c>
      <c r="D256" s="163"/>
      <c r="E256" s="34"/>
      <c r="F256" s="34"/>
      <c r="G256" s="34"/>
      <c r="H256" s="34"/>
      <c r="I256" s="34"/>
      <c r="J256" s="34"/>
      <c r="K256" s="34"/>
      <c r="L256" s="34"/>
      <c r="M256" s="34"/>
      <c r="N256" s="34"/>
      <c r="O256" s="34"/>
      <c r="P256" s="34"/>
      <c r="Q256" s="34"/>
      <c r="R256" s="34"/>
      <c r="S256" s="34"/>
      <c r="T256" s="34"/>
      <c r="U256" s="34"/>
      <c r="V256" s="34"/>
      <c r="W256" s="34"/>
      <c r="X256" s="34"/>
      <c r="Y256" s="34"/>
      <c r="Z256" s="34"/>
      <c r="AA256" s="34"/>
      <c r="AB256" s="35">
        <f t="shared" si="103"/>
        <v>0</v>
      </c>
      <c r="AC256" s="82"/>
      <c r="AD256" s="623"/>
      <c r="AE256" s="80"/>
      <c r="AF256" s="627"/>
      <c r="AG256" s="404">
        <v>252</v>
      </c>
    </row>
    <row r="257" spans="1:34" x14ac:dyDescent="0.5">
      <c r="A257" s="796"/>
      <c r="B257" s="291" t="s">
        <v>391</v>
      </c>
      <c r="C257" s="131" t="s">
        <v>411</v>
      </c>
      <c r="D257" s="164"/>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36">
        <f t="shared" si="103"/>
        <v>0</v>
      </c>
      <c r="AC257" s="82"/>
      <c r="AD257" s="623"/>
      <c r="AE257" s="80"/>
      <c r="AF257" s="627"/>
      <c r="AG257" s="404">
        <v>253</v>
      </c>
    </row>
    <row r="258" spans="1:34" x14ac:dyDescent="0.5">
      <c r="A258" s="796"/>
      <c r="B258" s="291" t="s">
        <v>392</v>
      </c>
      <c r="C258" s="131" t="s">
        <v>412</v>
      </c>
      <c r="D258" s="164"/>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36">
        <f t="shared" si="103"/>
        <v>0</v>
      </c>
      <c r="AC258" s="82"/>
      <c r="AD258" s="623"/>
      <c r="AE258" s="80"/>
      <c r="AF258" s="627"/>
      <c r="AG258" s="404">
        <v>254</v>
      </c>
    </row>
    <row r="259" spans="1:34" x14ac:dyDescent="0.5">
      <c r="A259" s="796"/>
      <c r="B259" s="291" t="s">
        <v>393</v>
      </c>
      <c r="C259" s="131" t="s">
        <v>413</v>
      </c>
      <c r="D259" s="164"/>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36">
        <f t="shared" si="103"/>
        <v>0</v>
      </c>
      <c r="AC259" s="82"/>
      <c r="AD259" s="623"/>
      <c r="AE259" s="80"/>
      <c r="AF259" s="627"/>
      <c r="AG259" s="404">
        <v>255</v>
      </c>
    </row>
    <row r="260" spans="1:34" x14ac:dyDescent="0.5">
      <c r="A260" s="796"/>
      <c r="B260" s="291" t="s">
        <v>394</v>
      </c>
      <c r="C260" s="131" t="s">
        <v>414</v>
      </c>
      <c r="D260" s="164"/>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36">
        <f t="shared" si="103"/>
        <v>0</v>
      </c>
      <c r="AC260" s="82"/>
      <c r="AD260" s="623"/>
      <c r="AE260" s="80"/>
      <c r="AF260" s="627"/>
      <c r="AG260" s="404">
        <v>256</v>
      </c>
    </row>
    <row r="261" spans="1:34" ht="31.5" thickBot="1" x14ac:dyDescent="0.55000000000000004">
      <c r="A261" s="797"/>
      <c r="B261" s="292" t="s">
        <v>395</v>
      </c>
      <c r="C261" s="133" t="s">
        <v>415</v>
      </c>
      <c r="D261" s="146"/>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9">
        <f t="shared" si="103"/>
        <v>0</v>
      </c>
      <c r="AC261" s="82"/>
      <c r="AD261" s="623"/>
      <c r="AE261" s="80"/>
      <c r="AF261" s="627"/>
      <c r="AG261" s="404">
        <v>257</v>
      </c>
    </row>
    <row r="262" spans="1:34" ht="30.75" customHeight="1" x14ac:dyDescent="0.5">
      <c r="A262" s="795" t="s">
        <v>442</v>
      </c>
      <c r="B262" s="290" t="s">
        <v>445</v>
      </c>
      <c r="C262" s="129" t="s">
        <v>421</v>
      </c>
      <c r="D262" s="163"/>
      <c r="E262" s="34"/>
      <c r="F262" s="34"/>
      <c r="G262" s="34"/>
      <c r="H262" s="34"/>
      <c r="I262" s="34"/>
      <c r="J262" s="34"/>
      <c r="K262" s="34"/>
      <c r="L262" s="34"/>
      <c r="M262" s="34"/>
      <c r="N262" s="34"/>
      <c r="O262" s="34"/>
      <c r="P262" s="34"/>
      <c r="Q262" s="34"/>
      <c r="R262" s="34"/>
      <c r="S262" s="34"/>
      <c r="T262" s="34"/>
      <c r="U262" s="34"/>
      <c r="V262" s="34"/>
      <c r="W262" s="34"/>
      <c r="X262" s="34"/>
      <c r="Y262" s="34"/>
      <c r="Z262" s="34"/>
      <c r="AA262" s="34"/>
      <c r="AB262" s="35">
        <f t="shared" si="103"/>
        <v>0</v>
      </c>
      <c r="AC262" s="82"/>
      <c r="AD262" s="623"/>
      <c r="AE262" s="80"/>
      <c r="AF262" s="627"/>
      <c r="AG262" s="404">
        <v>258</v>
      </c>
    </row>
    <row r="263" spans="1:34" x14ac:dyDescent="0.5">
      <c r="A263" s="796"/>
      <c r="B263" s="291" t="s">
        <v>416</v>
      </c>
      <c r="C263" s="131" t="s">
        <v>422</v>
      </c>
      <c r="D263" s="164"/>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36">
        <f t="shared" si="103"/>
        <v>0</v>
      </c>
      <c r="AC263" s="82"/>
      <c r="AD263" s="623"/>
      <c r="AE263" s="80"/>
      <c r="AF263" s="627"/>
      <c r="AG263" s="404">
        <v>259</v>
      </c>
    </row>
    <row r="264" spans="1:34" x14ac:dyDescent="0.5">
      <c r="A264" s="796"/>
      <c r="B264" s="291" t="s">
        <v>417</v>
      </c>
      <c r="C264" s="131" t="s">
        <v>423</v>
      </c>
      <c r="D264" s="164"/>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36">
        <f t="shared" si="103"/>
        <v>0</v>
      </c>
      <c r="AC264" s="82"/>
      <c r="AD264" s="623"/>
      <c r="AE264" s="80"/>
      <c r="AF264" s="627"/>
      <c r="AG264" s="404">
        <v>260</v>
      </c>
    </row>
    <row r="265" spans="1:34" x14ac:dyDescent="0.5">
      <c r="A265" s="796"/>
      <c r="B265" s="291" t="s">
        <v>418</v>
      </c>
      <c r="C265" s="131" t="s">
        <v>424</v>
      </c>
      <c r="D265" s="164"/>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36">
        <f t="shared" si="103"/>
        <v>0</v>
      </c>
      <c r="AC265" s="82"/>
      <c r="AD265" s="623"/>
      <c r="AE265" s="80"/>
      <c r="AF265" s="627"/>
      <c r="AG265" s="404">
        <v>261</v>
      </c>
    </row>
    <row r="266" spans="1:34" x14ac:dyDescent="0.5">
      <c r="A266" s="796"/>
      <c r="B266" s="295" t="s">
        <v>419</v>
      </c>
      <c r="C266" s="131" t="s">
        <v>425</v>
      </c>
      <c r="D266" s="164"/>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36">
        <f t="shared" si="103"/>
        <v>0</v>
      </c>
      <c r="AC266" s="82"/>
      <c r="AD266" s="623"/>
      <c r="AE266" s="80"/>
      <c r="AF266" s="627"/>
      <c r="AG266" s="404">
        <v>262</v>
      </c>
    </row>
    <row r="267" spans="1:34" x14ac:dyDescent="0.5">
      <c r="A267" s="796"/>
      <c r="B267" s="295" t="s">
        <v>420</v>
      </c>
      <c r="C267" s="131" t="s">
        <v>426</v>
      </c>
      <c r="D267" s="164"/>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36">
        <f t="shared" si="103"/>
        <v>0</v>
      </c>
      <c r="AC267" s="82"/>
      <c r="AD267" s="623"/>
      <c r="AE267" s="80"/>
      <c r="AF267" s="627"/>
      <c r="AG267" s="404">
        <v>263</v>
      </c>
    </row>
    <row r="268" spans="1:34" ht="33" thickBot="1" x14ac:dyDescent="0.55000000000000004">
      <c r="A268" s="796"/>
      <c r="B268" s="296" t="s">
        <v>440</v>
      </c>
      <c r="C268" s="133" t="s">
        <v>444</v>
      </c>
      <c r="D268" s="165">
        <f>SUM(D262:D267)</f>
        <v>0</v>
      </c>
      <c r="E268" s="70">
        <f t="shared" ref="E268:AA268" si="106">SUM(E262:E267)</f>
        <v>0</v>
      </c>
      <c r="F268" s="70">
        <f t="shared" si="106"/>
        <v>0</v>
      </c>
      <c r="G268" s="70">
        <f t="shared" si="106"/>
        <v>0</v>
      </c>
      <c r="H268" s="70">
        <f t="shared" si="106"/>
        <v>0</v>
      </c>
      <c r="I268" s="70">
        <f t="shared" si="106"/>
        <v>0</v>
      </c>
      <c r="J268" s="70">
        <f t="shared" si="106"/>
        <v>0</v>
      </c>
      <c r="K268" s="70">
        <f t="shared" si="106"/>
        <v>0</v>
      </c>
      <c r="L268" s="70">
        <f t="shared" si="106"/>
        <v>0</v>
      </c>
      <c r="M268" s="70">
        <f t="shared" si="106"/>
        <v>0</v>
      </c>
      <c r="N268" s="70">
        <f t="shared" si="106"/>
        <v>0</v>
      </c>
      <c r="O268" s="70">
        <f t="shared" si="106"/>
        <v>0</v>
      </c>
      <c r="P268" s="70">
        <f t="shared" si="106"/>
        <v>0</v>
      </c>
      <c r="Q268" s="70">
        <f t="shared" si="106"/>
        <v>0</v>
      </c>
      <c r="R268" s="70">
        <f t="shared" si="106"/>
        <v>0</v>
      </c>
      <c r="S268" s="70">
        <f t="shared" si="106"/>
        <v>0</v>
      </c>
      <c r="T268" s="70">
        <f t="shared" si="106"/>
        <v>0</v>
      </c>
      <c r="U268" s="70">
        <f t="shared" si="106"/>
        <v>0</v>
      </c>
      <c r="V268" s="70">
        <f t="shared" si="106"/>
        <v>0</v>
      </c>
      <c r="W268" s="70">
        <f t="shared" si="106"/>
        <v>0</v>
      </c>
      <c r="X268" s="70">
        <f t="shared" si="106"/>
        <v>0</v>
      </c>
      <c r="Y268" s="70">
        <f t="shared" si="106"/>
        <v>0</v>
      </c>
      <c r="Z268" s="70">
        <f t="shared" si="106"/>
        <v>0</v>
      </c>
      <c r="AA268" s="70">
        <f t="shared" si="106"/>
        <v>0</v>
      </c>
      <c r="AB268" s="39">
        <f t="shared" si="103"/>
        <v>0</v>
      </c>
      <c r="AC268" s="82"/>
      <c r="AD268" s="623"/>
      <c r="AE268" s="80"/>
      <c r="AF268" s="627"/>
      <c r="AG268" s="404">
        <v>264</v>
      </c>
    </row>
    <row r="269" spans="1:34" ht="31.5" thickBot="1" x14ac:dyDescent="0.55000000000000004">
      <c r="A269" s="797"/>
      <c r="B269" s="288" t="s">
        <v>462</v>
      </c>
      <c r="C269" s="162" t="s">
        <v>446</v>
      </c>
      <c r="D269" s="166"/>
      <c r="E269" s="64"/>
      <c r="F269" s="64"/>
      <c r="G269" s="64"/>
      <c r="H269" s="64"/>
      <c r="I269" s="64"/>
      <c r="J269" s="64"/>
      <c r="K269" s="64"/>
      <c r="L269" s="64"/>
      <c r="M269" s="64"/>
      <c r="N269" s="64"/>
      <c r="O269" s="64"/>
      <c r="P269" s="64"/>
      <c r="Q269" s="64"/>
      <c r="R269" s="64"/>
      <c r="S269" s="64"/>
      <c r="T269" s="64"/>
      <c r="U269" s="64"/>
      <c r="V269" s="64"/>
      <c r="W269" s="64"/>
      <c r="X269" s="64"/>
      <c r="Y269" s="64"/>
      <c r="Z269" s="64"/>
      <c r="AA269" s="64"/>
      <c r="AB269" s="65">
        <f t="shared" si="103"/>
        <v>0</v>
      </c>
      <c r="AC269" s="82"/>
      <c r="AD269" s="624"/>
      <c r="AE269" s="80"/>
      <c r="AF269" s="628"/>
      <c r="AG269" s="404">
        <v>265</v>
      </c>
    </row>
    <row r="270" spans="1:34" s="211" customFormat="1" x14ac:dyDescent="0.5">
      <c r="A270" s="653" t="s">
        <v>613</v>
      </c>
      <c r="B270" s="479" t="s">
        <v>1054</v>
      </c>
      <c r="C270" s="487" t="s">
        <v>558</v>
      </c>
      <c r="D270" s="222"/>
      <c r="E270" s="222"/>
      <c r="F270" s="222"/>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3">
        <f t="shared" si="103"/>
        <v>0</v>
      </c>
      <c r="AC270" s="233" t="str">
        <f>CONCATENATE(IF(D281&gt;D270," *  confirmed TB positive newly started on TB treatment "&amp;$D$20&amp;" "&amp;$D$21&amp;" is more than Screening positive for TB Newly enrolled on ART"&amp;CHAR(10),""),IF(E281&gt;E270," *  confirmed TB positive newly started on TB treatment "&amp;$D$20&amp;" "&amp;$E$21&amp;" is more than Screening positive for TB Newly enrolled on ART"&amp;CHAR(10),""),IF(F281&gt;F270," *  confirmed TB positive newly started on TB treatment "&amp;$F$20&amp;" "&amp;$F$21&amp;" is more than Screening positive for TB Newly enrolled on ART"&amp;CHAR(10),""),IF(G281&gt;G270," *  confirmed TB positive newly started on TB treatment "&amp;$F$20&amp;" "&amp;$G$21&amp;" is more than Screening positive for TB Newly enrolled on ART"&amp;CHAR(10),""),IF(H281&gt;H270," *  confirmed TB positive newly started on TB treatment "&amp;$H$20&amp;" "&amp;$H$21&amp;" is more than Screening positive for TB Newly enrolled on ART"&amp;CHAR(10),""),IF(I281&gt;I270," *  confirmed TB positive newly started on TB treatment "&amp;$H$20&amp;" "&amp;$I$21&amp;" is more than Screening positive for TB Newly enrolled on ART"&amp;CHAR(10),""),IF(J281&gt;J270," *  confirmed TB positive newly started on TB treatment "&amp;$J$20&amp;" "&amp;$J$21&amp;" is more than Screening positive for TB Newly enrolled on ART"&amp;CHAR(10),""),IF(K281&gt;K270," *  confirmed TB positive newly started on TB treatment "&amp;$J$20&amp;" "&amp;$K$21&amp;" is more than Screening positive for TB Newly enrolled on ART"&amp;CHAR(10),""),IF(L281&gt;L270," *  confirmed TB positive newly started on TB treatment "&amp;$L$20&amp;" "&amp;$L$21&amp;" is more than Screening positive for TB Newly enrolled on ART"&amp;CHAR(10),""),IF(M281&gt;M270," *  confirmed TB positive newly started on TB treatment "&amp;$L$20&amp;" "&amp;$M$21&amp;" is more than Screening positive for TB Newly enrolled on ART"&amp;CHAR(10),""),IF(N281&gt;N270," *  confirmed TB positive newly started on TB treatment "&amp;$N$20&amp;" "&amp;$N$21&amp;" is more than Screening positive for TB Newly enrolled on ART"&amp;CHAR(10),""),IF(O281&gt;O270," *  confirmed TB positive newly started on TB treatment "&amp;$N$20&amp;" "&amp;$O$21&amp;" is more than Screening positive for TB Newly enrolled on ART"&amp;CHAR(10),""),IF(P281&gt;P270," *  confirmed TB positive newly started on TB treatment "&amp;$P$20&amp;" "&amp;$P$21&amp;" is more than Screening positive for TB Newly enrolled on ART"&amp;CHAR(10),""),IF(Q281&gt;Q270," *  confirmed TB positive newly started on TB treatment "&amp;$P$20&amp;" "&amp;$Q$21&amp;" is more than Screening positive for TB Newly enrolled on ART"&amp;CHAR(10),""),IF(R281&gt;R270," *  confirmed TB positive newly started on TB treatment "&amp;$R$20&amp;" "&amp;$R$21&amp;" is more than Screening positive for TB Newly enrolled on ART"&amp;CHAR(10),""),IF(S281&gt;S270," *  confirmed TB positive newly started on TB treatment "&amp;$R$20&amp;" "&amp;$S$21&amp;" is more than Screening positive for TB Newly enrolled on ART"&amp;CHAR(10),""),IF(T281&gt;T270," *  confirmed TB positive newly started on TB treatment "&amp;$T$20&amp;" "&amp;$T$21&amp;" is more than Screening positive for TB Newly enrolled on ART"&amp;CHAR(10),""),IF(U281&gt;U270," *  confirmed TB positive newly started on TB treatment "&amp;$T$20&amp;" "&amp;$U$21&amp;" is more than Screening positive for TB Newly enrolled on ART"&amp;CHAR(10),""),IF(V281&gt;V270," *  confirmed TB positive newly started on TB treatment "&amp;$V$20&amp;" "&amp;$V$21&amp;" is more than Screening positive for TB Newly enrolled on ART"&amp;CHAR(10),""),IF(W281&gt;W270," *  confirmed TB positive newly started on TB treatment "&amp;$V$20&amp;" "&amp;$W$21&amp;" is more than Screening positive for TB Newly enrolled on ART"&amp;CHAR(10),""),IF(X281&gt;X270," *  confirmed TB positive newly started on TB treatment "&amp;$X$20&amp;" "&amp;$X$21&amp;" is more than Screening positive for TB Newly enrolled on ART"&amp;CHAR(10),""),IF(Y281&gt;Y270," *  confirmed TB positive newly started on TB treatment "&amp;$X$20&amp;" "&amp;$Y$21&amp;" is more than Screening positive for TB Newly enrolled on ART"&amp;CHAR(10),""),IF(Z281&gt;Z270," *  confirmed TB positive newly started on TB treatment "&amp;$Z$20&amp;" "&amp;$Z$21&amp;" is more than Screening positive for TB Newly enrolled on ART"&amp;CHAR(10),""),IF(AA281&gt;AA270," *  confirmed TB positive newly started on TB treatment "&amp;$Z$20&amp;" "&amp;$AA$21&amp;" is more than Screening positive for TB Newly enrolled on ART"&amp;CHAR(10),""))</f>
        <v/>
      </c>
      <c r="AD270" s="625" t="str">
        <f>CONCATENATE(AC270,AC271,AC272,AC273,AC274,AC275,AC276,AC277,AC278,AC279,AC280,AC281,AC282,AC283)</f>
        <v/>
      </c>
      <c r="AE270" s="235" t="str">
        <f>CONCATENATE(IF(D281&lt;D270," *  confirmed TB positive newly started on TB treatment "&amp;$D$20&amp;" "&amp;$D$21&amp;" is less than Screening positive for TB Newly enrolled on ART"&amp;CHAR(10),""),IF(E281&lt;E270," *  confirmed TB positive newly started on TB treatment "&amp;$D$20&amp;" "&amp;$E$21&amp;" is less than Screening positive for TB Newly enrolled on ART"&amp;CHAR(10),""),IF(F281&lt;F270," *  confirmed TB positive newly started on TB treatment "&amp;$F$20&amp;" "&amp;$F$21&amp;" is less than Screening positive for TB Newly enrolled on ART"&amp;CHAR(10),""),IF(G281&lt;G270," *  confirmed TB positive newly started on TB treatment "&amp;$F$20&amp;" "&amp;$G$21&amp;" is less than Screening positive for TB Newly enrolled on ART"&amp;CHAR(10),""),IF(H281&lt;H270," *  confirmed TB positive newly started on TB treatment "&amp;$H$20&amp;" "&amp;$H$21&amp;" is less than Screening positive for TB Newly enrolled on ART"&amp;CHAR(10),""),IF(I281&lt;I270," *  confirmed TB positive newly started on TB treatment "&amp;$H$20&amp;" "&amp;$I$21&amp;" is less than Screening positive for TB Newly enrolled on ART"&amp;CHAR(10),""),IF(J281&lt;J270," *  confirmed TB positive newly started on TB treatment "&amp;$J$20&amp;" "&amp;$J$21&amp;" is less than Screening positive for TB Newly enrolled on ART"&amp;CHAR(10),""),IF(K281&lt;K270," *  confirmed TB positive newly started on TB treatment "&amp;$J$20&amp;" "&amp;$K$21&amp;" is less than Screening positive for TB Newly enrolled on ART"&amp;CHAR(10),""),IF(L281&lt;L270," *  confirmed TB positive newly started on TB treatment "&amp;$L$20&amp;" "&amp;$L$21&amp;" is less than Screening positive for TB Newly enrolled on ART"&amp;CHAR(10),""),IF(M281&lt;M270," *  confirmed TB positive newly started on TB treatment "&amp;$L$20&amp;" "&amp;$M$21&amp;" is less than Screening positive for TB Newly enrolled on ART"&amp;CHAR(10),""),IF(N281&lt;N270," *  confirmed TB positive newly started on TB treatment "&amp;$N$20&amp;" "&amp;$N$21&amp;" is less than Screening positive for TB Newly enrolled on ART"&amp;CHAR(10),""),IF(O281&lt;O270," *  confirmed TB positive newly started on TB treatment "&amp;$N$20&amp;" "&amp;$O$21&amp;" is less than Screening positive for TB Newly enrolled on ART"&amp;CHAR(10),""),IF(P281&lt;P270," *  confirmed TB positive newly started on TB treatment "&amp;$P$20&amp;" "&amp;$P$21&amp;" is less than Screening positive for TB Newly enrolled on ART"&amp;CHAR(10),""),IF(Q281&lt;Q270," *  confirmed TB positive newly started on TB treatment "&amp;$P$20&amp;" "&amp;$Q$21&amp;" is less than Screening positive for TB Newly enrolled on ART"&amp;CHAR(10),""),IF(R281&lt;R270," *  confirmed TB positive newly started on TB treatment "&amp;$R$20&amp;" "&amp;$R$21&amp;" is less than Screening positive for TB Newly enrolled on ART"&amp;CHAR(10),""),IF(S281&lt;S270," *  confirmed TB positive newly started on TB treatment "&amp;$R$20&amp;" "&amp;$S$21&amp;" is less than Screening positive for TB Newly enrolled on ART"&amp;CHAR(10),""),IF(T281&lt;T270," *  confirmed TB positive newly started on TB treatment "&amp;$T$20&amp;" "&amp;$T$21&amp;" is less than Screening positive for TB Newly enrolled on ART"&amp;CHAR(10),""),IF(U281&lt;U270," *  confirmed TB positive newly started on TB treatment "&amp;$T$20&amp;" "&amp;$U$21&amp;" is less than Screening positive for TB Newly enrolled on ART"&amp;CHAR(10),""),IF(V281&lt;V270," *  confirmed TB positive newly started on TB treatment "&amp;$V$20&amp;" "&amp;$V$21&amp;" is less than Screening positive for TB Newly enrolled on ART"&amp;CHAR(10),""),IF(W281&lt;W270," *  confirmed TB positive newly started on TB treatment "&amp;$V$20&amp;" "&amp;$W$21&amp;" is less than Screening positive for TB Newly enrolled on ART"&amp;CHAR(10),""),IF(X281&lt;X270," *  confirmed TB positive newly started on TB treatment "&amp;$X$20&amp;" "&amp;$X$21&amp;" is less than Screening positive for TB Newly enrolled on ART"&amp;CHAR(10),""),IF(Y281&lt;Y270," *  confirmed TB positive newly started on TB treatment "&amp;$X$20&amp;" "&amp;$Y$21&amp;" is less than Screening positive for TB Newly enrolled on ART"&amp;CHAR(10),""),IF(Z281&lt;Z270," *  confirmed TB positive newly started on TB treatment "&amp;$Z$20&amp;" "&amp;$Z$21&amp;" is less than Screening positive for TB Newly enrolled on ART"&amp;CHAR(10),""),IF(AA281&lt;AA270," *  confirmed TB positive newly started on TB treatment "&amp;$Z$20&amp;" "&amp;$AA$21&amp;" is less than Screening positive for TB Newly enrolled on ART"&amp;CHAR(10),""))</f>
        <v/>
      </c>
      <c r="AF270" s="629" t="str">
        <f>CONCATENATE(AE270,AE271,AE272,AE273,AE274,AE275,AE276,AE277,AE278,AE279,AE280,AE281,AE282,AE283)</f>
        <v/>
      </c>
      <c r="AG270" s="404">
        <v>266</v>
      </c>
      <c r="AH270" s="311"/>
    </row>
    <row r="271" spans="1:34" ht="61.5" x14ac:dyDescent="0.5">
      <c r="A271" s="654"/>
      <c r="B271" s="295" t="s">
        <v>1053</v>
      </c>
      <c r="C271" s="131" t="s">
        <v>559</v>
      </c>
      <c r="D271" s="19"/>
      <c r="E271" s="213"/>
      <c r="F271" s="213"/>
      <c r="G271" s="213"/>
      <c r="H271" s="213"/>
      <c r="I271" s="213"/>
      <c r="J271" s="213"/>
      <c r="K271" s="213"/>
      <c r="L271" s="213"/>
      <c r="M271" s="213"/>
      <c r="N271" s="213"/>
      <c r="O271" s="213"/>
      <c r="P271" s="213"/>
      <c r="Q271" s="213"/>
      <c r="R271" s="213"/>
      <c r="S271" s="213"/>
      <c r="T271" s="213"/>
      <c r="U271" s="213"/>
      <c r="V271" s="213"/>
      <c r="W271" s="213"/>
      <c r="X271" s="213"/>
      <c r="Y271" s="213"/>
      <c r="Z271" s="213"/>
      <c r="AA271" s="213"/>
      <c r="AB271" s="36">
        <f t="shared" si="103"/>
        <v>0</v>
      </c>
      <c r="AC271" s="82" t="str">
        <f>CONCATENATE(IF(D282&gt;D271," *  Confirmed TB positive already on ART and on TB treatment "&amp;$D$20&amp;" "&amp;$D$21&amp;" is more than Screening positive for TB Previously enrolled on ART"&amp;CHAR(10),""),IF(E282&gt;E271," *  Confirmed TB positive already on ART and on TB treatment "&amp;$D$20&amp;" "&amp;$E$21&amp;" is more than Screening positive for TB Previously enrolled on ART"&amp;CHAR(10),""),IF(F282&gt;F271," *  Confirmed TB positive already on ART and on TB treatment "&amp;$F$20&amp;" "&amp;$F$21&amp;" is more than Screening positive for TB Previously enrolled on ART"&amp;CHAR(10),""),IF(G282&gt;G271," *  Confirmed TB positive already on ART and on TB treatment "&amp;$F$20&amp;" "&amp;$G$21&amp;" is more than Screening positive for TB Previously enrolled on ART"&amp;CHAR(10),""),IF(H282&gt;H271," *  Confirmed TB positive already on ART and on TB treatment "&amp;$H$20&amp;" "&amp;$H$21&amp;" is more than Screening positive for TB Previously enrolled on ART"&amp;CHAR(10),""),IF(I282&gt;I271," *  Confirmed TB positive already on ART and on TB treatment "&amp;$H$20&amp;" "&amp;$I$21&amp;" is more than Screening positive for TB Previously enrolled on ART"&amp;CHAR(10),""),IF(J282&gt;J271," *  Confirmed TB positive already on ART and on TB treatment "&amp;$J$20&amp;" "&amp;$J$21&amp;" is more than Screening positive for TB Previously enrolled on ART"&amp;CHAR(10),""),IF(K282&gt;K271," *  Confirmed TB positive already on ART and on TB treatment "&amp;$J$20&amp;" "&amp;$K$21&amp;" is more than Screening positive for TB Previously enrolled on ART"&amp;CHAR(10),""),IF(L282&gt;L271," *  Confirmed TB positive already on ART and on TB treatment "&amp;$L$20&amp;" "&amp;$L$21&amp;" is more than Screening positive for TB Previously enrolled on ART"&amp;CHAR(10),""),IF(M282&gt;M271," *  Confirmed TB positive already on ART and on TB treatment "&amp;$L$20&amp;" "&amp;$M$21&amp;" is more than Screening positive for TB Previously enrolled on ART"&amp;CHAR(10),""),IF(N282&gt;N271," *  Confirmed TB positive already on ART and on TB treatment "&amp;$N$20&amp;" "&amp;$N$21&amp;" is more than Screening positive for TB Previously enrolled on ART"&amp;CHAR(10),""),IF(O282&gt;O271," *  Confirmed TB positive already on ART and on TB treatment "&amp;$N$20&amp;" "&amp;$O$21&amp;" is more than Screening positive for TB Previously enrolled on ART"&amp;CHAR(10),""),IF(P282&gt;P271," *  Confirmed TB positive already on ART and on TB treatment "&amp;$P$20&amp;" "&amp;$P$21&amp;" is more than Screening positive for TB Previously enrolled on ART"&amp;CHAR(10),""),IF(Q282&gt;Q271," *  Confirmed TB positive already on ART and on TB treatment "&amp;$P$20&amp;" "&amp;$Q$21&amp;" is more than Screening positive for TB Previously enrolled on ART"&amp;CHAR(10),""),IF(R282&gt;R271," *  Confirmed TB positive already on ART and on TB treatment "&amp;$R$20&amp;" "&amp;$R$21&amp;" is more than Screening positive for TB Previously enrolled on ART"&amp;CHAR(10),""),IF(S282&gt;S271," *  Confirmed TB positive already on ART and on TB treatment "&amp;$R$20&amp;" "&amp;$S$21&amp;" is more than Screening positive for TB Previously enrolled on ART"&amp;CHAR(10),""),IF(T282&gt;T271," *  Confirmed TB positive already on ART and on TB treatment "&amp;$T$20&amp;" "&amp;$T$21&amp;" is more than Screening positive for TB Previously enrolled on ART"&amp;CHAR(10),""),IF(U282&gt;U271," *  Confirmed TB positive already on ART and on TB treatment "&amp;$T$20&amp;" "&amp;$U$21&amp;" is more than Screening positive for TB Previously enrolled on ART"&amp;CHAR(10),""),IF(V282&gt;V271," *  Confirmed TB positive already on ART and on TB treatment "&amp;$V$20&amp;" "&amp;$V$21&amp;" is more than Screening positive for TB Previously enrolled on ART"&amp;CHAR(10),""),IF(W282&gt;W271," *  Confirmed TB positive already on ART and on TB treatment "&amp;$V$20&amp;" "&amp;$W$21&amp;" is more than Screening positive for TB Previously enrolled on ART"&amp;CHAR(10),""),IF(X282&gt;X271," *  Confirmed TB positive already on ART and on TB treatment "&amp;$X$20&amp;" "&amp;$X$21&amp;" is more than Screening positive for TB Previously enrolled on ART"&amp;CHAR(10),""),IF(Y282&gt;Y271," *  Confirmed TB positive already on ART and on TB treatment "&amp;$X$20&amp;" "&amp;$Y$21&amp;" is more than Screening positive for TB Previously enrolled on ART"&amp;CHAR(10),""),IF(Z282&gt;Z271," *  Confirmed TB positive already on ART and on TB treatment "&amp;$Z$20&amp;" "&amp;$Z$21&amp;" is more than Screening positive for TB Previously enrolled on ART"&amp;CHAR(10),""),IF(AA282&gt;AA271," *  Confirmed TB positive already on ART and on TB treatment "&amp;$Z$20&amp;" "&amp;$AA$21&amp;" is more than Screening positive for TB Previously enrolled on ART"&amp;CHAR(10),""))</f>
        <v/>
      </c>
      <c r="AD271" s="623"/>
      <c r="AE271" s="80" t="str">
        <f>CONCATENATE(IF(D282&lt;D271," *  Confirmed TB positive already on ART and on TB treatment "&amp;$D$20&amp;" "&amp;$D$21&amp;" is less than Screening positive for TB Previously enrolled on ART"&amp;CHAR(10),""),IF(E282&lt;E271," *  Confirmed TB positive already on ART and on TB treatment "&amp;$D$20&amp;" "&amp;$E$21&amp;" is less than Screening positive for TB Previously enrolled on ART"&amp;CHAR(10),""),IF(F282&lt;F271," *  Confirmed TB positive already on ART and on TB treatment "&amp;$F$20&amp;" "&amp;$F$21&amp;" is less than Screening positive for TB Previously enrolled on ART"&amp;CHAR(10),""),IF(G282&lt;G271," *  Confirmed TB positive already on ART and on TB treatment "&amp;$F$20&amp;" "&amp;$G$21&amp;" is less than Screening positive for TB Previously enrolled on ART"&amp;CHAR(10),""),IF(H282&lt;H271," *  Confirmed TB positive already on ART and on TB treatment "&amp;$H$20&amp;" "&amp;$H$21&amp;" is less than Screening positive for TB Previously enrolled on ART"&amp;CHAR(10),""),IF(I282&lt;I271," *  Confirmed TB positive already on ART and on TB treatment "&amp;$H$20&amp;" "&amp;$I$21&amp;" is less than Screening positive for TB Previously enrolled on ART"&amp;CHAR(10),""),IF(J282&lt;J271," *  Confirmed TB positive already on ART and on TB treatment "&amp;$J$20&amp;" "&amp;$J$21&amp;" is less than Screening positive for TB Previously enrolled on ART"&amp;CHAR(10),""),IF(K282&lt;K271," *  Confirmed TB positive already on ART and on TB treatment "&amp;$J$20&amp;" "&amp;$K$21&amp;" is less than Screening positive for TB Previously enrolled on ART"&amp;CHAR(10),""),IF(L282&lt;L271," *  Confirmed TB positive already on ART and on TB treatment "&amp;$L$20&amp;" "&amp;$L$21&amp;" is less than Screening positive for TB Previously enrolled on ART"&amp;CHAR(10),""),IF(M282&lt;M271," *  Confirmed TB positive already on ART and on TB treatment "&amp;$L$20&amp;" "&amp;$M$21&amp;" is less than Screening positive for TB Previously enrolled on ART"&amp;CHAR(10),""),IF(N282&lt;N271," *  Confirmed TB positive already on ART and on TB treatment "&amp;$N$20&amp;" "&amp;$N$21&amp;" is less than Screening positive for TB Previously enrolled on ART"&amp;CHAR(10),""),IF(O282&lt;O271," *  Confirmed TB positive already on ART and on TB treatment "&amp;$N$20&amp;" "&amp;$O$21&amp;" is less than Screening positive for TB Previously enrolled on ART"&amp;CHAR(10),""),IF(P282&lt;P271," *  Confirmed TB positive already on ART and on TB treatment "&amp;$P$20&amp;" "&amp;$P$21&amp;" is less than Screening positive for TB Previously enrolled on ART"&amp;CHAR(10),""),IF(Q282&lt;Q271," *  Confirmed TB positive already on ART and on TB treatment "&amp;$P$20&amp;" "&amp;$Q$21&amp;" is less than Screening positive for TB Previously enrolled on ART"&amp;CHAR(10),""),IF(R282&lt;R271," *  Confirmed TB positive already on ART and on TB treatment "&amp;$R$20&amp;" "&amp;$R$21&amp;" is less than Screening positive for TB Previously enrolled on ART"&amp;CHAR(10),""),IF(S282&lt;S271," *  Confirmed TB positive already on ART and on TB treatment "&amp;$R$20&amp;" "&amp;$S$21&amp;" is less than Screening positive for TB Previously enrolled on ART"&amp;CHAR(10),""),IF(T282&lt;T271," *  Confirmed TB positive already on ART and on TB treatment "&amp;$T$20&amp;" "&amp;$T$21&amp;" is less than Screening positive for TB Previously enrolled on ART"&amp;CHAR(10),""),IF(U282&lt;U271," *  Confirmed TB positive already on ART and on TB treatment "&amp;$T$20&amp;" "&amp;$U$21&amp;" is less than Screening positive for TB Previously enrolled on ART"&amp;CHAR(10),""),IF(V282&lt;V271," *  Confirmed TB positive already on ART and on TB treatment "&amp;$V$20&amp;" "&amp;$V$21&amp;" is less than Screening positive for TB Previously enrolled on ART"&amp;CHAR(10),""),IF(W282&lt;W271," *  Confirmed TB positive already on ART and on TB treatment "&amp;$V$20&amp;" "&amp;$W$21&amp;" is less than Screening positive for TB Previously enrolled on ART"&amp;CHAR(10),""),IF(X282&lt;X271," *  Confirmed TB positive already on ART and on TB treatment "&amp;$X$20&amp;" "&amp;$X$21&amp;" is less than Screening positive for TB Previously enrolled on ART"&amp;CHAR(10),""),IF(Y282&lt;Y271," *  Confirmed TB positive already on ART and on TB treatment "&amp;$X$20&amp;" "&amp;$Y$21&amp;" is less than Screening positive for TB Previously enrolled on ART"&amp;CHAR(10),""),IF(Z282&lt;Z271," *  Confirmed TB positive already on ART and on TB treatment "&amp;$Z$20&amp;" "&amp;$Z$21&amp;" is less than Screening positive for TB Previously enrolled on ART"&amp;CHAR(10),""),IF(AA282&lt;AA271," *  Confirmed TB positive already on ART and on TB treatment "&amp;$Z$20&amp;" "&amp;$AA$21&amp;" is less than Screening positive for TB Previously enrolled on ART"&amp;CHAR(10),""))</f>
        <v/>
      </c>
      <c r="AF271" s="630"/>
      <c r="AG271" s="404">
        <v>267</v>
      </c>
    </row>
    <row r="272" spans="1:34" ht="33" thickBot="1" x14ac:dyDescent="0.55000000000000004">
      <c r="A272" s="654"/>
      <c r="B272" s="296" t="s">
        <v>852</v>
      </c>
      <c r="C272" s="133" t="s">
        <v>557</v>
      </c>
      <c r="D272" s="165">
        <f t="shared" ref="D272:AA272" si="107">D270+D271</f>
        <v>0</v>
      </c>
      <c r="E272" s="294">
        <f t="shared" si="107"/>
        <v>0</v>
      </c>
      <c r="F272" s="294">
        <f t="shared" si="107"/>
        <v>0</v>
      </c>
      <c r="G272" s="294">
        <f t="shared" si="107"/>
        <v>0</v>
      </c>
      <c r="H272" s="294">
        <f t="shared" si="107"/>
        <v>0</v>
      </c>
      <c r="I272" s="294">
        <f t="shared" si="107"/>
        <v>0</v>
      </c>
      <c r="J272" s="294">
        <f t="shared" si="107"/>
        <v>0</v>
      </c>
      <c r="K272" s="294">
        <f t="shared" si="107"/>
        <v>0</v>
      </c>
      <c r="L272" s="294">
        <f t="shared" si="107"/>
        <v>0</v>
      </c>
      <c r="M272" s="294">
        <f t="shared" si="107"/>
        <v>0</v>
      </c>
      <c r="N272" s="294">
        <f t="shared" si="107"/>
        <v>0</v>
      </c>
      <c r="O272" s="294">
        <f t="shared" si="107"/>
        <v>0</v>
      </c>
      <c r="P272" s="294">
        <f t="shared" si="107"/>
        <v>0</v>
      </c>
      <c r="Q272" s="294">
        <f t="shared" si="107"/>
        <v>0</v>
      </c>
      <c r="R272" s="294">
        <f t="shared" si="107"/>
        <v>0</v>
      </c>
      <c r="S272" s="294">
        <f t="shared" si="107"/>
        <v>0</v>
      </c>
      <c r="T272" s="294">
        <f t="shared" si="107"/>
        <v>0</v>
      </c>
      <c r="U272" s="294">
        <f t="shared" si="107"/>
        <v>0</v>
      </c>
      <c r="V272" s="294">
        <f t="shared" si="107"/>
        <v>0</v>
      </c>
      <c r="W272" s="294">
        <f t="shared" si="107"/>
        <v>0</v>
      </c>
      <c r="X272" s="294">
        <f t="shared" si="107"/>
        <v>0</v>
      </c>
      <c r="Y272" s="294">
        <f t="shared" si="107"/>
        <v>0</v>
      </c>
      <c r="Z272" s="294">
        <f t="shared" si="107"/>
        <v>0</v>
      </c>
      <c r="AA272" s="294">
        <f t="shared" si="107"/>
        <v>0</v>
      </c>
      <c r="AB272" s="39">
        <f t="shared" si="103"/>
        <v>0</v>
      </c>
      <c r="AC272" s="82"/>
      <c r="AD272" s="623"/>
      <c r="AE272" s="80"/>
      <c r="AF272" s="630"/>
      <c r="AG272" s="404">
        <v>268</v>
      </c>
    </row>
    <row r="273" spans="1:34" x14ac:dyDescent="0.5">
      <c r="A273" s="654"/>
      <c r="B273" s="298" t="s">
        <v>607</v>
      </c>
      <c r="C273" s="271" t="s">
        <v>560</v>
      </c>
      <c r="D273" s="145"/>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86">
        <f t="shared" si="103"/>
        <v>0</v>
      </c>
      <c r="AC273" s="82"/>
      <c r="AD273" s="623"/>
      <c r="AE273" s="80"/>
      <c r="AF273" s="630"/>
      <c r="AG273" s="404">
        <v>269</v>
      </c>
    </row>
    <row r="274" spans="1:34" x14ac:dyDescent="0.5">
      <c r="A274" s="654"/>
      <c r="B274" s="295" t="s">
        <v>608</v>
      </c>
      <c r="C274" s="131" t="s">
        <v>601</v>
      </c>
      <c r="D274" s="164"/>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36">
        <f t="shared" si="103"/>
        <v>0</v>
      </c>
      <c r="AC274" s="82"/>
      <c r="AD274" s="623"/>
      <c r="AE274" s="80"/>
      <c r="AF274" s="630"/>
      <c r="AG274" s="404">
        <v>270</v>
      </c>
    </row>
    <row r="275" spans="1:34" ht="33" thickBot="1" x14ac:dyDescent="0.55000000000000004">
      <c r="A275" s="654"/>
      <c r="B275" s="296" t="s">
        <v>853</v>
      </c>
      <c r="C275" s="133" t="s">
        <v>304</v>
      </c>
      <c r="D275" s="167">
        <f>SUM(D274,D273,D272)</f>
        <v>0</v>
      </c>
      <c r="E275" s="72">
        <f t="shared" ref="E275:AA275" si="108">SUM(E274,E273,E272)</f>
        <v>0</v>
      </c>
      <c r="F275" s="72">
        <f t="shared" si="108"/>
        <v>0</v>
      </c>
      <c r="G275" s="72">
        <f t="shared" si="108"/>
        <v>0</v>
      </c>
      <c r="H275" s="72">
        <f t="shared" si="108"/>
        <v>0</v>
      </c>
      <c r="I275" s="72">
        <f t="shared" si="108"/>
        <v>0</v>
      </c>
      <c r="J275" s="72">
        <f t="shared" si="108"/>
        <v>0</v>
      </c>
      <c r="K275" s="72">
        <f t="shared" si="108"/>
        <v>0</v>
      </c>
      <c r="L275" s="72">
        <f t="shared" si="108"/>
        <v>0</v>
      </c>
      <c r="M275" s="72">
        <f t="shared" si="108"/>
        <v>0</v>
      </c>
      <c r="N275" s="72">
        <f t="shared" si="108"/>
        <v>0</v>
      </c>
      <c r="O275" s="72">
        <f t="shared" si="108"/>
        <v>0</v>
      </c>
      <c r="P275" s="72">
        <f t="shared" si="108"/>
        <v>0</v>
      </c>
      <c r="Q275" s="72">
        <f t="shared" si="108"/>
        <v>0</v>
      </c>
      <c r="R275" s="72">
        <f t="shared" si="108"/>
        <v>0</v>
      </c>
      <c r="S275" s="72">
        <f t="shared" si="108"/>
        <v>0</v>
      </c>
      <c r="T275" s="72">
        <f t="shared" si="108"/>
        <v>0</v>
      </c>
      <c r="U275" s="72">
        <f t="shared" si="108"/>
        <v>0</v>
      </c>
      <c r="V275" s="72">
        <f t="shared" si="108"/>
        <v>0</v>
      </c>
      <c r="W275" s="72">
        <f t="shared" si="108"/>
        <v>0</v>
      </c>
      <c r="X275" s="72">
        <f t="shared" si="108"/>
        <v>0</v>
      </c>
      <c r="Y275" s="72">
        <f t="shared" si="108"/>
        <v>0</v>
      </c>
      <c r="Z275" s="72">
        <f t="shared" si="108"/>
        <v>0</v>
      </c>
      <c r="AA275" s="72">
        <f t="shared" si="108"/>
        <v>0</v>
      </c>
      <c r="AB275" s="39">
        <f t="shared" si="103"/>
        <v>0</v>
      </c>
      <c r="AC275" s="82" t="str">
        <f>CONCATENATE(IF(D275&gt;D255," * Total Screened For TB  for Age "&amp;D20&amp;" "&amp;D21&amp;" is more than Current On ART "&amp;CHAR(10),""),IF(E275&gt;E255," * Total Screened For TB  for Age "&amp;D20&amp;" "&amp;E21&amp;" is more than Current On ART "&amp;CHAR(10),""),IF(F275&gt;F255," * Total Screened For TB  for Age "&amp;F20&amp;" "&amp;F21&amp;" is more than Current On ART "&amp;CHAR(10),""),IF(G275&gt;G255," * Total Screened For TB  for Age "&amp;F20&amp;" "&amp;G21&amp;" is more than Current On ART "&amp;CHAR(10),""),IF(H275&gt;H255," * Total Screened For TB  for Age "&amp;H20&amp;" "&amp;H21&amp;" is more than Current On ART "&amp;CHAR(10),""),IF(I275&gt;I255," * Total Screened For TB  for Age "&amp;H20&amp;" "&amp;I21&amp;" is more than Current On ART "&amp;CHAR(10),""),IF(J275&gt;J255," * Total Screened For TB  for Age "&amp;J20&amp;" "&amp;J21&amp;" is more than Current On ART "&amp;CHAR(10),""),IF(K275&gt;K255," * Total Screened For TB  for Age "&amp;J20&amp;" "&amp;K21&amp;" is more than Current On ART "&amp;CHAR(10),""),IF(L275&gt;L255," * Total Screened For TB  for Age "&amp;L20&amp;" "&amp;L21&amp;" is more than Current On ART "&amp;CHAR(10),""),IF(M275&gt;M255," * Total Screened For TB  for Age "&amp;L20&amp;" "&amp;M21&amp;" is more than Current On ART "&amp;CHAR(10),""),IF(N275&gt;N255," * Total Screened For TB  for Age "&amp;N20&amp;" "&amp;N21&amp;" is more than Current On ART "&amp;CHAR(10),""),IF(O275&gt;O255," * Total Screened For TB  for Age "&amp;N20&amp;" "&amp;O21&amp;" is more than Current On ART "&amp;CHAR(10),""),IF(P275&gt;P255," * Total Screened For TB  for Age "&amp;P20&amp;" "&amp;P21&amp;" is more than Current On ART "&amp;CHAR(10),""),IF(Q275&gt;Q255," * Total Screened For TB  for Age "&amp;P20&amp;" "&amp;Q21&amp;" is more than Current On ART "&amp;CHAR(10),""),IF(R275&gt;R255," * Total Screened For TB  for Age "&amp;R20&amp;" "&amp;R21&amp;" is more than Current On ART "&amp;CHAR(10),""),IF(S275&gt;S255," * Total Screened For TB  for Age "&amp;R20&amp;" "&amp;S21&amp;" is more than Current On ART "&amp;CHAR(10),""),IF(T275&gt;T255," * Total Screened For TB  for Age "&amp;T20&amp;" "&amp;T21&amp;" is more than Current On ART "&amp;CHAR(10),""),IF(U275&gt;U255," * Total Screened For TB  for Age "&amp;T20&amp;" "&amp;U21&amp;" is more than Current On ART "&amp;CHAR(10),""),IF(V275&gt;V255," * Total Screened For TB  for Age "&amp;V20&amp;" "&amp;V21&amp;" is more than Current On ART "&amp;CHAR(10),""),IF(W275&gt;W255," * Total Screened For TB  for Age "&amp;V20&amp;" "&amp;W21&amp;" is more than Current On ART "&amp;CHAR(10),""),IF(X275&gt;X255," * Total Screened For TB  for Age "&amp;X20&amp;" "&amp;X21&amp;" is more than Current On ART "&amp;CHAR(10),""),IF(Y275&gt;Y255," * Total Screened For TB  for Age "&amp;X20&amp;" "&amp;Y21&amp;" is more than Current On ART "&amp;CHAR(10),""),IF(Z275&gt;Z255," * Total Screened For TB  for Age "&amp;Z20&amp;" "&amp;Z21&amp;" is more than Current On ART "&amp;CHAR(10),""),IF(AA275&gt;AA255," * Total Screened For TB  for Age "&amp;Z20&amp;" "&amp;AA21&amp;" is more than Current On ART "&amp;CHAR(10),""))</f>
        <v/>
      </c>
      <c r="AD275" s="623"/>
      <c r="AE275" s="80" t="str">
        <f>CONCATENATE(IF(D275&lt;D255," * Screened for TB for Age "&amp;D20&amp;" "&amp;D21&amp;" is less than Current On ART"&amp;CHAR(10),""),IF(E275&lt;E255," * Screened for TB for Age "&amp;D20&amp;" "&amp;E21&amp;" is less than Current On ART"&amp;CHAR(10),""),IF(F275&lt;F255," * Screened for TB for Age "&amp;F20&amp;" "&amp;F21&amp;" is less than Current On ART"&amp;CHAR(10),""),IF(G275&lt;G255," * Screened for TB for Age "&amp;F20&amp;" "&amp;G21&amp;" is less than Current On ART"&amp;CHAR(10),""),IF(H275&lt;H255," * Screened for TB for Age "&amp;H20&amp;" "&amp;H21&amp;" is less than Current On ART"&amp;CHAR(10),""),IF(I275&lt;I255," * Screened for TB for Age "&amp;H20&amp;" "&amp;I21&amp;" is less than Current On ART"&amp;CHAR(10),""),IF(J275&lt;J255," * Screened for TB for Age "&amp;J20&amp;" "&amp;J21&amp;" is less than Current On ART"&amp;CHAR(10),""),IF(K275&lt;K255," * Screened for TB for Age "&amp;J20&amp;" "&amp;K21&amp;" is less than Current On ART"&amp;CHAR(10),""),IF(L275&lt;L255," * Screened for TB for Age "&amp;L20&amp;" "&amp;L21&amp;" is less than Current On ART"&amp;CHAR(10),""),IF(M275&lt;M255," * Screened for TB for Age "&amp;L20&amp;" "&amp;M21&amp;" is less than Current On ART"&amp;CHAR(10),""),IF(N275&lt;N255," * Screened for TB for Age "&amp;N20&amp;" "&amp;N21&amp;" is less than Current On ART"&amp;CHAR(10),""),IF(O275&lt;O255," * Screened for TB for Age "&amp;N20&amp;" "&amp;O21&amp;" is less than Current On ART"&amp;CHAR(10),""),IF(P275&lt;P255," * Screened for TB for Age "&amp;P20&amp;" "&amp;P21&amp;" is less than Current On ART"&amp;CHAR(10),""),IF(Q275&lt;Q255," * Screened for TB for Age "&amp;P20&amp;" "&amp;Q21&amp;" is less than Current On ART"&amp;CHAR(10),""),IF(R275&lt;R255," * Screened for TB for Age "&amp;R20&amp;" "&amp;R21&amp;" is less than Current On ART"&amp;CHAR(10),""),IF(S275&lt;S255," * Screened for TB for Age "&amp;R20&amp;" "&amp;S21&amp;" is less than Current On ART"&amp;CHAR(10),""),IF(T275&lt;T255," * Screened for TB for Age "&amp;T20&amp;" "&amp;T21&amp;" is less than Current On ART"&amp;CHAR(10),""),IF(U275&lt;U255," * Screened for TB for Age "&amp;T20&amp;" "&amp;U21&amp;" is less than Current On ART"&amp;CHAR(10),""),IF(V275&lt;V255," * Screened for TB for Age "&amp;V20&amp;" "&amp;V21&amp;" is less than Current On ART"&amp;CHAR(10),""),IF(W275&lt;W255," * Screened for TB for Age "&amp;V20&amp;" "&amp;W21&amp;" is less than Current On ART"&amp;CHAR(10),""),IF(X275&lt;X255," * Screened for TB for Age "&amp;X20&amp;" "&amp;X21&amp;" is less than Current On ART"&amp;CHAR(10),""),IF(Y275&lt;Y255," * Screened for TB for Age "&amp;X20&amp;" "&amp;Y21&amp;" is less than Current On ART"&amp;CHAR(10),""),IF(Z275&lt;Z255," * Screened for TB for Age "&amp;Z20&amp;" "&amp;Z21&amp;" is less than Current On ART"&amp;CHAR(10),""),IF(AA275&lt;AA255," * Screened for TB for Age "&amp;Z20&amp;" "&amp;AA21&amp;" is less than Current On ART"&amp;CHAR(10),""))</f>
        <v/>
      </c>
      <c r="AF275" s="630"/>
      <c r="AG275" s="404">
        <v>271</v>
      </c>
    </row>
    <row r="276" spans="1:34" ht="32.25" x14ac:dyDescent="0.5">
      <c r="A276" s="654"/>
      <c r="B276" s="297" t="s">
        <v>870</v>
      </c>
      <c r="C276" s="263" t="s">
        <v>602</v>
      </c>
      <c r="D276" s="163"/>
      <c r="E276" s="34"/>
      <c r="F276" s="34"/>
      <c r="G276" s="34"/>
      <c r="H276" s="34"/>
      <c r="I276" s="34"/>
      <c r="J276" s="34"/>
      <c r="K276" s="34"/>
      <c r="L276" s="34"/>
      <c r="M276" s="34"/>
      <c r="N276" s="34"/>
      <c r="O276" s="34"/>
      <c r="P276" s="34"/>
      <c r="Q276" s="34"/>
      <c r="R276" s="34"/>
      <c r="S276" s="34"/>
      <c r="T276" s="34"/>
      <c r="U276" s="34"/>
      <c r="V276" s="34"/>
      <c r="W276" s="34"/>
      <c r="X276" s="34"/>
      <c r="Y276" s="34"/>
      <c r="Z276" s="34"/>
      <c r="AA276" s="34"/>
      <c r="AB276" s="35">
        <f t="shared" si="103"/>
        <v>0</v>
      </c>
      <c r="AC276" s="82"/>
      <c r="AD276" s="623"/>
      <c r="AE276" s="80"/>
      <c r="AF276" s="630"/>
      <c r="AG276" s="404">
        <v>272</v>
      </c>
    </row>
    <row r="277" spans="1:34" s="9" customFormat="1" ht="64.5" x14ac:dyDescent="0.5">
      <c r="A277" s="654"/>
      <c r="B277" s="295" t="s">
        <v>871</v>
      </c>
      <c r="C277" s="130" t="s">
        <v>603</v>
      </c>
      <c r="D277" s="164"/>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36">
        <f t="shared" si="103"/>
        <v>0</v>
      </c>
      <c r="AC277" s="82"/>
      <c r="AD277" s="623"/>
      <c r="AE277" s="81"/>
      <c r="AF277" s="630"/>
      <c r="AG277" s="404">
        <v>273</v>
      </c>
      <c r="AH277" s="311"/>
    </row>
    <row r="278" spans="1:34" ht="32.25" x14ac:dyDescent="0.5">
      <c r="A278" s="654"/>
      <c r="B278" s="295" t="s">
        <v>872</v>
      </c>
      <c r="C278" s="131" t="s">
        <v>604</v>
      </c>
      <c r="D278" s="164"/>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36">
        <f t="shared" si="103"/>
        <v>0</v>
      </c>
      <c r="AC278" s="82"/>
      <c r="AD278" s="623"/>
      <c r="AE278" s="80"/>
      <c r="AF278" s="630"/>
      <c r="AG278" s="404">
        <v>274</v>
      </c>
    </row>
    <row r="279" spans="1:34" ht="32.25" customHeight="1" thickBot="1" x14ac:dyDescent="0.55000000000000004">
      <c r="A279" s="654"/>
      <c r="B279" s="296" t="s">
        <v>854</v>
      </c>
      <c r="C279" s="133" t="s">
        <v>611</v>
      </c>
      <c r="D279" s="232">
        <f t="shared" ref="D279:AA279" si="109">SUM(D276:D278)</f>
        <v>0</v>
      </c>
      <c r="E279" s="232">
        <f t="shared" si="109"/>
        <v>0</v>
      </c>
      <c r="F279" s="232">
        <f t="shared" si="109"/>
        <v>0</v>
      </c>
      <c r="G279" s="232">
        <f t="shared" si="109"/>
        <v>0</v>
      </c>
      <c r="H279" s="232">
        <f t="shared" si="109"/>
        <v>0</v>
      </c>
      <c r="I279" s="232">
        <f t="shared" si="109"/>
        <v>0</v>
      </c>
      <c r="J279" s="232">
        <f t="shared" si="109"/>
        <v>0</v>
      </c>
      <c r="K279" s="232">
        <f t="shared" si="109"/>
        <v>0</v>
      </c>
      <c r="L279" s="232">
        <f t="shared" si="109"/>
        <v>0</v>
      </c>
      <c r="M279" s="232">
        <f t="shared" si="109"/>
        <v>0</v>
      </c>
      <c r="N279" s="232">
        <f t="shared" si="109"/>
        <v>0</v>
      </c>
      <c r="O279" s="232">
        <f t="shared" si="109"/>
        <v>0</v>
      </c>
      <c r="P279" s="232">
        <f t="shared" si="109"/>
        <v>0</v>
      </c>
      <c r="Q279" s="232">
        <f t="shared" si="109"/>
        <v>0</v>
      </c>
      <c r="R279" s="232">
        <f t="shared" si="109"/>
        <v>0</v>
      </c>
      <c r="S279" s="232">
        <f t="shared" si="109"/>
        <v>0</v>
      </c>
      <c r="T279" s="232">
        <f t="shared" si="109"/>
        <v>0</v>
      </c>
      <c r="U279" s="232">
        <f t="shared" si="109"/>
        <v>0</v>
      </c>
      <c r="V279" s="232">
        <f t="shared" si="109"/>
        <v>0</v>
      </c>
      <c r="W279" s="232">
        <f t="shared" si="109"/>
        <v>0</v>
      </c>
      <c r="X279" s="232">
        <f t="shared" si="109"/>
        <v>0</v>
      </c>
      <c r="Y279" s="232">
        <f t="shared" si="109"/>
        <v>0</v>
      </c>
      <c r="Z279" s="232">
        <f t="shared" si="109"/>
        <v>0</v>
      </c>
      <c r="AA279" s="232">
        <f t="shared" si="109"/>
        <v>0</v>
      </c>
      <c r="AB279" s="39">
        <f t="shared" si="103"/>
        <v>0</v>
      </c>
      <c r="AC279" s="79" t="str">
        <f>CONCATENATE(IF(D280&gt;D279," *  Positive Result Returned For bacteriologic diagnosis "&amp;$D$20&amp;" "&amp;$D$21&amp;" is more than Total Patients whose specimens were sent"&amp;CHAR(10),""),IF(E280&gt;E279," *  Positive Result Returned For bacteriologic diagnosis "&amp;$D$20&amp;" "&amp;$E$21&amp;" is more than Total Patients whose specimens were sent"&amp;CHAR(10),""),IF(F280&gt;F279," *  Positive Result Returned For bacteriologic diagnosis "&amp;$F$20&amp;" "&amp;$F$21&amp;" is more than Total Patients whose specimens were sent"&amp;CHAR(10),""),IF(G280&gt;G279," *  Positive Result Returned For bacteriologic diagnosis "&amp;$F$20&amp;" "&amp;$G$21&amp;" is more than Total Patients whose specimens were sent"&amp;CHAR(10),""),IF(H280&gt;H279," *  Positive Result Returned For bacteriologic diagnosis "&amp;$H$20&amp;" "&amp;$H$21&amp;" is more than Total Patients whose specimens were sent"&amp;CHAR(10),""),IF(I280&gt;I279," *  Positive Result Returned For bacteriologic diagnosis "&amp;$H$20&amp;" "&amp;$I$21&amp;" is more than Total Patients whose specimens were sent"&amp;CHAR(10),""),IF(J280&gt;J279," *  Positive Result Returned For bacteriologic diagnosis "&amp;$J$20&amp;" "&amp;$J$21&amp;" is more than Total Patients whose specimens were sent"&amp;CHAR(10),""),IF(K280&gt;K279," *  Positive Result Returned For bacteriologic diagnosis "&amp;$J$20&amp;" "&amp;$K$21&amp;" is more than Total Patients whose specimens were sent"&amp;CHAR(10),""),IF(L280&gt;L279," *  Positive Result Returned For bacteriologic diagnosis "&amp;$L$20&amp;" "&amp;$L$21&amp;" is more than Total Patients whose specimens were sent"&amp;CHAR(10),""),IF(M280&gt;M279," *  Positive Result Returned For bacteriologic diagnosis "&amp;$L$20&amp;" "&amp;$M$21&amp;" is more than Total Patients whose specimens were sent"&amp;CHAR(10),""),IF(N280&gt;N279," *  Positive Result Returned For bacteriologic diagnosis "&amp;$N$20&amp;" "&amp;$N$21&amp;" is more than Total Patients whose specimens were sent"&amp;CHAR(10),""),IF(O280&gt;O279," *  Positive Result Returned For bacteriologic diagnosis "&amp;$N$20&amp;" "&amp;$O$21&amp;" is more than Total Patients whose specimens were sent"&amp;CHAR(10),""),IF(P280&gt;P279," *  Positive Result Returned For bacteriologic diagnosis "&amp;$P$20&amp;" "&amp;$P$21&amp;" is more than Total Patients whose specimens were sent"&amp;CHAR(10),""),IF(Q280&gt;Q279," *  Positive Result Returned For bacteriologic diagnosis "&amp;$P$20&amp;" "&amp;$Q$21&amp;" is more than Total Patients whose specimens were sent"&amp;CHAR(10),""),IF(R280&gt;R279," *  Positive Result Returned For bacteriologic diagnosis "&amp;$R$20&amp;" "&amp;$R$21&amp;" is more than Total Patients whose specimens were sent"&amp;CHAR(10),""),IF(S280&gt;S279," *  Positive Result Returned For bacteriologic diagnosis "&amp;$R$20&amp;" "&amp;$S$21&amp;" is more than Total Patients whose specimens were sent"&amp;CHAR(10),""),IF(T280&gt;T279," *  Positive Result Returned For bacteriologic diagnosis "&amp;$T$20&amp;" "&amp;$T$21&amp;" is more than Total Patients whose specimens were sent"&amp;CHAR(10),""),IF(U280&gt;U279," *  Positive Result Returned For bacteriologic diagnosis "&amp;$T$20&amp;" "&amp;$U$21&amp;" is more than Total Patients whose specimens were sent"&amp;CHAR(10),""),IF(V280&gt;V279," *  Positive Result Returned For bacteriologic diagnosis "&amp;$V$20&amp;" "&amp;$V$21&amp;" is more than Total Patients whose specimens were sent"&amp;CHAR(10),""),IF(W280&gt;W279," *  Positive Result Returned For bacteriologic diagnosis "&amp;$V$20&amp;" "&amp;$W$21&amp;" is more than Total Patients whose specimens were sent"&amp;CHAR(10),""),IF(X280&gt;X279," *  Positive Result Returned For bacteriologic diagnosis "&amp;$X$20&amp;" "&amp;$X$21&amp;" is more than Total Patients whose specimens were sent"&amp;CHAR(10),""),IF(Y280&gt;Y279," *  Positive Result Returned For bacteriologic diagnosis "&amp;$X$20&amp;" "&amp;$Y$21&amp;" is more than Total Patients whose specimens were sent"&amp;CHAR(10),""),IF(Z280&gt;Z279," *  Positive Result Returned For bacteriologic diagnosis "&amp;$Z$20&amp;" "&amp;$Z$21&amp;" is more than Total Patients whose specimens were sent"&amp;CHAR(10),""),IF(AA280&gt;AA279," *  Positive Result Returned For bacteriologic diagnosis "&amp;$Z$20&amp;" "&amp;$AA$21&amp;" is more than Total Patients whose specimens were sent"&amp;CHAR(10),""))</f>
        <v/>
      </c>
      <c r="AD279" s="623"/>
      <c r="AE279" s="80"/>
      <c r="AF279" s="630"/>
      <c r="AG279" s="404">
        <v>275</v>
      </c>
    </row>
    <row r="280" spans="1:34" ht="62.25" thickBot="1" x14ac:dyDescent="0.55000000000000004">
      <c r="A280" s="655"/>
      <c r="B280" s="288" t="s">
        <v>609</v>
      </c>
      <c r="C280" s="162" t="s">
        <v>612</v>
      </c>
      <c r="D280" s="166"/>
      <c r="E280" s="300"/>
      <c r="F280" s="300"/>
      <c r="G280" s="300"/>
      <c r="H280" s="300"/>
      <c r="I280" s="300"/>
      <c r="J280" s="300"/>
      <c r="K280" s="300"/>
      <c r="L280" s="300"/>
      <c r="M280" s="300"/>
      <c r="N280" s="300"/>
      <c r="O280" s="300"/>
      <c r="P280" s="300"/>
      <c r="Q280" s="300"/>
      <c r="R280" s="300"/>
      <c r="S280" s="300"/>
      <c r="T280" s="300"/>
      <c r="U280" s="300"/>
      <c r="V280" s="300"/>
      <c r="W280" s="300"/>
      <c r="X280" s="300"/>
      <c r="Y280" s="300"/>
      <c r="Z280" s="300"/>
      <c r="AA280" s="300"/>
      <c r="AB280" s="65">
        <f t="shared" si="103"/>
        <v>0</v>
      </c>
      <c r="AC280" s="79" t="str">
        <f>CONCATENATE(IF(D272&lt;D279," *  Total Screening positive for TB ( Presumptive TB Clients ) "&amp;$D$20&amp;" "&amp;$D$21&amp;" is less than Total Patients whose specimens were sent"&amp;CHAR(10),""),IF(E272&lt;E279," *  Total Screening positive for TB ( Presumptive TB Clients ) "&amp;$D$20&amp;" "&amp;$E$21&amp;" is less than Total Patients whose specimens were sent"&amp;CHAR(10),""),IF(F272&lt;F279," *  Total Screening positive for TB ( Presumptive TB Clients ) "&amp;$F$20&amp;" "&amp;$F$21&amp;" is less than Total Patients whose specimens were sent"&amp;CHAR(10),""),IF(G272&lt;G279," *  Total Screening positive for TB ( Presumptive TB Clients ) "&amp;$F$20&amp;" "&amp;$G$21&amp;" is less than Total Patients whose specimens were sent"&amp;CHAR(10),""),IF(H272&lt;H279," *  Total Screening positive for TB ( Presumptive TB Clients ) "&amp;$H$20&amp;" "&amp;$H$21&amp;" is less than Total Patients whose specimens were sent"&amp;CHAR(10),""),IF(I272&lt;I279," *  Total Screening positive for TB ( Presumptive TB Clients ) "&amp;$H$20&amp;" "&amp;$I$21&amp;" is less than Total Patients whose specimens were sent"&amp;CHAR(10),""),IF(J272&lt;J279," *  Total Screening positive for TB ( Presumptive TB Clients ) "&amp;$J$20&amp;" "&amp;$J$21&amp;" is less than Total Patients whose specimens were sent"&amp;CHAR(10),""),IF(K272&lt;K279," *  Total Screening positive for TB ( Presumptive TB Clients ) "&amp;$J$20&amp;" "&amp;$K$21&amp;" is less than Total Patients whose specimens were sent"&amp;CHAR(10),""),IF(L272&lt;L279," *  Total Screening positive for TB ( Presumptive TB Clients ) "&amp;$L$20&amp;" "&amp;$L$21&amp;" is less than Total Patients whose specimens were sent"&amp;CHAR(10),""),IF(M272&lt;M279," *  Total Screening positive for TB ( Presumptive TB Clients ) "&amp;$L$20&amp;" "&amp;$M$21&amp;" is less than Total Patients whose specimens were sent"&amp;CHAR(10),""),IF(N272&lt;N279," *  Total Screening positive for TB ( Presumptive TB Clients ) "&amp;$N$20&amp;" "&amp;$N$21&amp;" is less than Total Patients whose specimens were sent"&amp;CHAR(10),""),IF(O272&lt;O279," *  Total Screening positive for TB ( Presumptive TB Clients ) "&amp;$N$20&amp;" "&amp;$O$21&amp;" is less than Total Patients whose specimens were sent"&amp;CHAR(10),""),IF(P272&lt;P279," *  Total Screening positive for TB ( Presumptive TB Clients ) "&amp;$P$20&amp;" "&amp;$P$21&amp;" is less than Total Patients whose specimens were sent"&amp;CHAR(10),""),IF(Q272&lt;Q279," *  Total Screening positive for TB ( Presumptive TB Clients ) "&amp;$P$20&amp;" "&amp;$Q$21&amp;" is less than Total Patients whose specimens were sent"&amp;CHAR(10),""),IF(R272&lt;R279," *  Total Screening positive for TB ( Presumptive TB Clients ) "&amp;$R$20&amp;" "&amp;$R$21&amp;" is less than Total Patients whose specimens were sent"&amp;CHAR(10),""),IF(S272&lt;S279," *  Total Screening positive for TB ( Presumptive TB Clients ) "&amp;$R$20&amp;" "&amp;$S$21&amp;" is less than Total Patients whose specimens were sent"&amp;CHAR(10),""),IF(T272&lt;T279," *  Total Screening positive for TB ( Presumptive TB Clients ) "&amp;$T$20&amp;" "&amp;$T$21&amp;" is less than Total Patients whose specimens were sent"&amp;CHAR(10),""),IF(U272&lt;U279," *  Total Screening positive for TB ( Presumptive TB Clients ) "&amp;$T$20&amp;" "&amp;$U$21&amp;" is less than Total Patients whose specimens were sent"&amp;CHAR(10),""),IF(V272&lt;V279," *  Total Screening positive for TB ( Presumptive TB Clients ) "&amp;$V$20&amp;" "&amp;$V$21&amp;" is less than Total Patients whose specimens were sent"&amp;CHAR(10),""),IF(W272&lt;W279," *  Total Screening positive for TB ( Presumptive TB Clients ) "&amp;$V$20&amp;" "&amp;$W$21&amp;" is less than Total Patients whose specimens were sent"&amp;CHAR(10),""),IF(X272&lt;X279," *  Total Screening positive for TB ( Presumptive TB Clients ) "&amp;$X$20&amp;" "&amp;$X$21&amp;" is less than Total Patients whose specimens were sent"&amp;CHAR(10),""),IF(Y272&lt;Y279," *  Total Screening positive for TB ( Presumptive TB Clients ) "&amp;$X$20&amp;" "&amp;$Y$21&amp;" is less than Total Patients whose specimens were sent"&amp;CHAR(10),""),IF(Z272&lt;Z279," *  Total Screening positive for TB ( Presumptive TB Clients ) "&amp;$Z$20&amp;" "&amp;$Z$21&amp;" is less than Total Patients whose specimens were sent"&amp;CHAR(10),""),IF(AA272&lt;AA279," *  Total Screening positive for TB ( Presumptive TB Clients ) "&amp;$Z$20&amp;" "&amp;$AA$21&amp;" is less than Total Patients whose specimens were sent"&amp;CHAR(10),""))</f>
        <v/>
      </c>
      <c r="AD280" s="623"/>
      <c r="AE280" s="80"/>
      <c r="AF280" s="630"/>
      <c r="AG280" s="404">
        <v>276</v>
      </c>
    </row>
    <row r="281" spans="1:34" x14ac:dyDescent="0.5">
      <c r="A281" s="650" t="s">
        <v>858</v>
      </c>
      <c r="B281" s="285" t="s">
        <v>610</v>
      </c>
      <c r="C281" s="263" t="s">
        <v>615</v>
      </c>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c r="AA281" s="163"/>
      <c r="AB281" s="35">
        <f t="shared" ref="AB281" si="110">SUM(D281:AA281)</f>
        <v>0</v>
      </c>
      <c r="AC281" s="82"/>
      <c r="AD281" s="623"/>
      <c r="AE281" s="80"/>
      <c r="AF281" s="630"/>
      <c r="AG281" s="404">
        <v>277</v>
      </c>
    </row>
    <row r="282" spans="1:34" ht="61.5" x14ac:dyDescent="0.5">
      <c r="A282" s="651"/>
      <c r="B282" s="282" t="s">
        <v>857</v>
      </c>
      <c r="C282" s="131" t="s">
        <v>616</v>
      </c>
      <c r="D282" s="19"/>
      <c r="E282" s="213"/>
      <c r="F282" s="213"/>
      <c r="G282" s="213"/>
      <c r="H282" s="213"/>
      <c r="I282" s="213"/>
      <c r="J282" s="213"/>
      <c r="K282" s="213"/>
      <c r="L282" s="213"/>
      <c r="M282" s="213"/>
      <c r="N282" s="213"/>
      <c r="O282" s="213"/>
      <c r="P282" s="213"/>
      <c r="Q282" s="213"/>
      <c r="R282" s="213"/>
      <c r="S282" s="213"/>
      <c r="T282" s="213"/>
      <c r="U282" s="213"/>
      <c r="V282" s="213"/>
      <c r="W282" s="213"/>
      <c r="X282" s="213"/>
      <c r="Y282" s="213"/>
      <c r="Z282" s="213"/>
      <c r="AA282" s="213"/>
      <c r="AB282" s="36">
        <f t="shared" ref="AB282" si="111">SUM(D282:AA282)</f>
        <v>0</v>
      </c>
      <c r="AC282" s="236" t="str">
        <f>CONCATENATE(IF(D283&gt;D280," *  Confirmed ART Patients TB positive and started on TB treatment "&amp;$D$20&amp;" "&amp;$D$21&amp;" is less than  ART patients who had a positive result returned F07-50"&amp;CHAR(10),""),IF(E283&gt;E280," *  Confirmed ART Patients TB positive and started on TB treatment "&amp;$D$20&amp;" "&amp;$E$21&amp;" is less than  ART patients who had a positive result returned F07-50"&amp;CHAR(10),""),IF(F283&gt;F280," *  Confirmed ART Patients TB positive and started on TB treatment "&amp;$F$20&amp;" "&amp;$F$21&amp;" is less than  ART patients who had a positive result returned F07-50"&amp;CHAR(10),""),IF(G283&gt;G280," *  Confirmed ART Patients TB positive and started on TB treatment "&amp;$F$20&amp;" "&amp;$G$21&amp;" is less than  ART patients who had a positive result returned F07-50"&amp;CHAR(10),""),IF(H283&gt;H280," *  Confirmed ART Patients TB positive and started on TB treatment "&amp;$H$20&amp;" "&amp;$H$21&amp;" is less than  ART patients who had a positive result returned F07-50"&amp;CHAR(10),""),IF(I283&gt;I280," *  Confirmed ART Patients TB positive and started on TB treatment "&amp;$H$20&amp;" "&amp;$I$21&amp;" is less than  ART patients who had a positive result returned F07-50"&amp;CHAR(10),""),IF(J283&gt;J280," *  Confirmed ART Patients TB positive and started on TB treatment "&amp;$J$20&amp;" "&amp;$J$21&amp;" is less than  ART patients who had a positive result returned F07-50"&amp;CHAR(10),""),IF(K283&gt;K280," *  Confirmed ART Patients TB positive and started on TB treatment "&amp;$J$20&amp;" "&amp;$K$21&amp;" is less than  ART patients who had a positive result returned F07-50"&amp;CHAR(10),""),IF(L283&gt;L280," *  Confirmed ART Patients TB positive and started on TB treatment "&amp;$L$20&amp;" "&amp;$L$21&amp;" is less than  ART patients who had a positive result returned F07-50"&amp;CHAR(10),""),IF(M283&gt;M280," *  Confirmed ART Patients TB positive and started on TB treatment "&amp;$L$20&amp;" "&amp;$M$21&amp;" is less than  ART patients who had a positive result returned F07-50"&amp;CHAR(10),""),IF(N283&gt;N280," *  Confirmed ART Patients TB positive and started on TB treatment "&amp;$N$20&amp;" "&amp;$N$21&amp;" is less than  ART patients who had a positive result returned F07-50"&amp;CHAR(10),""),IF(O283&gt;O280," *  Confirmed ART Patients TB positive and started on TB treatment "&amp;$N$20&amp;" "&amp;$O$21&amp;" is less than  ART patients who had a positive result returned F07-50"&amp;CHAR(10),""),IF(P283&gt;P280," *  Confirmed ART Patients TB positive and started on TB treatment "&amp;$P$20&amp;" "&amp;$P$21&amp;" is less than  ART patients who had a positive result returned F07-50"&amp;CHAR(10),""),IF(Q283&gt;Q280," *  Confirmed ART Patients TB positive and started on TB treatment "&amp;$P$20&amp;" "&amp;$Q$21&amp;" is less than  ART patients who had a positive result returned F07-50"&amp;CHAR(10),""),IF(R283&gt;R280," *  Confirmed ART Patients TB positive and started on TB treatment "&amp;$R$20&amp;" "&amp;$R$21&amp;" is less than  ART patients who had a positive result returned F07-50"&amp;CHAR(10),""),IF(S283&gt;S280," *  Confirmed ART Patients TB positive and started on TB treatment "&amp;$R$20&amp;" "&amp;$S$21&amp;" is less than  ART patients who had a positive result returned F07-50"&amp;CHAR(10),""),IF(T283&gt;T280," *  Confirmed ART Patients TB positive and started on TB treatment "&amp;$T$20&amp;" "&amp;$T$21&amp;" is less than  ART patients who had a positive result returned F07-50"&amp;CHAR(10),""),IF(U283&gt;U280," *  Confirmed ART Patients TB positive and started on TB treatment "&amp;$T$20&amp;" "&amp;$U$21&amp;" is less than  ART patients who had a positive result returned F07-50"&amp;CHAR(10),""),IF(V283&gt;V280," *  Confirmed ART Patients TB positive and started on TB treatment "&amp;$V$20&amp;" "&amp;$V$21&amp;" is less than  ART patients who had a positive result returned F07-50"&amp;CHAR(10),""),IF(W283&gt;W280," *  Confirmed ART Patients TB positive and started on TB treatment "&amp;$V$20&amp;" "&amp;$W$21&amp;" is less than  ART patients who had a positive result returned F07-50"&amp;CHAR(10),""),IF(X283&gt;X280," *  Confirmed ART Patients TB positive and started on TB treatment "&amp;$X$20&amp;" "&amp;$X$21&amp;" is less than  ART patients who had a positive result returned F07-50"&amp;CHAR(10),""),IF(Y283&gt;Y280," *  Confirmed ART Patients TB positive and started on TB treatment "&amp;$X$20&amp;" "&amp;$Y$21&amp;" is less than  ART patients who had a positive result returned F07-50"&amp;CHAR(10),""),IF(Z283&gt;Z280," *  Confirmed ART Patients TB positive and started on TB treatment "&amp;$Z$20&amp;" "&amp;$Z$21&amp;" is less than  ART patients who had a positive result returned F07-50"&amp;CHAR(10),""),IF(AA283&gt;AA280," *  Confirmed ART Patients TB positive and started on TB treatment "&amp;$Z$20&amp;" "&amp;$AA$21&amp;" is less than  ART patients who had a positive result returned F07-50"&amp;CHAR(10),""))</f>
        <v/>
      </c>
      <c r="AD282" s="623"/>
      <c r="AE282" s="80"/>
      <c r="AF282" s="630"/>
      <c r="AG282" s="404">
        <v>278</v>
      </c>
    </row>
    <row r="283" spans="1:34" ht="65.25" thickBot="1" x14ac:dyDescent="0.55000000000000004">
      <c r="A283" s="652"/>
      <c r="B283" s="293" t="s">
        <v>856</v>
      </c>
      <c r="C283" s="133" t="s">
        <v>617</v>
      </c>
      <c r="D283" s="165">
        <f>D281+D282</f>
        <v>0</v>
      </c>
      <c r="E283" s="294">
        <f t="shared" ref="E283:AA283" si="112">E281+E282</f>
        <v>0</v>
      </c>
      <c r="F283" s="294">
        <f t="shared" si="112"/>
        <v>0</v>
      </c>
      <c r="G283" s="294">
        <f t="shared" si="112"/>
        <v>0</v>
      </c>
      <c r="H283" s="294">
        <f t="shared" si="112"/>
        <v>0</v>
      </c>
      <c r="I283" s="294">
        <f t="shared" si="112"/>
        <v>0</v>
      </c>
      <c r="J283" s="294">
        <f t="shared" si="112"/>
        <v>0</v>
      </c>
      <c r="K283" s="294">
        <f t="shared" si="112"/>
        <v>0</v>
      </c>
      <c r="L283" s="294">
        <f t="shared" si="112"/>
        <v>0</v>
      </c>
      <c r="M283" s="294">
        <f t="shared" si="112"/>
        <v>0</v>
      </c>
      <c r="N283" s="294">
        <f t="shared" si="112"/>
        <v>0</v>
      </c>
      <c r="O283" s="294">
        <f t="shared" si="112"/>
        <v>0</v>
      </c>
      <c r="P283" s="294">
        <f t="shared" si="112"/>
        <v>0</v>
      </c>
      <c r="Q283" s="294">
        <f t="shared" si="112"/>
        <v>0</v>
      </c>
      <c r="R283" s="294">
        <f t="shared" si="112"/>
        <v>0</v>
      </c>
      <c r="S283" s="294">
        <f t="shared" si="112"/>
        <v>0</v>
      </c>
      <c r="T283" s="294">
        <f t="shared" si="112"/>
        <v>0</v>
      </c>
      <c r="U283" s="294">
        <f t="shared" si="112"/>
        <v>0</v>
      </c>
      <c r="V283" s="294">
        <f t="shared" si="112"/>
        <v>0</v>
      </c>
      <c r="W283" s="294">
        <f t="shared" si="112"/>
        <v>0</v>
      </c>
      <c r="X283" s="294">
        <f t="shared" si="112"/>
        <v>0</v>
      </c>
      <c r="Y283" s="294">
        <f t="shared" si="112"/>
        <v>0</v>
      </c>
      <c r="Z283" s="294">
        <f t="shared" si="112"/>
        <v>0</v>
      </c>
      <c r="AA283" s="294">
        <f t="shared" si="112"/>
        <v>0</v>
      </c>
      <c r="AB283" s="39">
        <f t="shared" ref="AB283" si="113">SUM(D283:AA283)</f>
        <v>0</v>
      </c>
      <c r="AC283" s="82" t="str">
        <f>CONCATENATE(IF(D283&gt;D275," * ART Patients TB positive and started on TB Treatment  for Age "&amp;D20&amp;" "&amp;D21&amp;" is more than Total Screened for TB"&amp;CHAR(10),""),IF(E283&gt;E275," * ART Patients TB positive and started on TB Treatment  for Age "&amp;D20&amp;" "&amp;E21&amp;" is more than Total Screened for TB"&amp;CHAR(10),""),IF(F283&gt;F275," * ART Patients TB positive and started on TB Treatment  for Age "&amp;F20&amp;" "&amp;F21&amp;" is more than Total Screened for TB"&amp;CHAR(10),""),IF(G283&gt;G275," * ART Patients TB positive and started on TB Treatment  for Age "&amp;F20&amp;" "&amp;G21&amp;" is more than Total Screened for TB"&amp;CHAR(10),""),IF(H283&gt;H275," * ART Patients TB positive and started on TB Treatment  for Age "&amp;H20&amp;" "&amp;H21&amp;" is more than Total Screened for TB"&amp;CHAR(10),""),IF(I283&gt;I275," * ART Patients TB positive and started on TB Treatment  for Age "&amp;H20&amp;" "&amp;I21&amp;" is more than Total Screened for TB"&amp;CHAR(10),""),IF(J283&gt;J275," * ART Patients TB positive and started on TB Treatment  for Age "&amp;J20&amp;" "&amp;J21&amp;" is more than Total Screened for TB"&amp;CHAR(10),""),IF(K283&gt;K275," * ART Patients TB positive and started on TB Treatment  for Age "&amp;J20&amp;" "&amp;K21&amp;" is more than Total Screened for TB"&amp;CHAR(10),""),IF(L283&gt;L275," * ART Patients TB positive and started on TB Treatment  for Age "&amp;L20&amp;" "&amp;L21&amp;" is more than Total Screened for TB"&amp;CHAR(10),""),IF(M283&gt;M275," * ART Patients TB positive and started on TB Treatment  for Age "&amp;L20&amp;" "&amp;M21&amp;" is more than Total Screened for TB"&amp;CHAR(10),""),IF(N283&gt;N275," * ART Patients TB positive and started on TB Treatment  for Age "&amp;N20&amp;" "&amp;N21&amp;" is more than Total Screened for TB"&amp;CHAR(10),""),IF(O283&gt;O275," * ART Patients TB positive and started on TB Treatment  for Age "&amp;N20&amp;" "&amp;O21&amp;" is more than Total Screened for TB"&amp;CHAR(10),""),IF(P283&gt;P275," * ART Patients TB positive and started on TB Treatment  for Age "&amp;P20&amp;" "&amp;P21&amp;" is more than Total Screened for TB"&amp;CHAR(10),""),IF(Q283&gt;Q275," * ART Patients TB positive and started on TB Treatment  for Age "&amp;P20&amp;" "&amp;Q21&amp;" is more than Total Screened for TB"&amp;CHAR(10),""),IF(R283&gt;R275," * ART Patients TB positive and started on TB Treatment  for Age "&amp;R20&amp;" "&amp;R21&amp;" is more than Total Screened for TB"&amp;CHAR(10),""),IF(S283&gt;S275," * ART Patients TB positive and started on TB Treatment  for Age "&amp;R20&amp;" "&amp;S21&amp;" is more than Total Screened for TB"&amp;CHAR(10),""),IF(T283&gt;T275," * ART Patients TB positive and started on TB Treatment  for Age "&amp;T20&amp;" "&amp;T21&amp;" is more than Total Screened for TB"&amp;CHAR(10),""),IF(U283&gt;U275," * ART Patients TB positive and started on TB Treatment  for Age "&amp;T20&amp;" "&amp;U21&amp;" is more than Total Screened for TB"&amp;CHAR(10),""),IF(V283&gt;V275," * ART Patients TB positive and started on TB Treatment  for Age "&amp;V20&amp;" "&amp;V21&amp;" is more than Total Screened for TB"&amp;CHAR(10),""),IF(W283&gt;W275," * ART Patients TB positive and started on TB Treatment  for Age "&amp;V20&amp;" "&amp;W21&amp;" is more than Total Screened for TB"&amp;CHAR(10),""),IF(X283&gt;X275," * ART Patients TB positive and started on TB Treatment  for Age "&amp;X20&amp;" "&amp;X21&amp;" is more than Total Screened for TB"&amp;CHAR(10),""),IF(Y283&gt;Y275," * ART Patients TB positive and started on TB Treatment  for Age "&amp;X20&amp;" "&amp;Y21&amp;" is more than Total Screened for TB"&amp;CHAR(10),""),IF(Z283&gt;Z275," * ART Patients TB positive and started on TB Treatment  for Age "&amp;Z20&amp;" "&amp;Z21&amp;" is more than Total Screened for TB"&amp;CHAR(10),""),IF(AA283&gt;AA275," * ART Patients TB positive and started on TB Treatment  for Age "&amp;Z20&amp;" "&amp;AA21&amp;" is more than Total Screened for TB"&amp;CHAR(10),""))</f>
        <v/>
      </c>
      <c r="AD283" s="624"/>
      <c r="AE283" s="80"/>
      <c r="AF283" s="631"/>
      <c r="AG283" s="404">
        <v>279</v>
      </c>
    </row>
    <row r="284" spans="1:34" ht="32.25" hidden="1" x14ac:dyDescent="0.5">
      <c r="A284" s="650" t="s">
        <v>614</v>
      </c>
      <c r="B284" s="299" t="s">
        <v>1023</v>
      </c>
      <c r="C284" s="263" t="s">
        <v>618</v>
      </c>
      <c r="D284" s="168">
        <f t="shared" ref="D284:AB284" si="114">D8+D11+D15</f>
        <v>0</v>
      </c>
      <c r="E284" s="301">
        <f t="shared" si="114"/>
        <v>0</v>
      </c>
      <c r="F284" s="301">
        <f t="shared" si="114"/>
        <v>0</v>
      </c>
      <c r="G284" s="301">
        <f t="shared" si="114"/>
        <v>0</v>
      </c>
      <c r="H284" s="301">
        <f t="shared" si="114"/>
        <v>0</v>
      </c>
      <c r="I284" s="301">
        <f t="shared" si="114"/>
        <v>0</v>
      </c>
      <c r="J284" s="301">
        <f t="shared" si="114"/>
        <v>0</v>
      </c>
      <c r="K284" s="301">
        <f t="shared" si="114"/>
        <v>0</v>
      </c>
      <c r="L284" s="301">
        <f t="shared" si="114"/>
        <v>0</v>
      </c>
      <c r="M284" s="301">
        <f t="shared" si="114"/>
        <v>0</v>
      </c>
      <c r="N284" s="301">
        <f t="shared" si="114"/>
        <v>0</v>
      </c>
      <c r="O284" s="301">
        <f t="shared" si="114"/>
        <v>0</v>
      </c>
      <c r="P284" s="301">
        <f t="shared" si="114"/>
        <v>0</v>
      </c>
      <c r="Q284" s="301">
        <f t="shared" si="114"/>
        <v>0</v>
      </c>
      <c r="R284" s="301">
        <f t="shared" si="114"/>
        <v>0</v>
      </c>
      <c r="S284" s="301">
        <f t="shared" si="114"/>
        <v>0</v>
      </c>
      <c r="T284" s="301">
        <f t="shared" si="114"/>
        <v>0</v>
      </c>
      <c r="U284" s="301">
        <f t="shared" si="114"/>
        <v>0</v>
      </c>
      <c r="V284" s="301">
        <f t="shared" si="114"/>
        <v>0</v>
      </c>
      <c r="W284" s="301">
        <f t="shared" si="114"/>
        <v>0</v>
      </c>
      <c r="X284" s="301">
        <f t="shared" si="114"/>
        <v>0</v>
      </c>
      <c r="Y284" s="301">
        <f t="shared" si="114"/>
        <v>0</v>
      </c>
      <c r="Z284" s="301">
        <f t="shared" si="114"/>
        <v>0</v>
      </c>
      <c r="AA284" s="301">
        <f t="shared" si="114"/>
        <v>0</v>
      </c>
      <c r="AB284" s="301">
        <f t="shared" si="114"/>
        <v>0</v>
      </c>
      <c r="AC284" s="82"/>
      <c r="AD284" s="625" t="str">
        <f>CONCATENATE(AC284,AC285,AC286,AC287,AC288,AC289,AC290,AC291)</f>
        <v/>
      </c>
      <c r="AE284" s="80"/>
      <c r="AF284" s="637" t="str">
        <f>CONCATENATE(AE284,AE285,AE286,AE287,AE288,AE289,AE290,AE291)</f>
        <v/>
      </c>
      <c r="AG284" s="404">
        <v>280</v>
      </c>
    </row>
    <row r="285" spans="1:34" ht="30.75" hidden="1" customHeight="1" x14ac:dyDescent="0.5">
      <c r="A285" s="651"/>
      <c r="B285" s="282" t="s">
        <v>1040</v>
      </c>
      <c r="C285" s="131" t="s">
        <v>619</v>
      </c>
      <c r="D285" s="164"/>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36">
        <f>SUM(D285:AA285)</f>
        <v>0</v>
      </c>
      <c r="AC285" s="82"/>
      <c r="AD285" s="623"/>
      <c r="AE285" s="80"/>
      <c r="AF285" s="627"/>
      <c r="AG285" s="404">
        <v>281</v>
      </c>
    </row>
    <row r="286" spans="1:34" x14ac:dyDescent="0.5">
      <c r="A286" s="651"/>
      <c r="B286" s="282" t="s">
        <v>600</v>
      </c>
      <c r="C286" s="131" t="s">
        <v>620</v>
      </c>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36">
        <f t="shared" ref="AB286:AB291" si="115">SUM(D286:AA286)</f>
        <v>0</v>
      </c>
      <c r="AC286" s="82"/>
      <c r="AD286" s="623"/>
      <c r="AE286" s="80"/>
      <c r="AF286" s="627"/>
      <c r="AG286" s="404">
        <v>282</v>
      </c>
    </row>
    <row r="287" spans="1:34" ht="32.25" x14ac:dyDescent="0.5">
      <c r="A287" s="651"/>
      <c r="B287" s="282" t="s">
        <v>870</v>
      </c>
      <c r="C287" s="131" t="s">
        <v>621</v>
      </c>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224">
        <f t="shared" si="115"/>
        <v>0</v>
      </c>
      <c r="AC287" s="82"/>
      <c r="AD287" s="623"/>
      <c r="AE287" s="80"/>
      <c r="AF287" s="627"/>
      <c r="AG287" s="404">
        <v>283</v>
      </c>
    </row>
    <row r="288" spans="1:34" ht="64.5" x14ac:dyDescent="0.5">
      <c r="A288" s="651"/>
      <c r="B288" s="282" t="s">
        <v>871</v>
      </c>
      <c r="C288" s="131" t="s">
        <v>622</v>
      </c>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224">
        <f t="shared" si="115"/>
        <v>0</v>
      </c>
      <c r="AC288" s="82"/>
      <c r="AD288" s="623"/>
      <c r="AE288" s="80"/>
      <c r="AF288" s="627"/>
      <c r="AG288" s="404">
        <v>284</v>
      </c>
    </row>
    <row r="289" spans="1:34" ht="32.25" x14ac:dyDescent="0.5">
      <c r="A289" s="651"/>
      <c r="B289" s="282" t="s">
        <v>872</v>
      </c>
      <c r="C289" s="131" t="s">
        <v>623</v>
      </c>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224">
        <f t="shared" si="115"/>
        <v>0</v>
      </c>
      <c r="AC289" s="82"/>
      <c r="AD289" s="623"/>
      <c r="AE289" s="80"/>
      <c r="AF289" s="627"/>
      <c r="AG289" s="404">
        <v>285</v>
      </c>
    </row>
    <row r="290" spans="1:34" ht="61.5" x14ac:dyDescent="0.5">
      <c r="A290" s="651"/>
      <c r="B290" s="282" t="s">
        <v>1046</v>
      </c>
      <c r="C290" s="131" t="s">
        <v>624</v>
      </c>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224">
        <f t="shared" si="115"/>
        <v>0</v>
      </c>
      <c r="AC290" s="82"/>
      <c r="AD290" s="623"/>
      <c r="AE290" s="80"/>
      <c r="AF290" s="627"/>
      <c r="AG290" s="404">
        <v>286</v>
      </c>
    </row>
    <row r="291" spans="1:34" ht="31.5" thickBot="1" x14ac:dyDescent="0.55000000000000004">
      <c r="A291" s="730"/>
      <c r="B291" s="289" t="s">
        <v>1045</v>
      </c>
      <c r="C291" s="133" t="s">
        <v>859</v>
      </c>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224">
        <f t="shared" si="115"/>
        <v>0</v>
      </c>
      <c r="AC291" s="178"/>
      <c r="AD291" s="779"/>
      <c r="AE291" s="94"/>
      <c r="AF291" s="638"/>
      <c r="AG291" s="404">
        <v>287</v>
      </c>
    </row>
    <row r="292" spans="1:34" ht="36" thickBot="1" x14ac:dyDescent="0.55000000000000004">
      <c r="A292" s="724" t="s">
        <v>133</v>
      </c>
      <c r="B292" s="711"/>
      <c r="C292" s="711"/>
      <c r="D292" s="711"/>
      <c r="E292" s="711"/>
      <c r="F292" s="711"/>
      <c r="G292" s="711"/>
      <c r="H292" s="711"/>
      <c r="I292" s="711"/>
      <c r="J292" s="711"/>
      <c r="K292" s="711"/>
      <c r="L292" s="711"/>
      <c r="M292" s="711"/>
      <c r="N292" s="711"/>
      <c r="O292" s="711"/>
      <c r="P292" s="711"/>
      <c r="Q292" s="711"/>
      <c r="R292" s="711"/>
      <c r="S292" s="711"/>
      <c r="T292" s="711"/>
      <c r="U292" s="711"/>
      <c r="V292" s="711"/>
      <c r="W292" s="711"/>
      <c r="X292" s="711"/>
      <c r="Y292" s="711"/>
      <c r="Z292" s="711"/>
      <c r="AA292" s="711"/>
      <c r="AB292" s="711"/>
      <c r="AC292" s="711"/>
      <c r="AD292" s="711"/>
      <c r="AE292" s="711"/>
      <c r="AF292" s="712"/>
      <c r="AG292" s="404">
        <v>288</v>
      </c>
    </row>
    <row r="293" spans="1:34" ht="26.25" customHeight="1" x14ac:dyDescent="0.5">
      <c r="A293" s="661" t="s">
        <v>37</v>
      </c>
      <c r="B293" s="687" t="s">
        <v>347</v>
      </c>
      <c r="C293" s="666" t="s">
        <v>328</v>
      </c>
      <c r="D293" s="703" t="s">
        <v>0</v>
      </c>
      <c r="E293" s="703"/>
      <c r="F293" s="703" t="s">
        <v>1</v>
      </c>
      <c r="G293" s="703"/>
      <c r="H293" s="703" t="s">
        <v>2</v>
      </c>
      <c r="I293" s="703"/>
      <c r="J293" s="703" t="s">
        <v>3</v>
      </c>
      <c r="K293" s="703"/>
      <c r="L293" s="703" t="s">
        <v>4</v>
      </c>
      <c r="M293" s="703"/>
      <c r="N293" s="703" t="s">
        <v>5</v>
      </c>
      <c r="O293" s="703"/>
      <c r="P293" s="703" t="s">
        <v>6</v>
      </c>
      <c r="Q293" s="703"/>
      <c r="R293" s="703" t="s">
        <v>7</v>
      </c>
      <c r="S293" s="703"/>
      <c r="T293" s="703" t="s">
        <v>8</v>
      </c>
      <c r="U293" s="703"/>
      <c r="V293" s="703" t="s">
        <v>23</v>
      </c>
      <c r="W293" s="703"/>
      <c r="X293" s="703" t="s">
        <v>24</v>
      </c>
      <c r="Y293" s="703"/>
      <c r="Z293" s="703" t="s">
        <v>9</v>
      </c>
      <c r="AA293" s="703"/>
      <c r="AB293" s="671" t="s">
        <v>19</v>
      </c>
      <c r="AC293" s="722" t="s">
        <v>381</v>
      </c>
      <c r="AD293" s="694" t="s">
        <v>387</v>
      </c>
      <c r="AE293" s="701" t="s">
        <v>388</v>
      </c>
      <c r="AF293" s="789" t="s">
        <v>388</v>
      </c>
      <c r="AG293" s="404">
        <v>289</v>
      </c>
    </row>
    <row r="294" spans="1:34" ht="27" customHeight="1" thickBot="1" x14ac:dyDescent="0.55000000000000004">
      <c r="A294" s="662"/>
      <c r="B294" s="713"/>
      <c r="C294" s="667"/>
      <c r="D294" s="29" t="s">
        <v>10</v>
      </c>
      <c r="E294" s="29" t="s">
        <v>11</v>
      </c>
      <c r="F294" s="29" t="s">
        <v>10</v>
      </c>
      <c r="G294" s="29" t="s">
        <v>11</v>
      </c>
      <c r="H294" s="29" t="s">
        <v>10</v>
      </c>
      <c r="I294" s="29" t="s">
        <v>11</v>
      </c>
      <c r="J294" s="29" t="s">
        <v>10</v>
      </c>
      <c r="K294" s="29" t="s">
        <v>11</v>
      </c>
      <c r="L294" s="29" t="s">
        <v>10</v>
      </c>
      <c r="M294" s="29" t="s">
        <v>11</v>
      </c>
      <c r="N294" s="29" t="s">
        <v>10</v>
      </c>
      <c r="O294" s="29" t="s">
        <v>11</v>
      </c>
      <c r="P294" s="29" t="s">
        <v>10</v>
      </c>
      <c r="Q294" s="29" t="s">
        <v>11</v>
      </c>
      <c r="R294" s="29" t="s">
        <v>10</v>
      </c>
      <c r="S294" s="29" t="s">
        <v>11</v>
      </c>
      <c r="T294" s="29" t="s">
        <v>10</v>
      </c>
      <c r="U294" s="29" t="s">
        <v>11</v>
      </c>
      <c r="V294" s="29" t="s">
        <v>10</v>
      </c>
      <c r="W294" s="29" t="s">
        <v>11</v>
      </c>
      <c r="X294" s="29" t="s">
        <v>10</v>
      </c>
      <c r="Y294" s="29" t="s">
        <v>11</v>
      </c>
      <c r="Z294" s="29" t="s">
        <v>10</v>
      </c>
      <c r="AA294" s="29" t="s">
        <v>11</v>
      </c>
      <c r="AB294" s="672"/>
      <c r="AC294" s="723"/>
      <c r="AD294" s="645"/>
      <c r="AE294" s="702"/>
      <c r="AF294" s="726"/>
      <c r="AG294" s="404">
        <v>290</v>
      </c>
    </row>
    <row r="295" spans="1:34" x14ac:dyDescent="0.5">
      <c r="A295" s="639" t="s">
        <v>390</v>
      </c>
      <c r="B295" s="264" t="s">
        <v>396</v>
      </c>
      <c r="C295" s="504" t="s">
        <v>397</v>
      </c>
      <c r="D295" s="170"/>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35">
        <f t="shared" ref="AB295:AB305" si="116">SUM(D295:AA295)</f>
        <v>0</v>
      </c>
      <c r="AC295" s="180"/>
      <c r="AD295" s="677" t="str">
        <f>CONCATENATE(AC301,AC304,AC306,AC307,AC308,AC309,AC310,AC311,AC312,AC313)</f>
        <v/>
      </c>
      <c r="AE295" s="83"/>
      <c r="AF295" s="683" t="str">
        <f>CONCATENATE(AE301,AE304,AE306,AE307,AE308,AE309,AE310,AE311,AE312,AE313)</f>
        <v/>
      </c>
      <c r="AG295" s="404">
        <v>291</v>
      </c>
    </row>
    <row r="296" spans="1:34" x14ac:dyDescent="0.5">
      <c r="A296" s="640"/>
      <c r="B296" s="256" t="s">
        <v>391</v>
      </c>
      <c r="C296" s="505" t="s">
        <v>398</v>
      </c>
      <c r="D296" s="171"/>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36">
        <f t="shared" si="116"/>
        <v>0</v>
      </c>
      <c r="AC296" s="180"/>
      <c r="AD296" s="678"/>
      <c r="AE296" s="83"/>
      <c r="AF296" s="684"/>
      <c r="AG296" s="404">
        <v>292</v>
      </c>
    </row>
    <row r="297" spans="1:34" x14ac:dyDescent="0.5">
      <c r="A297" s="640"/>
      <c r="B297" s="256" t="s">
        <v>392</v>
      </c>
      <c r="C297" s="505" t="s">
        <v>399</v>
      </c>
      <c r="D297" s="171"/>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36">
        <f t="shared" si="116"/>
        <v>0</v>
      </c>
      <c r="AC297" s="180"/>
      <c r="AD297" s="678"/>
      <c r="AE297" s="83"/>
      <c r="AF297" s="684"/>
      <c r="AG297" s="404">
        <v>293</v>
      </c>
    </row>
    <row r="298" spans="1:34" x14ac:dyDescent="0.5">
      <c r="A298" s="640"/>
      <c r="B298" s="256" t="s">
        <v>393</v>
      </c>
      <c r="C298" s="505" t="s">
        <v>400</v>
      </c>
      <c r="D298" s="171"/>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36">
        <f t="shared" si="116"/>
        <v>0</v>
      </c>
      <c r="AC298" s="180"/>
      <c r="AD298" s="678"/>
      <c r="AE298" s="83"/>
      <c r="AF298" s="684"/>
      <c r="AG298" s="404">
        <v>294</v>
      </c>
    </row>
    <row r="299" spans="1:34" x14ac:dyDescent="0.5">
      <c r="A299" s="640"/>
      <c r="B299" s="256" t="s">
        <v>394</v>
      </c>
      <c r="C299" s="505" t="s">
        <v>401</v>
      </c>
      <c r="D299" s="171"/>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36">
        <f t="shared" si="116"/>
        <v>0</v>
      </c>
      <c r="AC299" s="180"/>
      <c r="AD299" s="678"/>
      <c r="AE299" s="83"/>
      <c r="AF299" s="684"/>
      <c r="AG299" s="404">
        <v>295</v>
      </c>
    </row>
    <row r="300" spans="1:34" ht="31.5" thickBot="1" x14ac:dyDescent="0.55000000000000004">
      <c r="A300" s="663"/>
      <c r="B300" s="262" t="s">
        <v>395</v>
      </c>
      <c r="C300" s="506" t="s">
        <v>402</v>
      </c>
      <c r="D300" s="172"/>
      <c r="E300" s="74"/>
      <c r="F300" s="74"/>
      <c r="G300" s="74"/>
      <c r="H300" s="74"/>
      <c r="I300" s="74"/>
      <c r="J300" s="74"/>
      <c r="K300" s="74"/>
      <c r="L300" s="74"/>
      <c r="M300" s="74"/>
      <c r="N300" s="74"/>
      <c r="O300" s="74"/>
      <c r="P300" s="74"/>
      <c r="Q300" s="74"/>
      <c r="R300" s="74"/>
      <c r="S300" s="74"/>
      <c r="T300" s="74"/>
      <c r="U300" s="74"/>
      <c r="V300" s="74"/>
      <c r="W300" s="74"/>
      <c r="X300" s="74"/>
      <c r="Y300" s="74"/>
      <c r="Z300" s="74"/>
      <c r="AA300" s="74"/>
      <c r="AB300" s="39">
        <f t="shared" si="116"/>
        <v>0</v>
      </c>
      <c r="AC300" s="180"/>
      <c r="AD300" s="678"/>
      <c r="AE300" s="83"/>
      <c r="AF300" s="684"/>
      <c r="AG300" s="404">
        <v>296</v>
      </c>
    </row>
    <row r="301" spans="1:34" x14ac:dyDescent="0.5">
      <c r="A301" s="659" t="s">
        <v>27</v>
      </c>
      <c r="B301" s="264" t="s">
        <v>720</v>
      </c>
      <c r="C301" s="129" t="s">
        <v>305</v>
      </c>
      <c r="D301" s="163"/>
      <c r="E301" s="34"/>
      <c r="F301" s="34"/>
      <c r="G301" s="34"/>
      <c r="H301" s="34"/>
      <c r="I301" s="34"/>
      <c r="J301" s="34"/>
      <c r="K301" s="34"/>
      <c r="L301" s="34"/>
      <c r="M301" s="34"/>
      <c r="N301" s="34"/>
      <c r="O301" s="34"/>
      <c r="P301" s="34"/>
      <c r="Q301" s="34"/>
      <c r="R301" s="34"/>
      <c r="S301" s="34"/>
      <c r="T301" s="34"/>
      <c r="U301" s="34"/>
      <c r="V301" s="34"/>
      <c r="W301" s="34"/>
      <c r="X301" s="34"/>
      <c r="Y301" s="34"/>
      <c r="Z301" s="34"/>
      <c r="AA301" s="34"/>
      <c r="AB301" s="35">
        <f t="shared" si="116"/>
        <v>0</v>
      </c>
      <c r="AC301" s="82" t="str">
        <f>CONCATENATE(IF(D301&lt;SUM(D307,D308,D309,D310,D311,D312,D313)," * Total Died  for Age "&amp;D20&amp;" "&amp;D21&amp;" is less than sum of Total Causes of Death F08-05 to F08-11"&amp;CHAR(10),""),IF(E301&lt;SUM(E307,E308,E309,E310,E311,E312,E313)," * Total Died  for Age "&amp;D20&amp;" "&amp;E21&amp;" is less than sum of Total Causes of Death F08-05 to F08-11"&amp;CHAR(10),""),IF(F301&lt;SUM(F307,F308,F309,F310,F311,F312,F313)," * Total Died  for Age "&amp;F20&amp;" "&amp;F21&amp;" is less than sum of Total Causes of Death F08-05 to F08-11"&amp;CHAR(10),""),IF(G301&lt;SUM(G307,G308,G309,G310,G311,G312,G313)," * Total Died  for Age "&amp;F20&amp;" "&amp;G21&amp;" is less than sum of Total Causes of Death F08-05 to F08-11"&amp;CHAR(10),""),IF(H301&lt;SUM(H307,H308,H309,H310,H311,H312,H313)," * Total Died  for Age "&amp;H20&amp;" "&amp;H21&amp;" is less than sum of Total Causes of Death F08-05 to F08-11"&amp;CHAR(10),""),IF(I301&lt;SUM(I307,I308,I309,I310,I311,I312,I313)," * Total Died  for Age "&amp;H20&amp;" "&amp;I21&amp;" is less than sum of Total Causes of Death F08-05 to F08-11"&amp;CHAR(10),""),IF(J301&lt;SUM(J307,J308,J309,J310,J311,J312,J313)," * Total Died  for Age "&amp;J20&amp;" "&amp;J21&amp;" is less than sum of Total Causes of Death F08-05 to F08-11"&amp;CHAR(10),""),IF(K301&lt;SUM(K307,K308,K309,K310,K311,K312,K313)," * Total Died  for Age "&amp;J20&amp;" "&amp;K21&amp;" is less than sum of Total Causes of Death F08-05 to F08-11"&amp;CHAR(10),""),IF(L301&lt;SUM(L307,L308,L309,L310,L311,L312,L313)," * Total Died  for Age "&amp;L20&amp;" "&amp;L21&amp;" is less than sum of Total Causes of Death F08-05 to F08-11"&amp;CHAR(10),""),IF(M301&lt;SUM(M307,M308,M309,M310,M311,M312,M313)," * Total Died  for Age "&amp;L20&amp;" "&amp;M21&amp;" is less than sum of Total Causes of Death F08-05 to F08-11"&amp;CHAR(10),""),IF(N301&lt;SUM(N307,N308,N309,N310,N311,N312,N313)," * Total Died  for Age "&amp;N20&amp;" "&amp;N21&amp;" is less than sum of Total Causes of Death F08-05 to F08-11"&amp;CHAR(10),""),IF(O301&lt;SUM(O307,O308,O309,O310,O311,O312,O313)," * Total Died  for Age "&amp;N20&amp;" "&amp;O21&amp;" is less than sum of Total Causes of Death F08-05 to F08-11"&amp;CHAR(10),""),IF(P301&lt;SUM(P307,P308,P309,P310,P311,P312,P313)," * Total Died  for Age "&amp;P20&amp;" "&amp;P21&amp;" is less than sum of Total Causes of Death F08-05 to F08-11"&amp;CHAR(10),""),IF(Q301&lt;SUM(Q307,Q308,Q309,Q310,Q311,Q312,Q313)," * Total Died  for Age "&amp;P20&amp;" "&amp;Q21&amp;" is less than sum of Total Causes of Death F08-05 to F08-11"&amp;CHAR(10),""),IF(R301&lt;SUM(R307,R308,R309,R310,R311,R312,R313)," * Total Died  for Age "&amp;R20&amp;" "&amp;R21&amp;" is less than sum of Total Causes of Death F08-05 to F08-11"&amp;CHAR(10),""),IF(S301&lt;SUM(S307,S308,S309,S310,S311,S312,S313)," * Total Died  for Age "&amp;R20&amp;" "&amp;S21&amp;" is less than sum of Total Causes of Death F08-05 to F08-11"&amp;CHAR(10),""),IF(T301&lt;SUM(T307,T308,T309,T310,T311,T312,T313)," * Total Died  for Age "&amp;T20&amp;" "&amp;T21&amp;" is less than sum of Total Causes of Death F08-05 to F08-11"&amp;CHAR(10),""),IF(U301&lt;SUM(U307,U308,U309,U310,U311,U312,U313)," * Total Died  for Age "&amp;T20&amp;" "&amp;U21&amp;" is less than sum of Total Causes of Death F08-05 to F08-11"&amp;CHAR(10),""),IF(V301&lt;SUM(V307,V308,V309,V310,V311,V312,V313)," * Total Died  for Age "&amp;V20&amp;" "&amp;V21&amp;" is less than sum of Total Causes of Death F08-05 to F08-11"&amp;CHAR(10),""),IF(W301&lt;SUM(W307,W308,W309,W310,W311,W312,W313)," * Total Died  for Age "&amp;V20&amp;" "&amp;W21&amp;" is less than sum of Total Causes of Death F08-05 to F08-11"&amp;CHAR(10),""),IF(X301&lt;SUM(X307,X308,X309,X310,X311,X312,X313)," * Total Died  for Age "&amp;X20&amp;" "&amp;X21&amp;" is less than sum of Total Causes of Death F08-05 to F08-11"&amp;CHAR(10),""),IF(Y301&lt;SUM(Y307,Y308,Y309,Y310,Y311,Y312,Y313)," * Total Died  for Age "&amp;X20&amp;" "&amp;Y21&amp;" is less than sum of Total Causes of Death F08-05 to F08-11"&amp;CHAR(10),""),IF(Z301&lt;SUM(Z307,Z308,Z309,Z310,Z311,Z312,Z313)," * Total Died  for Age "&amp;Z20&amp;" "&amp;Z21&amp;" is less than sum of Total Causes of Death F08-05 to F08-11"&amp;CHAR(10),""),IF(AA301&lt;SUM(AA307,AA308,AA309,AA310,AA311,AA312,AA313)," * Total Died  for Age "&amp;Z20&amp;" "&amp;AA21&amp;" is less than sum of Total Causes of Death F08-05 to F08-11"&amp;CHAR(10),""))</f>
        <v/>
      </c>
      <c r="AD301" s="678"/>
      <c r="AE301" s="80"/>
      <c r="AF301" s="684"/>
      <c r="AG301" s="404">
        <v>297</v>
      </c>
    </row>
    <row r="302" spans="1:34" s="9" customFormat="1" ht="61.5" x14ac:dyDescent="0.5">
      <c r="A302" s="686"/>
      <c r="B302" s="256" t="s">
        <v>599</v>
      </c>
      <c r="C302" s="130" t="s">
        <v>450</v>
      </c>
      <c r="D302" s="164"/>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36">
        <f t="shared" si="116"/>
        <v>0</v>
      </c>
      <c r="AC302" s="82"/>
      <c r="AD302" s="678"/>
      <c r="AE302" s="81"/>
      <c r="AF302" s="684"/>
      <c r="AG302" s="404">
        <v>298</v>
      </c>
      <c r="AH302" s="311"/>
    </row>
    <row r="303" spans="1:34" ht="61.5" x14ac:dyDescent="0.5">
      <c r="A303" s="686"/>
      <c r="B303" s="256" t="s">
        <v>454</v>
      </c>
      <c r="C303" s="131" t="s">
        <v>451</v>
      </c>
      <c r="D303" s="164"/>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36">
        <f t="shared" si="116"/>
        <v>0</v>
      </c>
      <c r="AC303" s="82"/>
      <c r="AD303" s="678"/>
      <c r="AE303" s="80"/>
      <c r="AF303" s="684"/>
      <c r="AG303" s="404">
        <v>299</v>
      </c>
    </row>
    <row r="304" spans="1:34" x14ac:dyDescent="0.5">
      <c r="A304" s="686"/>
      <c r="B304" s="256" t="s">
        <v>721</v>
      </c>
      <c r="C304" s="131" t="s">
        <v>452</v>
      </c>
      <c r="D304" s="164"/>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36">
        <f t="shared" si="116"/>
        <v>0</v>
      </c>
      <c r="AC304" s="82"/>
      <c r="AD304" s="678"/>
      <c r="AE304" s="80"/>
      <c r="AF304" s="684"/>
      <c r="AG304" s="404">
        <v>300</v>
      </c>
    </row>
    <row r="305" spans="1:34" x14ac:dyDescent="0.5">
      <c r="A305" s="686"/>
      <c r="B305" s="256" t="s">
        <v>449</v>
      </c>
      <c r="C305" s="131" t="s">
        <v>453</v>
      </c>
      <c r="D305" s="164"/>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36">
        <f t="shared" si="116"/>
        <v>0</v>
      </c>
      <c r="AC305" s="82"/>
      <c r="AD305" s="678"/>
      <c r="AE305" s="80"/>
      <c r="AF305" s="684"/>
      <c r="AG305" s="404">
        <v>301</v>
      </c>
    </row>
    <row r="306" spans="1:34" ht="33" thickBot="1" x14ac:dyDescent="0.55000000000000004">
      <c r="A306" s="660"/>
      <c r="B306" s="302" t="s">
        <v>461</v>
      </c>
      <c r="C306" s="174" t="s">
        <v>307</v>
      </c>
      <c r="D306" s="173">
        <f>SUM(D301:D305)</f>
        <v>0</v>
      </c>
      <c r="E306" s="75">
        <f t="shared" ref="E306:AB306" si="117">SUM(E301:E305)</f>
        <v>0</v>
      </c>
      <c r="F306" s="75">
        <f t="shared" si="117"/>
        <v>0</v>
      </c>
      <c r="G306" s="75">
        <f t="shared" si="117"/>
        <v>0</v>
      </c>
      <c r="H306" s="75">
        <f t="shared" si="117"/>
        <v>0</v>
      </c>
      <c r="I306" s="75">
        <f t="shared" si="117"/>
        <v>0</v>
      </c>
      <c r="J306" s="75">
        <f t="shared" si="117"/>
        <v>0</v>
      </c>
      <c r="K306" s="75">
        <f t="shared" si="117"/>
        <v>0</v>
      </c>
      <c r="L306" s="75">
        <f t="shared" si="117"/>
        <v>0</v>
      </c>
      <c r="M306" s="75">
        <f t="shared" si="117"/>
        <v>0</v>
      </c>
      <c r="N306" s="75">
        <f t="shared" si="117"/>
        <v>0</v>
      </c>
      <c r="O306" s="75">
        <f t="shared" si="117"/>
        <v>0</v>
      </c>
      <c r="P306" s="75">
        <f t="shared" si="117"/>
        <v>0</v>
      </c>
      <c r="Q306" s="75">
        <f t="shared" si="117"/>
        <v>0</v>
      </c>
      <c r="R306" s="75">
        <f t="shared" si="117"/>
        <v>0</v>
      </c>
      <c r="S306" s="75">
        <f t="shared" si="117"/>
        <v>0</v>
      </c>
      <c r="T306" s="75">
        <f t="shared" si="117"/>
        <v>0</v>
      </c>
      <c r="U306" s="75">
        <f t="shared" si="117"/>
        <v>0</v>
      </c>
      <c r="V306" s="75">
        <f t="shared" si="117"/>
        <v>0</v>
      </c>
      <c r="W306" s="75">
        <f t="shared" si="117"/>
        <v>0</v>
      </c>
      <c r="X306" s="75">
        <f t="shared" si="117"/>
        <v>0</v>
      </c>
      <c r="Y306" s="75">
        <f t="shared" si="117"/>
        <v>0</v>
      </c>
      <c r="Z306" s="75">
        <f t="shared" si="117"/>
        <v>0</v>
      </c>
      <c r="AA306" s="75">
        <f t="shared" si="117"/>
        <v>0</v>
      </c>
      <c r="AB306" s="76">
        <f t="shared" si="117"/>
        <v>0</v>
      </c>
      <c r="AC306" s="82"/>
      <c r="AD306" s="678"/>
      <c r="AE306" s="80"/>
      <c r="AF306" s="684"/>
      <c r="AG306" s="404">
        <v>302</v>
      </c>
    </row>
    <row r="307" spans="1:34" x14ac:dyDescent="0.5">
      <c r="A307" s="659" t="s">
        <v>1027</v>
      </c>
      <c r="B307" s="264" t="s">
        <v>317</v>
      </c>
      <c r="C307" s="129" t="s">
        <v>308</v>
      </c>
      <c r="D307" s="163"/>
      <c r="E307" s="34"/>
      <c r="F307" s="34"/>
      <c r="G307" s="34"/>
      <c r="H307" s="34"/>
      <c r="I307" s="34"/>
      <c r="J307" s="34"/>
      <c r="K307" s="34"/>
      <c r="L307" s="34"/>
      <c r="M307" s="34"/>
      <c r="N307" s="34"/>
      <c r="O307" s="34"/>
      <c r="P307" s="34"/>
      <c r="Q307" s="34"/>
      <c r="R307" s="34"/>
      <c r="S307" s="34"/>
      <c r="T307" s="34"/>
      <c r="U307" s="34"/>
      <c r="V307" s="34"/>
      <c r="W307" s="34"/>
      <c r="X307" s="34"/>
      <c r="Y307" s="34"/>
      <c r="Z307" s="34"/>
      <c r="AA307" s="34"/>
      <c r="AB307" s="35">
        <f t="shared" ref="AB307:AB313" si="118">SUM(D307:AA307)</f>
        <v>0</v>
      </c>
      <c r="AC307" s="82"/>
      <c r="AD307" s="678"/>
      <c r="AE307" s="80"/>
      <c r="AF307" s="684"/>
      <c r="AG307" s="404">
        <v>303</v>
      </c>
    </row>
    <row r="308" spans="1:34" x14ac:dyDescent="0.5">
      <c r="A308" s="686"/>
      <c r="B308" s="256" t="s">
        <v>553</v>
      </c>
      <c r="C308" s="131" t="s">
        <v>309</v>
      </c>
      <c r="D308" s="164"/>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36">
        <f t="shared" si="118"/>
        <v>0</v>
      </c>
      <c r="AC308" s="82"/>
      <c r="AD308" s="678"/>
      <c r="AE308" s="80"/>
      <c r="AF308" s="684"/>
      <c r="AG308" s="404">
        <v>304</v>
      </c>
    </row>
    <row r="309" spans="1:34" x14ac:dyDescent="0.5">
      <c r="A309" s="686"/>
      <c r="B309" s="256" t="s">
        <v>722</v>
      </c>
      <c r="C309" s="131" t="s">
        <v>310</v>
      </c>
      <c r="D309" s="164"/>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36">
        <f t="shared" si="118"/>
        <v>0</v>
      </c>
      <c r="AC309" s="82"/>
      <c r="AD309" s="678"/>
      <c r="AE309" s="80"/>
      <c r="AF309" s="684"/>
      <c r="AG309" s="404">
        <v>305</v>
      </c>
    </row>
    <row r="310" spans="1:34" s="9" customFormat="1" ht="61.5" x14ac:dyDescent="0.5">
      <c r="A310" s="686"/>
      <c r="B310" s="256" t="s">
        <v>318</v>
      </c>
      <c r="C310" s="130" t="s">
        <v>311</v>
      </c>
      <c r="D310" s="164"/>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36">
        <f t="shared" si="118"/>
        <v>0</v>
      </c>
      <c r="AC310" s="82"/>
      <c r="AD310" s="678"/>
      <c r="AE310" s="81"/>
      <c r="AF310" s="684"/>
      <c r="AG310" s="404">
        <v>306</v>
      </c>
      <c r="AH310" s="311"/>
    </row>
    <row r="311" spans="1:34" x14ac:dyDescent="0.5">
      <c r="A311" s="686"/>
      <c r="B311" s="256" t="s">
        <v>554</v>
      </c>
      <c r="C311" s="131" t="s">
        <v>312</v>
      </c>
      <c r="D311" s="164"/>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36">
        <f t="shared" si="118"/>
        <v>0</v>
      </c>
      <c r="AC311" s="82"/>
      <c r="AD311" s="678"/>
      <c r="AE311" s="80"/>
      <c r="AF311" s="684"/>
      <c r="AG311" s="404">
        <v>307</v>
      </c>
    </row>
    <row r="312" spans="1:34" x14ac:dyDescent="0.5">
      <c r="A312" s="686"/>
      <c r="B312" s="256" t="s">
        <v>319</v>
      </c>
      <c r="C312" s="131" t="s">
        <v>313</v>
      </c>
      <c r="D312" s="164"/>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36">
        <f t="shared" si="118"/>
        <v>0</v>
      </c>
      <c r="AC312" s="82"/>
      <c r="AD312" s="678"/>
      <c r="AE312" s="80"/>
      <c r="AF312" s="684"/>
      <c r="AG312" s="404">
        <v>308</v>
      </c>
    </row>
    <row r="313" spans="1:34" ht="31.5" thickBot="1" x14ac:dyDescent="0.55000000000000004">
      <c r="A313" s="660"/>
      <c r="B313" s="262" t="s">
        <v>320</v>
      </c>
      <c r="C313" s="133" t="s">
        <v>314</v>
      </c>
      <c r="D313" s="146"/>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9">
        <f t="shared" si="118"/>
        <v>0</v>
      </c>
      <c r="AC313" s="82"/>
      <c r="AD313" s="679"/>
      <c r="AE313" s="80"/>
      <c r="AF313" s="685"/>
      <c r="AG313" s="404">
        <v>309</v>
      </c>
    </row>
    <row r="314" spans="1:34" ht="36" thickBot="1" x14ac:dyDescent="0.55000000000000004">
      <c r="A314" s="567" t="s">
        <v>581</v>
      </c>
      <c r="B314" s="567"/>
      <c r="C314" s="567"/>
      <c r="D314" s="567"/>
      <c r="E314" s="567"/>
      <c r="F314" s="567"/>
      <c r="G314" s="567"/>
      <c r="H314" s="567"/>
      <c r="I314" s="567"/>
      <c r="J314" s="567"/>
      <c r="K314" s="567"/>
      <c r="L314" s="567"/>
      <c r="M314" s="567"/>
      <c r="N314" s="567"/>
      <c r="O314" s="567"/>
      <c r="P314" s="567"/>
      <c r="Q314" s="567"/>
      <c r="R314" s="567"/>
      <c r="S314" s="567"/>
      <c r="T314" s="567"/>
      <c r="U314" s="567"/>
      <c r="V314" s="567"/>
      <c r="W314" s="567"/>
      <c r="X314" s="567"/>
      <c r="Y314" s="567"/>
      <c r="Z314" s="567"/>
      <c r="AA314" s="567"/>
      <c r="AB314" s="567"/>
      <c r="AC314" s="568"/>
      <c r="AD314" s="567"/>
      <c r="AE314" s="568"/>
      <c r="AF314" s="570"/>
      <c r="AG314" s="404">
        <v>310</v>
      </c>
    </row>
    <row r="315" spans="1:34" ht="30.75" customHeight="1" x14ac:dyDescent="0.5">
      <c r="A315" s="790" t="s">
        <v>525</v>
      </c>
      <c r="B315" s="264" t="s">
        <v>526</v>
      </c>
      <c r="C315" s="263" t="s">
        <v>529</v>
      </c>
      <c r="D315" s="222"/>
      <c r="E315" s="222"/>
      <c r="F315" s="34"/>
      <c r="G315" s="34"/>
      <c r="H315" s="34"/>
      <c r="I315" s="34"/>
      <c r="J315" s="34"/>
      <c r="K315" s="34"/>
      <c r="L315" s="34"/>
      <c r="M315" s="34"/>
      <c r="N315" s="34"/>
      <c r="O315" s="34"/>
      <c r="P315" s="34"/>
      <c r="Q315" s="34"/>
      <c r="R315" s="34"/>
      <c r="S315" s="34"/>
      <c r="T315" s="34"/>
      <c r="U315" s="34"/>
      <c r="V315" s="34"/>
      <c r="W315" s="34"/>
      <c r="X315" s="34"/>
      <c r="Y315" s="34"/>
      <c r="Z315" s="34"/>
      <c r="AA315" s="34"/>
      <c r="AB315" s="35">
        <f t="shared" ref="AB315" si="119">SUM(D315:AA315)</f>
        <v>0</v>
      </c>
      <c r="AC315" s="79" t="str">
        <f>CONCATENATE(IF(D316&gt;D315," * TB Cases with Known HIV Positive status "&amp;$D$20&amp;" "&amp;$D$21&amp;" is more than Total TB Cases New and relapsed"&amp;CHAR(10),""),IF(E316&gt;E315," * TB Cases with Known HIV Positive status "&amp;$D$20&amp;" "&amp;$E$21&amp;" is more than Total TB Cases New and relapsed"&amp;CHAR(10),""),IF(F316&gt;F315," * TB Cases with Known HIV Positive status "&amp;$F$20&amp;" "&amp;$F$21&amp;" is more than Total TB Cases New and relapsed"&amp;CHAR(10),""),IF(G316&gt;G315," * TB Cases with Known HIV Positive status "&amp;$F$20&amp;" "&amp;$G$21&amp;" is more than Total TB Cases New and relapsed"&amp;CHAR(10),""),IF(H316&gt;H315," * TB Cases with Known HIV Positive status "&amp;$H$20&amp;" "&amp;$H$21&amp;" is more than Total TB Cases New and relapsed"&amp;CHAR(10),""),IF(I316&gt;I315," * TB Cases with Known HIV Positive status "&amp;$H$20&amp;" "&amp;$I$21&amp;" is more than Total TB Cases New and relapsed"&amp;CHAR(10),""),IF(J316&gt;J315," * TB Cases with Known HIV Positive status "&amp;$J$20&amp;" "&amp;$J$21&amp;" is more than Total TB Cases New and relapsed"&amp;CHAR(10),""),IF(K316&gt;K315," * TB Cases with Known HIV Positive status "&amp;$J$20&amp;" "&amp;$K$21&amp;" is more than Total TB Cases New and relapsed"&amp;CHAR(10),""),IF(L316&gt;L315," * TB Cases with Known HIV Positive status "&amp;$L$20&amp;" "&amp;$L$21&amp;" is more than Total TB Cases New and relapsed"&amp;CHAR(10),""),IF(M316&gt;M315," * TB Cases with Known HIV Positive status "&amp;$L$20&amp;" "&amp;$M$21&amp;" is more than Total TB Cases New and relapsed"&amp;CHAR(10),""),IF(N316&gt;N315," * TB Cases with Known HIV Positive status "&amp;$N$20&amp;" "&amp;$N$21&amp;" is more than Total TB Cases New and relapsed"&amp;CHAR(10),""),IF(O316&gt;O315," * TB Cases with Known HIV Positive status "&amp;$N$20&amp;" "&amp;$O$21&amp;" is more than Total TB Cases New and relapsed"&amp;CHAR(10),""),IF(P316&gt;P315," * TB Cases with Known HIV Positive status "&amp;$P$20&amp;" "&amp;$P$21&amp;" is more than Total TB Cases New and relapsed"&amp;CHAR(10),""),IF(Q316&gt;Q315," * TB Cases with Known HIV Positive status "&amp;$P$20&amp;" "&amp;$Q$21&amp;" is more than Total TB Cases New and relapsed"&amp;CHAR(10),""),IF(R316&gt;R315," * TB Cases with Known HIV Positive status "&amp;$R$20&amp;" "&amp;$R$21&amp;" is more than Total TB Cases New and relapsed"&amp;CHAR(10),""),IF(S316&gt;S315," * TB Cases with Known HIV Positive status "&amp;$R$20&amp;" "&amp;$S$21&amp;" is more than Total TB Cases New and relapsed"&amp;CHAR(10),""),IF(T316&gt;T315," * TB Cases with Known HIV Positive status "&amp;$T$20&amp;" "&amp;$T$21&amp;" is more than Total TB Cases New and relapsed"&amp;CHAR(10),""),IF(U316&gt;U315," * TB Cases with Known HIV Positive status "&amp;$T$20&amp;" "&amp;$U$21&amp;" is more than Total TB Cases New and relapsed"&amp;CHAR(10),""),IF(V316&gt;V315," * TB Cases with Known HIV Positive status "&amp;$V$20&amp;" "&amp;$V$21&amp;" is more than Total TB Cases New and relapsed"&amp;CHAR(10),""),IF(W316&gt;W315," * TB Cases with Known HIV Positive status "&amp;$V$20&amp;" "&amp;$W$21&amp;" is more than Total TB Cases New and relapsed"&amp;CHAR(10),""),IF(X316&gt;X315," * TB Cases with Known HIV Positive status "&amp;$X$20&amp;" "&amp;$X$21&amp;" is more than Total TB Cases New and relapsed"&amp;CHAR(10),""),IF(Y316&gt;Y315," * TB Cases with Known HIV Positive status "&amp;$X$20&amp;" "&amp;$Y$21&amp;" is more than Total TB Cases New and relapsed"&amp;CHAR(10),""),IF(Z316&gt;Z315," * TB Cases with Known HIV Positive status "&amp;$Z$20&amp;" "&amp;$Z$21&amp;" is more than Total TB Cases New and relapsed"&amp;CHAR(10),""),IF(AA316&gt;AA315," * TB Cases with Known HIV Positive status "&amp;$Z$20&amp;" "&amp;$AA$21&amp;" is more than Total TB Cases New and relapsed"&amp;CHAR(10),""))</f>
        <v/>
      </c>
      <c r="AD315" s="677" t="str">
        <f>CONCATENATE(AC315,AC316,AC318,AC319,AC320,AC321,AC322,AC323,AC324)</f>
        <v/>
      </c>
      <c r="AE315" s="80"/>
      <c r="AF315" s="680" t="str">
        <f>CONCATENATE(AE315,AE316,AE317,AE318,AE319,AE320,AE321,AE322,AE323,AE324)</f>
        <v/>
      </c>
      <c r="AG315" s="403">
        <v>311</v>
      </c>
    </row>
    <row r="316" spans="1:34" s="7" customFormat="1" ht="61.5" x14ac:dyDescent="0.5">
      <c r="A316" s="791"/>
      <c r="B316" s="277" t="s">
        <v>552</v>
      </c>
      <c r="C316" s="131" t="s">
        <v>539</v>
      </c>
      <c r="D316" s="215"/>
      <c r="E316" s="215"/>
      <c r="F316" s="24"/>
      <c r="G316" s="215"/>
      <c r="H316" s="215"/>
      <c r="I316" s="215"/>
      <c r="J316" s="215"/>
      <c r="K316" s="215"/>
      <c r="L316" s="215"/>
      <c r="M316" s="215"/>
      <c r="N316" s="215"/>
      <c r="O316" s="215"/>
      <c r="P316" s="215"/>
      <c r="Q316" s="215"/>
      <c r="R316" s="215"/>
      <c r="S316" s="215"/>
      <c r="T316" s="215"/>
      <c r="U316" s="215"/>
      <c r="V316" s="215"/>
      <c r="W316" s="215"/>
      <c r="X316" s="215"/>
      <c r="Y316" s="215"/>
      <c r="Z316" s="215"/>
      <c r="AA316" s="215"/>
      <c r="AB316" s="36">
        <f t="shared" ref="AB316:AB324" si="120">SUM(D316:AA316)</f>
        <v>0</v>
      </c>
      <c r="AC316" s="91"/>
      <c r="AD316" s="678"/>
      <c r="AE316" s="80"/>
      <c r="AF316" s="681"/>
      <c r="AG316" s="403">
        <v>312</v>
      </c>
      <c r="AH316" s="310"/>
    </row>
    <row r="317" spans="1:34" s="7" customFormat="1" ht="32.25" x14ac:dyDescent="0.5">
      <c r="A317" s="791"/>
      <c r="B317" s="410" t="s">
        <v>527</v>
      </c>
      <c r="C317" s="131" t="s">
        <v>540</v>
      </c>
      <c r="D317" s="176"/>
      <c r="E317" s="22"/>
      <c r="F317" s="28">
        <f t="shared" ref="F317:AA317" si="121">F315-F316</f>
        <v>0</v>
      </c>
      <c r="G317" s="28">
        <f t="shared" si="121"/>
        <v>0</v>
      </c>
      <c r="H317" s="28">
        <f t="shared" si="121"/>
        <v>0</v>
      </c>
      <c r="I317" s="28">
        <f t="shared" si="121"/>
        <v>0</v>
      </c>
      <c r="J317" s="28">
        <f t="shared" si="121"/>
        <v>0</v>
      </c>
      <c r="K317" s="28">
        <f t="shared" si="121"/>
        <v>0</v>
      </c>
      <c r="L317" s="28">
        <f t="shared" si="121"/>
        <v>0</v>
      </c>
      <c r="M317" s="28">
        <f t="shared" si="121"/>
        <v>0</v>
      </c>
      <c r="N317" s="28">
        <f t="shared" si="121"/>
        <v>0</v>
      </c>
      <c r="O317" s="28">
        <f t="shared" si="121"/>
        <v>0</v>
      </c>
      <c r="P317" s="28">
        <f t="shared" si="121"/>
        <v>0</v>
      </c>
      <c r="Q317" s="28">
        <f t="shared" si="121"/>
        <v>0</v>
      </c>
      <c r="R317" s="28">
        <f t="shared" si="121"/>
        <v>0</v>
      </c>
      <c r="S317" s="28">
        <f t="shared" si="121"/>
        <v>0</v>
      </c>
      <c r="T317" s="28">
        <f t="shared" si="121"/>
        <v>0</v>
      </c>
      <c r="U317" s="28">
        <f t="shared" si="121"/>
        <v>0</v>
      </c>
      <c r="V317" s="28">
        <f t="shared" si="121"/>
        <v>0</v>
      </c>
      <c r="W317" s="28">
        <f t="shared" si="121"/>
        <v>0</v>
      </c>
      <c r="X317" s="28">
        <f t="shared" si="121"/>
        <v>0</v>
      </c>
      <c r="Y317" s="28">
        <f t="shared" si="121"/>
        <v>0</v>
      </c>
      <c r="Z317" s="28">
        <f t="shared" si="121"/>
        <v>0</v>
      </c>
      <c r="AA317" s="28">
        <f t="shared" si="121"/>
        <v>0</v>
      </c>
      <c r="AB317" s="36">
        <f t="shared" si="120"/>
        <v>0</v>
      </c>
      <c r="AC317" s="91"/>
      <c r="AD317" s="678"/>
      <c r="AE317" s="80" t="str">
        <f>CONCATENATE(IF(D317&gt;D318," * TB Cases newly tested for HIV "&amp;$D$20&amp;" "&amp;$D$21&amp;" is less than TB Cases eligible for Testing"&amp;CHAR(10),""),IF(E317&gt;E318," * TB Cases newly tested for HIV "&amp;$D$20&amp;" "&amp;$E$21&amp;" is less than TB Cases eligible for Testing"&amp;CHAR(10),""),IF(F317&gt;F318," * TB Cases newly tested for HIV "&amp;$F$20&amp;" "&amp;$F$21&amp;" is less than TB Cases eligible for Testing"&amp;CHAR(10),""),IF(G317&gt;G318," * TB Cases newly tested for HIV "&amp;$F$20&amp;" "&amp;$G$21&amp;" is less than TB Cases eligible for Testing"&amp;CHAR(10),""),IF(H317&gt;H318," * TB Cases newly tested for HIV "&amp;$H$20&amp;" "&amp;$H$21&amp;" is less than TB Cases eligible for Testing"&amp;CHAR(10),""),IF(I317&gt;I318," * TB Cases newly tested for HIV "&amp;$H$20&amp;" "&amp;$I$21&amp;" is less than TB Cases eligible for Testing"&amp;CHAR(10),""),IF(J317&gt;J318," * TB Cases newly tested for HIV "&amp;$J$20&amp;" "&amp;$J$21&amp;" is less than TB Cases eligible for Testing"&amp;CHAR(10),""),IF(K317&gt;K318," * TB Cases newly tested for HIV "&amp;$J$20&amp;" "&amp;$K$21&amp;" is less than TB Cases eligible for Testing"&amp;CHAR(10),""),IF(L317&gt;L318," * TB Cases newly tested for HIV "&amp;$L$20&amp;" "&amp;$L$21&amp;" is less than TB Cases eligible for Testing"&amp;CHAR(10),""),IF(M317&gt;M318," * TB Cases newly tested for HIV "&amp;$L$20&amp;" "&amp;$M$21&amp;" is less than TB Cases eligible for Testing"&amp;CHAR(10),""),IF(N317&gt;N318," * TB Cases newly tested for HIV "&amp;$N$20&amp;" "&amp;$N$21&amp;" is less than TB Cases eligible for Testing"&amp;CHAR(10),""),IF(O317&gt;O318," * TB Cases newly tested for HIV "&amp;$N$20&amp;" "&amp;$O$21&amp;" is less than TB Cases eligible for Testing"&amp;CHAR(10),""),IF(P317&gt;P318," * TB Cases newly tested for HIV "&amp;$P$20&amp;" "&amp;$P$21&amp;" is less than TB Cases eligible for Testing"&amp;CHAR(10),""),IF(Q317&gt;Q318," * TB Cases newly tested for HIV "&amp;$P$20&amp;" "&amp;$Q$21&amp;" is less than TB Cases eligible for Testing"&amp;CHAR(10),""),IF(R317&gt;R318," * TB Cases newly tested for HIV "&amp;$R$20&amp;" "&amp;$R$21&amp;" is less than TB Cases eligible for Testing"&amp;CHAR(10),""),IF(S317&gt;S318," * TB Cases newly tested for HIV "&amp;$R$20&amp;" "&amp;$S$21&amp;" is less than TB Cases eligible for Testing"&amp;CHAR(10),""),IF(T317&gt;T318," * TB Cases newly tested for HIV "&amp;$T$20&amp;" "&amp;$T$21&amp;" is less than TB Cases eligible for Testing"&amp;CHAR(10),""),IF(U317&gt;U318," * TB Cases newly tested for HIV "&amp;$T$20&amp;" "&amp;$U$21&amp;" is less than TB Cases eligible for Testing"&amp;CHAR(10),""),IF(V317&gt;V318," * TB Cases newly tested for HIV "&amp;$V$20&amp;" "&amp;$V$21&amp;" is less than TB Cases eligible for Testing"&amp;CHAR(10),""),IF(W317&gt;W318," * TB Cases newly tested for HIV "&amp;$V$20&amp;" "&amp;$W$21&amp;" is less than TB Cases eligible for Testing"&amp;CHAR(10),""),IF(X317&gt;X318," * TB Cases newly tested for HIV "&amp;$X$20&amp;" "&amp;$X$21&amp;" is less than TB Cases eligible for Testing"&amp;CHAR(10),""),IF(Y317&gt;Y318," * TB Cases newly tested for HIV "&amp;$X$20&amp;" "&amp;$Y$21&amp;" is less than TB Cases eligible for Testing"&amp;CHAR(10),""),IF(Z317&gt;Z318," * TB Cases newly tested for HIV "&amp;$Z$20&amp;" "&amp;$Z$21&amp;" is less than TB Cases eligible for Testing"&amp;CHAR(10),""),IF(AA317&gt;AA318," * TB Cases newly tested for HIV "&amp;$Z$20&amp;" "&amp;$AA$21&amp;" is less than TB Cases eligible for Testing"&amp;CHAR(10),""))</f>
        <v/>
      </c>
      <c r="AF317" s="681"/>
      <c r="AG317" s="403">
        <v>313</v>
      </c>
      <c r="AH317" s="310"/>
    </row>
    <row r="318" spans="1:34" s="15" customFormat="1" x14ac:dyDescent="0.5">
      <c r="A318" s="791"/>
      <c r="B318" s="277" t="s">
        <v>549</v>
      </c>
      <c r="C318" s="130" t="s">
        <v>541</v>
      </c>
      <c r="D318" s="176"/>
      <c r="E318" s="22"/>
      <c r="F318" s="23"/>
      <c r="G318" s="23"/>
      <c r="H318" s="23"/>
      <c r="I318" s="23"/>
      <c r="J318" s="23"/>
      <c r="K318" s="23"/>
      <c r="L318" s="23"/>
      <c r="M318" s="23"/>
      <c r="N318" s="23"/>
      <c r="O318" s="23"/>
      <c r="P318" s="23"/>
      <c r="Q318" s="23"/>
      <c r="R318" s="23"/>
      <c r="S318" s="23"/>
      <c r="T318" s="23"/>
      <c r="U318" s="23"/>
      <c r="V318" s="23"/>
      <c r="W318" s="23"/>
      <c r="X318" s="23"/>
      <c r="Y318" s="23"/>
      <c r="Z318" s="23"/>
      <c r="AA318" s="23"/>
      <c r="AB318" s="36">
        <f t="shared" si="120"/>
        <v>0</v>
      </c>
      <c r="AC318" s="79" t="str">
        <f>CONCATENATE(IF(D315&lt;D318," * TB Cases newly tested for HIV "&amp;$D$20&amp;" "&amp;$D$21&amp;" is more than Total TB Cases New and relapsed"&amp;CHAR(10),""),IF(E315&lt;E318," * TB Cases newly tested for HIV "&amp;$D$20&amp;" "&amp;$E$21&amp;" is more than Total TB Cases New and relapsed"&amp;CHAR(10),""),IF(F315&lt;F318," * TB Cases newly tested for HIV "&amp;$F$20&amp;" "&amp;$F$21&amp;" is more than Total TB Cases New and relapsed"&amp;CHAR(10),""),IF(G315&lt;G318," * TB Cases newly tested for HIV "&amp;$F$20&amp;" "&amp;$G$21&amp;" is more than Total TB Cases New and relapsed"&amp;CHAR(10),""),IF(H315&lt;H318," * TB Cases newly tested for HIV "&amp;$H$20&amp;" "&amp;$H$21&amp;" is more than Total TB Cases New and relapsed"&amp;CHAR(10),""),IF(I315&lt;I318," * TB Cases newly tested for HIV "&amp;$H$20&amp;" "&amp;$I$21&amp;" is more than Total TB Cases New and relapsed"&amp;CHAR(10),""),IF(J315&lt;J318," * TB Cases newly tested for HIV "&amp;$J$20&amp;" "&amp;$J$21&amp;" is more than Total TB Cases New and relapsed"&amp;CHAR(10),""),IF(K315&lt;K318," * TB Cases newly tested for HIV "&amp;$J$20&amp;" "&amp;$K$21&amp;" is more than Total TB Cases New and relapsed"&amp;CHAR(10),""),IF(L315&lt;L318," * TB Cases newly tested for HIV "&amp;$L$20&amp;" "&amp;$L$21&amp;" is more than Total TB Cases New and relapsed"&amp;CHAR(10),""),IF(M315&lt;M318," * TB Cases newly tested for HIV "&amp;$L$20&amp;" "&amp;$M$21&amp;" is more than Total TB Cases New and relapsed"&amp;CHAR(10),""),IF(N315&lt;N318," * TB Cases newly tested for HIV "&amp;$N$20&amp;" "&amp;$N$21&amp;" is more than Total TB Cases New and relapsed"&amp;CHAR(10),""),IF(O315&lt;O318," * TB Cases newly tested for HIV "&amp;$N$20&amp;" "&amp;$O$21&amp;" is more than Total TB Cases New and relapsed"&amp;CHAR(10),""),IF(P315&lt;P318," * TB Cases newly tested for HIV "&amp;$P$20&amp;" "&amp;$P$21&amp;" is more than Total TB Cases New and relapsed"&amp;CHAR(10),""),IF(Q315&lt;Q318," * TB Cases newly tested for HIV "&amp;$P$20&amp;" "&amp;$Q$21&amp;" is more than Total TB Cases New and relapsed"&amp;CHAR(10),""),IF(R315&lt;R318," * TB Cases newly tested for HIV "&amp;$R$20&amp;" "&amp;$R$21&amp;" is more than Total TB Cases New and relapsed"&amp;CHAR(10),""),IF(S315&lt;S318," * TB Cases newly tested for HIV "&amp;$R$20&amp;" "&amp;$S$21&amp;" is more than Total TB Cases New and relapsed"&amp;CHAR(10),""),IF(T315&lt;T318," * TB Cases newly tested for HIV "&amp;$T$20&amp;" "&amp;$T$21&amp;" is more than Total TB Cases New and relapsed"&amp;CHAR(10),""),IF(U315&lt;U318," * TB Cases newly tested for HIV "&amp;$T$20&amp;" "&amp;$U$21&amp;" is more than Total TB Cases New and relapsed"&amp;CHAR(10),""),IF(V315&lt;V318," * TB Cases newly tested for HIV "&amp;$V$20&amp;" "&amp;$V$21&amp;" is more than Total TB Cases New and relapsed"&amp;CHAR(10),""),IF(W315&lt;W318," * TB Cases newly tested for HIV "&amp;$V$20&amp;" "&amp;$W$21&amp;" is more than Total TB Cases New and relapsed"&amp;CHAR(10),""),IF(X315&lt;X318," * TB Cases newly tested for HIV "&amp;$X$20&amp;" "&amp;$X$21&amp;" is more than Total TB Cases New and relapsed"&amp;CHAR(10),""),IF(Y315&lt;Y318," * TB Cases newly tested for HIV "&amp;$X$20&amp;" "&amp;$Y$21&amp;" is more than Total TB Cases New and relapsed"&amp;CHAR(10),""),IF(Z315&lt;Z318," * TB Cases newly tested for HIV "&amp;$Z$20&amp;" "&amp;$Z$21&amp;" is more than Total TB Cases New and relapsed"&amp;CHAR(10),""),IF(AA315&lt;AA318," * TB Cases newly tested for HIV "&amp;$Z$20&amp;" "&amp;$AA$21&amp;" is more than Total TB Cases New and relapsed"&amp;CHAR(10),""))</f>
        <v/>
      </c>
      <c r="AD318" s="678"/>
      <c r="AE318" s="81"/>
      <c r="AF318" s="681"/>
      <c r="AG318" s="403">
        <v>314</v>
      </c>
      <c r="AH318" s="311"/>
    </row>
    <row r="319" spans="1:34" s="7" customFormat="1" ht="32.25" x14ac:dyDescent="0.5">
      <c r="A319" s="791"/>
      <c r="B319" s="410" t="s">
        <v>528</v>
      </c>
      <c r="C319" s="131" t="s">
        <v>542</v>
      </c>
      <c r="D319" s="176"/>
      <c r="E319" s="22"/>
      <c r="F319" s="28">
        <f t="shared" ref="F319:AA319" si="122">F318+F316</f>
        <v>0</v>
      </c>
      <c r="G319" s="217">
        <f t="shared" si="122"/>
        <v>0</v>
      </c>
      <c r="H319" s="217">
        <f t="shared" si="122"/>
        <v>0</v>
      </c>
      <c r="I319" s="217">
        <f t="shared" si="122"/>
        <v>0</v>
      </c>
      <c r="J319" s="217">
        <f t="shared" si="122"/>
        <v>0</v>
      </c>
      <c r="K319" s="217">
        <f t="shared" si="122"/>
        <v>0</v>
      </c>
      <c r="L319" s="217">
        <f t="shared" si="122"/>
        <v>0</v>
      </c>
      <c r="M319" s="217">
        <f t="shared" si="122"/>
        <v>0</v>
      </c>
      <c r="N319" s="217">
        <f t="shared" si="122"/>
        <v>0</v>
      </c>
      <c r="O319" s="217">
        <f t="shared" si="122"/>
        <v>0</v>
      </c>
      <c r="P319" s="217">
        <f t="shared" si="122"/>
        <v>0</v>
      </c>
      <c r="Q319" s="217">
        <f t="shared" si="122"/>
        <v>0</v>
      </c>
      <c r="R319" s="217">
        <f t="shared" si="122"/>
        <v>0</v>
      </c>
      <c r="S319" s="217">
        <f t="shared" si="122"/>
        <v>0</v>
      </c>
      <c r="T319" s="217">
        <f t="shared" si="122"/>
        <v>0</v>
      </c>
      <c r="U319" s="217">
        <f t="shared" si="122"/>
        <v>0</v>
      </c>
      <c r="V319" s="217">
        <f t="shared" si="122"/>
        <v>0</v>
      </c>
      <c r="W319" s="217">
        <f t="shared" si="122"/>
        <v>0</v>
      </c>
      <c r="X319" s="217">
        <f t="shared" si="122"/>
        <v>0</v>
      </c>
      <c r="Y319" s="217">
        <f t="shared" si="122"/>
        <v>0</v>
      </c>
      <c r="Z319" s="217">
        <f t="shared" si="122"/>
        <v>0</v>
      </c>
      <c r="AA319" s="217">
        <f t="shared" si="122"/>
        <v>0</v>
      </c>
      <c r="AB319" s="36">
        <f t="shared" si="120"/>
        <v>0</v>
      </c>
      <c r="AC319" s="79" t="str">
        <f>CONCATENATE(IF(D315&lt;D319," * TB cases with documented HIV status "&amp;$D$20&amp;" "&amp;$D$21&amp;" is more than Total TB Cases New and relapsed"&amp;CHAR(10),""),IF(E315&lt;E319," * TB cases with documented HIV status "&amp;$D$20&amp;" "&amp;$E$21&amp;" is more than Total TB Cases New and relapsed"&amp;CHAR(10),""),IF(F315&lt;F319," * TB cases with documented HIV status "&amp;$F$20&amp;" "&amp;$F$21&amp;" is more than Total TB Cases New and relapsed"&amp;CHAR(10),""),IF(G315&lt;G319," * TB cases with documented HIV status "&amp;$F$20&amp;" "&amp;$G$21&amp;" is more than Total TB Cases New and relapsed"&amp;CHAR(10),""),IF(H315&lt;H319," * TB cases with documented HIV status "&amp;$H$20&amp;" "&amp;$H$21&amp;" is more than Total TB Cases New and relapsed"&amp;CHAR(10),""),IF(I315&lt;I319," * TB cases with documented HIV status "&amp;$H$20&amp;" "&amp;$I$21&amp;" is more than Total TB Cases New and relapsed"&amp;CHAR(10),""),IF(J315&lt;J319," * TB cases with documented HIV status "&amp;$J$20&amp;" "&amp;$J$21&amp;" is more than Total TB Cases New and relapsed"&amp;CHAR(10),""),IF(K315&lt;K319," * TB cases with documented HIV status "&amp;$J$20&amp;" "&amp;$K$21&amp;" is more than Total TB Cases New and relapsed"&amp;CHAR(10),""),IF(L315&lt;L319," * TB cases with documented HIV status "&amp;$L$20&amp;" "&amp;$L$21&amp;" is more than Total TB Cases New and relapsed"&amp;CHAR(10),""),IF(M315&lt;M319," * TB cases with documented HIV status "&amp;$L$20&amp;" "&amp;$M$21&amp;" is more than Total TB Cases New and relapsed"&amp;CHAR(10),""),IF(N315&lt;N319," * TB cases with documented HIV status "&amp;$N$20&amp;" "&amp;$N$21&amp;" is more than Total TB Cases New and relapsed"&amp;CHAR(10),""),IF(O315&lt;O319," * TB cases with documented HIV status "&amp;$N$20&amp;" "&amp;$O$21&amp;" is more than Total TB Cases New and relapsed"&amp;CHAR(10),""),IF(P315&lt;P319," * TB cases with documented HIV status "&amp;$P$20&amp;" "&amp;$P$21&amp;" is more than Total TB Cases New and relapsed"&amp;CHAR(10),""),IF(Q315&lt;Q319," * TB cases with documented HIV status "&amp;$P$20&amp;" "&amp;$Q$21&amp;" is more than Total TB Cases New and relapsed"&amp;CHAR(10),""),IF(R315&lt;R319," * TB cases with documented HIV status "&amp;$R$20&amp;" "&amp;$R$21&amp;" is more than Total TB Cases New and relapsed"&amp;CHAR(10),""),IF(S315&lt;S319," * TB cases with documented HIV status "&amp;$R$20&amp;" "&amp;$S$21&amp;" is more than Total TB Cases New and relapsed"&amp;CHAR(10),""),IF(T315&lt;T319," * TB cases with documented HIV status "&amp;$T$20&amp;" "&amp;$T$21&amp;" is more than Total TB Cases New and relapsed"&amp;CHAR(10),""),IF(U315&lt;U319," * TB cases with documented HIV status "&amp;$T$20&amp;" "&amp;$U$21&amp;" is more than Total TB Cases New and relapsed"&amp;CHAR(10),""),IF(V315&lt;V319," * TB cases with documented HIV status "&amp;$V$20&amp;" "&amp;$V$21&amp;" is more than Total TB Cases New and relapsed"&amp;CHAR(10),""),IF(W315&lt;W319," * TB cases with documented HIV status "&amp;$V$20&amp;" "&amp;$W$21&amp;" is more than Total TB Cases New and relapsed"&amp;CHAR(10),""),IF(X315&lt;X319," * TB cases with documented HIV status "&amp;$X$20&amp;" "&amp;$X$21&amp;" is more than Total TB Cases New and relapsed"&amp;CHAR(10),""),IF(Y315&lt;Y319," * TB cases with documented HIV status "&amp;$X$20&amp;" "&amp;$Y$21&amp;" is more than Total TB Cases New and relapsed"&amp;CHAR(10),""),IF(Z315&lt;Z319," * TB cases with documented HIV status "&amp;$Z$20&amp;" "&amp;$Z$21&amp;" is more than Total TB Cases New and relapsed"&amp;CHAR(10),""),IF(AA315&lt;AA319," * TB cases with documented HIV status "&amp;$Z$20&amp;" "&amp;$AA$21&amp;" is more than Total TB Cases New and relapsed"&amp;CHAR(10),""))</f>
        <v/>
      </c>
      <c r="AD319" s="678"/>
      <c r="AE319" s="80"/>
      <c r="AF319" s="681"/>
      <c r="AG319" s="403">
        <v>315</v>
      </c>
      <c r="AH319" s="310"/>
    </row>
    <row r="320" spans="1:34" ht="61.5" x14ac:dyDescent="0.5">
      <c r="A320" s="791"/>
      <c r="B320" s="277" t="s">
        <v>551</v>
      </c>
      <c r="C320" s="131" t="s">
        <v>543</v>
      </c>
      <c r="D320" s="176"/>
      <c r="E320" s="22"/>
      <c r="F320" s="19"/>
      <c r="G320" s="19"/>
      <c r="H320" s="213"/>
      <c r="I320" s="213"/>
      <c r="J320" s="213"/>
      <c r="K320" s="213"/>
      <c r="L320" s="213"/>
      <c r="M320" s="213"/>
      <c r="N320" s="213"/>
      <c r="O320" s="213"/>
      <c r="P320" s="213"/>
      <c r="Q320" s="213"/>
      <c r="R320" s="213"/>
      <c r="S320" s="213"/>
      <c r="T320" s="213"/>
      <c r="U320" s="213"/>
      <c r="V320" s="213"/>
      <c r="W320" s="213"/>
      <c r="X320" s="213"/>
      <c r="Y320" s="213"/>
      <c r="Z320" s="213"/>
      <c r="AA320" s="213"/>
      <c r="AB320" s="36">
        <f t="shared" si="120"/>
        <v>0</v>
      </c>
      <c r="AC320" s="79" t="str">
        <f>CONCATENATE(IF(D318&lt;D320," * Newly Tested Positives "&amp;$D$20&amp;" "&amp;$D$21&amp;" is more than TB Cases newly tested for HIV"&amp;CHAR(10),""),IF(E318&lt;E320," * Newly Tested Positives "&amp;$D$20&amp;" "&amp;$E$21&amp;" is more than TB Cases newly tested for HIV"&amp;CHAR(10),""),IF(F318&lt;F320," * Newly Tested Positives "&amp;$F$20&amp;" "&amp;$F$21&amp;" is more than TB Cases newly tested for HIV"&amp;CHAR(10),""),IF(G318&lt;G320," * Newly Tested Positives "&amp;$F$20&amp;" "&amp;$G$21&amp;" is more than TB Cases newly tested for HIV"&amp;CHAR(10),""),IF(H318&lt;H320," * Newly Tested Positives "&amp;$H$20&amp;" "&amp;$H$21&amp;" is more than TB Cases newly tested for HIV"&amp;CHAR(10),""),IF(I318&lt;I320," * Newly Tested Positives "&amp;$H$20&amp;" "&amp;$I$21&amp;" is more than TB Cases newly tested for HIV"&amp;CHAR(10),""),IF(J318&lt;J320," * Newly Tested Positives "&amp;$J$20&amp;" "&amp;$J$21&amp;" is more than TB Cases newly tested for HIV"&amp;CHAR(10),""),IF(K318&lt;K320," * Newly Tested Positives "&amp;$J$20&amp;" "&amp;$K$21&amp;" is more than TB Cases newly tested for HIV"&amp;CHAR(10),""),IF(L318&lt;L320," * Newly Tested Positives "&amp;$L$20&amp;" "&amp;$L$21&amp;" is more than TB Cases newly tested for HIV"&amp;CHAR(10),""),IF(M318&lt;M320," * Newly Tested Positives "&amp;$L$20&amp;" "&amp;$M$21&amp;" is more than TB Cases newly tested for HIV"&amp;CHAR(10),""),IF(N318&lt;N320," * Newly Tested Positives "&amp;$N$20&amp;" "&amp;$N$21&amp;" is more than TB Cases newly tested for HIV"&amp;CHAR(10),""),IF(O318&lt;O320," * Newly Tested Positives "&amp;$N$20&amp;" "&amp;$O$21&amp;" is more than TB Cases newly tested for HIV"&amp;CHAR(10),""),IF(P318&lt;P320," * Newly Tested Positives "&amp;$P$20&amp;" "&amp;$P$21&amp;" is more than TB Cases newly tested for HIV"&amp;CHAR(10),""),IF(Q318&lt;Q320," * Newly Tested Positives "&amp;$P$20&amp;" "&amp;$Q$21&amp;" is more than TB Cases newly tested for HIV"&amp;CHAR(10),""),IF(R318&lt;R320," * Newly Tested Positives "&amp;$R$20&amp;" "&amp;$R$21&amp;" is more than TB Cases newly tested for HIV"&amp;CHAR(10),""),IF(S318&lt;S320," * Newly Tested Positives "&amp;$R$20&amp;" "&amp;$S$21&amp;" is more than TB Cases newly tested for HIV"&amp;CHAR(10),""),IF(T318&lt;T320," * Newly Tested Positives "&amp;$T$20&amp;" "&amp;$T$21&amp;" is more than TB Cases newly tested for HIV"&amp;CHAR(10),""),IF(U318&lt;U320," * Newly Tested Positives "&amp;$T$20&amp;" "&amp;$U$21&amp;" is more than TB Cases newly tested for HIV"&amp;CHAR(10),""),IF(V318&lt;V320," * Newly Tested Positives "&amp;$V$20&amp;" "&amp;$V$21&amp;" is more than TB Cases newly tested for HIV"&amp;CHAR(10),""),IF(W318&lt;W320," * Newly Tested Positives "&amp;$V$20&amp;" "&amp;$W$21&amp;" is more than TB Cases newly tested for HIV"&amp;CHAR(10),""),IF(X318&lt;X320," * Newly Tested Positives "&amp;$X$20&amp;" "&amp;$X$21&amp;" is more than TB Cases newly tested for HIV"&amp;CHAR(10),""),IF(Y318&lt;Y320," * Newly Tested Positives "&amp;$X$20&amp;" "&amp;$Y$21&amp;" is more than TB Cases newly tested for HIV"&amp;CHAR(10),""),IF(Z318&lt;Z320," * Newly Tested Positives "&amp;$Z$20&amp;" "&amp;$Z$21&amp;" is more than TB Cases newly tested for HIV"&amp;CHAR(10),""),IF(AA318&lt;AA320," * Newly Tested Positives "&amp;$Z$20&amp;" "&amp;$AA$21&amp;" is more than TB Cases newly tested for HIV"&amp;CHAR(10),""))</f>
        <v/>
      </c>
      <c r="AD320" s="678"/>
      <c r="AE320" s="80"/>
      <c r="AF320" s="681"/>
      <c r="AG320" s="403">
        <v>316</v>
      </c>
    </row>
    <row r="321" spans="1:34" ht="33" thickBot="1" x14ac:dyDescent="0.55000000000000004">
      <c r="A321" s="791"/>
      <c r="B321" s="411" t="s">
        <v>544</v>
      </c>
      <c r="C321" s="144" t="s">
        <v>545</v>
      </c>
      <c r="D321" s="177"/>
      <c r="E321" s="29"/>
      <c r="F321" s="87">
        <f t="shared" ref="F321:AA321" si="123">F320+F316</f>
        <v>0</v>
      </c>
      <c r="G321" s="87">
        <f t="shared" si="123"/>
        <v>0</v>
      </c>
      <c r="H321" s="87">
        <f t="shared" si="123"/>
        <v>0</v>
      </c>
      <c r="I321" s="87">
        <f t="shared" si="123"/>
        <v>0</v>
      </c>
      <c r="J321" s="87">
        <f t="shared" si="123"/>
        <v>0</v>
      </c>
      <c r="K321" s="87">
        <f t="shared" si="123"/>
        <v>0</v>
      </c>
      <c r="L321" s="87">
        <f t="shared" si="123"/>
        <v>0</v>
      </c>
      <c r="M321" s="87">
        <f t="shared" si="123"/>
        <v>0</v>
      </c>
      <c r="N321" s="87">
        <f t="shared" si="123"/>
        <v>0</v>
      </c>
      <c r="O321" s="87">
        <f t="shared" si="123"/>
        <v>0</v>
      </c>
      <c r="P321" s="87">
        <f t="shared" si="123"/>
        <v>0</v>
      </c>
      <c r="Q321" s="87">
        <f t="shared" si="123"/>
        <v>0</v>
      </c>
      <c r="R321" s="87">
        <f t="shared" si="123"/>
        <v>0</v>
      </c>
      <c r="S321" s="87">
        <f t="shared" si="123"/>
        <v>0</v>
      </c>
      <c r="T321" s="87">
        <f t="shared" si="123"/>
        <v>0</v>
      </c>
      <c r="U321" s="87">
        <f t="shared" si="123"/>
        <v>0</v>
      </c>
      <c r="V321" s="87">
        <f t="shared" si="123"/>
        <v>0</v>
      </c>
      <c r="W321" s="239">
        <f t="shared" si="123"/>
        <v>0</v>
      </c>
      <c r="X321" s="87">
        <f t="shared" si="123"/>
        <v>0</v>
      </c>
      <c r="Y321" s="87">
        <f t="shared" si="123"/>
        <v>0</v>
      </c>
      <c r="Z321" s="87">
        <f t="shared" si="123"/>
        <v>0</v>
      </c>
      <c r="AA321" s="87">
        <f t="shared" si="123"/>
        <v>0</v>
      </c>
      <c r="AB321" s="88">
        <f t="shared" si="120"/>
        <v>0</v>
      </c>
      <c r="AC321" s="82"/>
      <c r="AD321" s="678"/>
      <c r="AE321" s="80"/>
      <c r="AF321" s="681"/>
      <c r="AG321" s="403">
        <v>317</v>
      </c>
    </row>
    <row r="322" spans="1:34" ht="61.5" x14ac:dyDescent="0.5">
      <c r="A322" s="791"/>
      <c r="B322" s="303" t="s">
        <v>548</v>
      </c>
      <c r="C322" s="263" t="s">
        <v>546</v>
      </c>
      <c r="D322" s="175"/>
      <c r="E322" s="77"/>
      <c r="F322" s="34"/>
      <c r="G322" s="34"/>
      <c r="H322" s="34"/>
      <c r="I322" s="34"/>
      <c r="J322" s="34"/>
      <c r="K322" s="34"/>
      <c r="L322" s="34"/>
      <c r="M322" s="34"/>
      <c r="N322" s="34"/>
      <c r="O322" s="34"/>
      <c r="P322" s="34"/>
      <c r="Q322" s="34"/>
      <c r="R322" s="34"/>
      <c r="S322" s="34"/>
      <c r="T322" s="34"/>
      <c r="U322" s="34"/>
      <c r="V322" s="34"/>
      <c r="W322" s="34"/>
      <c r="X322" s="34"/>
      <c r="Y322" s="34"/>
      <c r="Z322" s="34"/>
      <c r="AA322" s="34"/>
      <c r="AB322" s="35">
        <f t="shared" si="120"/>
        <v>0</v>
      </c>
      <c r="AC322" s="79"/>
      <c r="AD322" s="678"/>
      <c r="AE322" s="79" t="str">
        <f>CONCATENATE(IF(D320&gt;D322," * Newly Tested Positives "&amp;$D$20&amp;" "&amp;$D$21&amp;" is more than Total Positive Clients newly started on ART"&amp;CHAR(10),""),IF(E320&gt;E322," * Newly Tested Positives "&amp;$D$20&amp;" "&amp;$E$21&amp;" is more than Total Positive Clients newly started on ART"&amp;CHAR(10),""),IF(F320&gt;F322," * Newly Tested Positives "&amp;$F$20&amp;" "&amp;$F$21&amp;" is more than Total Positive Clients newly started on ART"&amp;CHAR(10),""),IF(G320&gt;G322," * Newly Tested Positives "&amp;$F$20&amp;" "&amp;$G$21&amp;" is more than Total Positive Clients newly started on ART"&amp;CHAR(10),""),IF(H320&gt;H322," * Newly Tested Positives "&amp;$H$20&amp;" "&amp;$H$21&amp;" is more than Total Positive Clients newly started on ART"&amp;CHAR(10),""),IF(I320&gt;I322," * Newly Tested Positives "&amp;$H$20&amp;" "&amp;$I$21&amp;" is more than Total Positive Clients newly started on ART"&amp;CHAR(10),""),IF(J320&gt;J322," * Newly Tested Positives "&amp;$J$20&amp;" "&amp;$J$21&amp;" is more than Total Positive Clients newly started on ART"&amp;CHAR(10),""),IF(K320&gt;K322," * Newly Tested Positives "&amp;$J$20&amp;" "&amp;$K$21&amp;" is more than Total Positive Clients newly started on ART"&amp;CHAR(10),""),IF(L320&gt;L322," * Newly Tested Positives "&amp;$L$20&amp;" "&amp;$L$21&amp;" is more than Total Positive Clients newly started on ART"&amp;CHAR(10),""),IF(M320&gt;M322," * Newly Tested Positives "&amp;$L$20&amp;" "&amp;$M$21&amp;" is more than Total Positive Clients newly started on ART"&amp;CHAR(10),""),IF(N320&gt;N322," * Newly Tested Positives "&amp;$N$20&amp;" "&amp;$N$21&amp;" is more than Total Positive Clients newly started on ART"&amp;CHAR(10),""),IF(O320&gt;O322," * Newly Tested Positives "&amp;$N$20&amp;" "&amp;$O$21&amp;" is more than Total Positive Clients newly started on ART"&amp;CHAR(10),""),IF(P320&gt;P322," * Newly Tested Positives "&amp;$P$20&amp;" "&amp;$P$21&amp;" is more than Total Positive Clients newly started on ART"&amp;CHAR(10),""),IF(Q320&gt;Q322," * Newly Tested Positives "&amp;$P$20&amp;" "&amp;$Q$21&amp;" is more than Total Positive Clients newly started on ART"&amp;CHAR(10),""),IF(R320&gt;R322," * Newly Tested Positives "&amp;$R$20&amp;" "&amp;$R$21&amp;" is more than Total Positive Clients newly started on ART"&amp;CHAR(10),""),IF(S320&gt;S322," * Newly Tested Positives "&amp;$R$20&amp;" "&amp;$S$21&amp;" is more than Total Positive Clients newly started on ART"&amp;CHAR(10),""),IF(T320&gt;T322," * Newly Tested Positives "&amp;$T$20&amp;" "&amp;$T$21&amp;" is more than Total Positive Clients newly started on ART"&amp;CHAR(10),""),IF(U320&gt;U322," * Newly Tested Positives "&amp;$T$20&amp;" "&amp;$U$21&amp;" is more than Total Positive Clients newly started on ART"&amp;CHAR(10),""),IF(V320&gt;V322," * Newly Tested Positives "&amp;$V$20&amp;" "&amp;$V$21&amp;" is more than Total Positive Clients newly started on ART"&amp;CHAR(10),""),IF(W320&gt;W322," * Newly Tested Positives "&amp;$V$20&amp;" "&amp;$W$21&amp;" is more than Total Positive Clients newly started on ART"&amp;CHAR(10),""),IF(X320&gt;X322," * Newly Tested Positives "&amp;$X$20&amp;" "&amp;$X$21&amp;" is more than Total Positive Clients newly started on ART"&amp;CHAR(10),""),IF(Y320&gt;Y322," * Newly Tested Positives "&amp;$X$20&amp;" "&amp;$Y$21&amp;" is more than Total Positive Clients newly started on ART"&amp;CHAR(10),""),IF(Z320&gt;Z322," * Newly Tested Positives "&amp;$Z$20&amp;" "&amp;$Z$21&amp;" is more than Total Positive Clients newly started on ART"&amp;CHAR(10),""),IF(AA320&gt;AA322," * Newly Tested Positives "&amp;$Z$20&amp;" "&amp;$AA$21&amp;" is more than Total Positive Clients newly started on ART"&amp;CHAR(10),""))</f>
        <v/>
      </c>
      <c r="AF322" s="681"/>
      <c r="AG322" s="403">
        <v>318</v>
      </c>
    </row>
    <row r="323" spans="1:34" ht="61.5" x14ac:dyDescent="0.5">
      <c r="A323" s="791"/>
      <c r="B323" s="412" t="s">
        <v>550</v>
      </c>
      <c r="C323" s="131" t="s">
        <v>547</v>
      </c>
      <c r="D323" s="176"/>
      <c r="E323" s="22"/>
      <c r="F323" s="19"/>
      <c r="G323" s="213"/>
      <c r="H323" s="213"/>
      <c r="I323" s="213"/>
      <c r="J323" s="213"/>
      <c r="K323" s="213"/>
      <c r="L323" s="213"/>
      <c r="M323" s="213"/>
      <c r="N323" s="213"/>
      <c r="O323" s="213"/>
      <c r="P323" s="213"/>
      <c r="Q323" s="213"/>
      <c r="R323" s="213"/>
      <c r="S323" s="213"/>
      <c r="T323" s="213"/>
      <c r="U323" s="213"/>
      <c r="V323" s="213"/>
      <c r="W323" s="213"/>
      <c r="X323" s="213"/>
      <c r="Y323" s="213"/>
      <c r="Z323" s="213"/>
      <c r="AA323" s="213"/>
      <c r="AB323" s="36">
        <f t="shared" si="120"/>
        <v>0</v>
      </c>
      <c r="AC323" s="79" t="str">
        <f>CONCATENATE(IF(D316&lt;&gt;D323," * TB Cases Already on ART at entry in TB clinic "&amp;$D$20&amp;" "&amp;$D$21&amp;" is Not equal to  TB cases with known HIV +ve status"&amp;CHAR(10),""),IF(E316&lt;&gt;E323," * TB Cases Already on ART at entry in TB clinic "&amp;$D$20&amp;" "&amp;$E$21&amp;" is Not equal to  TB cases with known HIV +ve status"&amp;CHAR(10),""),IF(F316&lt;&gt;F323," * TB Cases Already on ART at entry in TB clinic "&amp;$F$20&amp;" "&amp;$F$21&amp;" is Not equal to  TB cases with known HIV +ve status"&amp;CHAR(10),""),IF(G316&lt;&gt;G323," * TB Cases Already on ART at entry in TB clinic "&amp;$F$20&amp;" "&amp;$G$21&amp;" is Not equal to  TB cases with known HIV +ve status"&amp;CHAR(10),""),IF(H316&lt;&gt;H323," * TB Cases Already on ART at entry in TB clinic "&amp;$H$20&amp;" "&amp;$H$21&amp;" is Not equal to  TB cases with known HIV +ve status"&amp;CHAR(10),""),IF(I316&lt;&gt;I323," * TB Cases Already on ART at entry in TB clinic "&amp;$H$20&amp;" "&amp;$I$21&amp;" is Not equal to  TB cases with known HIV +ve status"&amp;CHAR(10),""),IF(J316&lt;&gt;J323," * TB Cases Already on ART at entry in TB clinic "&amp;$J$20&amp;" "&amp;$J$21&amp;" is Not equal to  TB cases with known HIV +ve status"&amp;CHAR(10),""),IF(K316&lt;&gt;K323," * TB Cases Already on ART at entry in TB clinic "&amp;$J$20&amp;" "&amp;$K$21&amp;" is Not equal to  TB cases with known HIV +ve status"&amp;CHAR(10),""),IF(L316&lt;&gt;L323," * TB Cases Already on ART at entry in TB clinic "&amp;$L$20&amp;" "&amp;$L$21&amp;" is Not equal to  TB cases with known HIV +ve status"&amp;CHAR(10),""),IF(M316&lt;&gt;M323," * TB Cases Already on ART at entry in TB clinic "&amp;$L$20&amp;" "&amp;$M$21&amp;" is Not equal to  TB cases with known HIV +ve status"&amp;CHAR(10),""),IF(N316&lt;&gt;N323," * TB Cases Already on ART at entry in TB clinic "&amp;$N$20&amp;" "&amp;$N$21&amp;" is Not equal to  TB cases with known HIV +ve status"&amp;CHAR(10),""),IF(O316&lt;&gt;O323," * TB Cases Already on ART at entry in TB clinic "&amp;$N$20&amp;" "&amp;$O$21&amp;" is Not equal to  TB cases with known HIV +ve status"&amp;CHAR(10),""),IF(P316&lt;&gt;P323," * TB Cases Already on ART at entry in TB clinic "&amp;$P$20&amp;" "&amp;$P$21&amp;" is Not equal to  TB cases with known HIV +ve status"&amp;CHAR(10),""),IF(Q316&lt;&gt;Q323," * TB Cases Already on ART at entry in TB clinic "&amp;$P$20&amp;" "&amp;$Q$21&amp;" is Not equal to  TB cases with known HIV +ve status"&amp;CHAR(10),""),IF(R316&lt;&gt;R323," * TB Cases Already on ART at entry in TB clinic "&amp;$R$20&amp;" "&amp;$R$21&amp;" is Not equal to  TB cases with known HIV +ve status"&amp;CHAR(10),""),IF(S316&lt;&gt;S323," * TB Cases Already on ART at entry in TB clinic "&amp;$R$20&amp;" "&amp;$S$21&amp;" is Not equal to  TB cases with known HIV +ve status"&amp;CHAR(10),""),IF(T316&lt;&gt;T323," * TB Cases Already on ART at entry in TB clinic "&amp;$T$20&amp;" "&amp;$T$21&amp;" is Not equal to  TB cases with known HIV +ve status"&amp;CHAR(10),""),IF(U316&lt;&gt;U323," * TB Cases Already on ART at entry in TB clinic "&amp;$T$20&amp;" "&amp;$U$21&amp;" is Not equal to  TB cases with known HIV +ve status"&amp;CHAR(10),""),IF(V316&lt;&gt;V323," * TB Cases Already on ART at entry in TB clinic "&amp;$V$20&amp;" "&amp;$V$21&amp;" is Not equal to  TB cases with known HIV +ve status"&amp;CHAR(10),""),IF(W316&lt;&gt;W323," * TB Cases Already on ART at entry in TB clinic "&amp;$V$20&amp;" "&amp;$W$21&amp;" is Not equal to  TB cases with known HIV +ve status"&amp;CHAR(10),""),IF(X316&lt;&gt;X323," * TB Cases Already on ART at entry in TB clinic "&amp;$X$20&amp;" "&amp;$X$21&amp;" is Not equal to  TB cases with known HIV +ve status"&amp;CHAR(10),""),IF(Y316&lt;&gt;Y323," * TB Cases Already on ART at entry in TB clinic "&amp;$X$20&amp;" "&amp;$Y$21&amp;" is Not equal to  TB cases with known HIV +ve status"&amp;CHAR(10),""),IF(Z316&lt;&gt;Z323," * TB Cases Already on ART at entry in TB clinic "&amp;$Z$20&amp;" "&amp;$Z$21&amp;" is Not equal to  TB cases with known HIV +ve status"&amp;CHAR(10),""),IF(AA316&lt;&gt;AA323," * TB Cases Already on ART at entry in TB clinic "&amp;$Z$20&amp;" "&amp;$AA$21&amp;" is Not equal to  TB cases with known HIV +ve status"&amp;CHAR(10),""))</f>
        <v/>
      </c>
      <c r="AD323" s="678"/>
      <c r="AE323" s="80"/>
      <c r="AF323" s="681"/>
      <c r="AG323" s="403">
        <v>319</v>
      </c>
    </row>
    <row r="324" spans="1:34" ht="65.25" thickBot="1" x14ac:dyDescent="0.55000000000000004">
      <c r="A324" s="792"/>
      <c r="B324" s="413" t="s">
        <v>556</v>
      </c>
      <c r="C324" s="133" t="s">
        <v>555</v>
      </c>
      <c r="D324" s="113"/>
      <c r="E324" s="78"/>
      <c r="F324" s="75">
        <f t="shared" ref="F324:AA324" si="124">F323+F322</f>
        <v>0</v>
      </c>
      <c r="G324" s="75">
        <f t="shared" si="124"/>
        <v>0</v>
      </c>
      <c r="H324" s="75">
        <f t="shared" si="124"/>
        <v>0</v>
      </c>
      <c r="I324" s="75">
        <f t="shared" si="124"/>
        <v>0</v>
      </c>
      <c r="J324" s="75">
        <f t="shared" si="124"/>
        <v>0</v>
      </c>
      <c r="K324" s="75">
        <f t="shared" si="124"/>
        <v>0</v>
      </c>
      <c r="L324" s="75">
        <f t="shared" si="124"/>
        <v>0</v>
      </c>
      <c r="M324" s="75">
        <f t="shared" si="124"/>
        <v>0</v>
      </c>
      <c r="N324" s="75">
        <f t="shared" si="124"/>
        <v>0</v>
      </c>
      <c r="O324" s="75">
        <f t="shared" si="124"/>
        <v>0</v>
      </c>
      <c r="P324" s="75">
        <f t="shared" si="124"/>
        <v>0</v>
      </c>
      <c r="Q324" s="75">
        <f t="shared" si="124"/>
        <v>0</v>
      </c>
      <c r="R324" s="75">
        <f t="shared" si="124"/>
        <v>0</v>
      </c>
      <c r="S324" s="75">
        <f t="shared" si="124"/>
        <v>0</v>
      </c>
      <c r="T324" s="75">
        <f t="shared" si="124"/>
        <v>0</v>
      </c>
      <c r="U324" s="75">
        <f t="shared" si="124"/>
        <v>0</v>
      </c>
      <c r="V324" s="75">
        <f t="shared" si="124"/>
        <v>0</v>
      </c>
      <c r="W324" s="75">
        <f t="shared" si="124"/>
        <v>0</v>
      </c>
      <c r="X324" s="75">
        <f t="shared" si="124"/>
        <v>0</v>
      </c>
      <c r="Y324" s="75">
        <f t="shared" si="124"/>
        <v>0</v>
      </c>
      <c r="Z324" s="75">
        <f t="shared" si="124"/>
        <v>0</v>
      </c>
      <c r="AA324" s="75">
        <f t="shared" si="124"/>
        <v>0</v>
      </c>
      <c r="AB324" s="39">
        <f t="shared" si="120"/>
        <v>0</v>
      </c>
      <c r="AC324" s="79" t="str">
        <f>CONCATENATE(IF(D319&lt;D324," * HIV coinfected clients started on ART "&amp;$D$20&amp;" "&amp;$D$21&amp;" is more than TB cases with documented HIV status"&amp;CHAR(10),""),IF(E319&lt;E324," * HIV coinfected clients started on ART "&amp;$D$20&amp;" "&amp;$E$21&amp;" is more than TB cases with documented HIV status"&amp;CHAR(10),""),IF(F319&lt;F324," * HIV coinfected clients started on ART "&amp;$F$20&amp;" "&amp;$F$21&amp;" is more than TB cases with documented HIV status"&amp;CHAR(10),""),IF(G319&lt;G324," * HIV coinfected clients started on ART "&amp;$F$20&amp;" "&amp;$G$21&amp;" is more than TB cases with documented HIV status"&amp;CHAR(10),""),IF(H319&lt;H324," * HIV coinfected clients started on ART "&amp;$H$20&amp;" "&amp;$H$21&amp;" is more than TB cases with documented HIV status"&amp;CHAR(10),""),IF(I319&lt;I324," * HIV coinfected clients started on ART "&amp;$H$20&amp;" "&amp;$I$21&amp;" is more than TB cases with documented HIV status"&amp;CHAR(10),""),IF(J319&lt;J324," * HIV coinfected clients started on ART "&amp;$J$20&amp;" "&amp;$J$21&amp;" is more than TB cases with documented HIV status"&amp;CHAR(10),""),IF(K319&lt;K324," * HIV coinfected clients started on ART "&amp;$J$20&amp;" "&amp;$K$21&amp;" is more than TB cases with documented HIV status"&amp;CHAR(10),""),IF(L319&lt;L324," * HIV coinfected clients started on ART "&amp;$L$20&amp;" "&amp;$L$21&amp;" is more than TB cases with documented HIV status"&amp;CHAR(10),""),IF(M319&lt;M324," * HIV coinfected clients started on ART "&amp;$L$20&amp;" "&amp;$M$21&amp;" is more than TB cases with documented HIV status"&amp;CHAR(10),""),IF(N319&lt;N324," * HIV coinfected clients started on ART "&amp;$N$20&amp;" "&amp;$N$21&amp;" is more than TB cases with documented HIV status"&amp;CHAR(10),""),IF(O319&lt;O324," * HIV coinfected clients started on ART "&amp;$N$20&amp;" "&amp;$O$21&amp;" is more than TB cases with documented HIV status"&amp;CHAR(10),""),IF(P319&lt;P324," * HIV coinfected clients started on ART "&amp;$P$20&amp;" "&amp;$P$21&amp;" is more than TB cases with documented HIV status"&amp;CHAR(10),""),IF(Q319&lt;Q324," * HIV coinfected clients started on ART "&amp;$P$20&amp;" "&amp;$Q$21&amp;" is more than TB cases with documented HIV status"&amp;CHAR(10),""),IF(R319&lt;R324," * HIV coinfected clients started on ART "&amp;$R$20&amp;" "&amp;$R$21&amp;" is more than TB cases with documented HIV status"&amp;CHAR(10),""),IF(S319&lt;S324," * HIV coinfected clients started on ART "&amp;$R$20&amp;" "&amp;$S$21&amp;" is more than TB cases with documented HIV status"&amp;CHAR(10),""),IF(T319&lt;T324," * HIV coinfected clients started on ART "&amp;$T$20&amp;" "&amp;$T$21&amp;" is more than TB cases with documented HIV status"&amp;CHAR(10),""),IF(U319&lt;U324," * HIV coinfected clients started on ART "&amp;$T$20&amp;" "&amp;$U$21&amp;" is more than TB cases with documented HIV status"&amp;CHAR(10),""),IF(V319&lt;V324," * HIV coinfected clients started on ART "&amp;$V$20&amp;" "&amp;$V$21&amp;" is more than TB cases with documented HIV status"&amp;CHAR(10),""),IF(W319&lt;W324," * HIV coinfected clients started on ART "&amp;$V$20&amp;" "&amp;$W$21&amp;" is more than TB cases with documented HIV status"&amp;CHAR(10),""),IF(X319&lt;X324," * HIV coinfected clients started on ART "&amp;$X$20&amp;" "&amp;$X$21&amp;" is more than TB cases with documented HIV status"&amp;CHAR(10),""),IF(Y319&lt;Y324," * HIV coinfected clients started on ART "&amp;$X$20&amp;" "&amp;$Y$21&amp;" is more than TB cases with documented HIV status"&amp;CHAR(10),""),IF(Z319&lt;Z324," * HIV coinfected clients started on ART "&amp;$Z$20&amp;" "&amp;$Z$21&amp;" is more than TB cases with documented HIV status"&amp;CHAR(10),""),IF(AA319&lt;AA324," * HIV coinfected clients started on ART "&amp;$Z$20&amp;" "&amp;$AA$21&amp;" is more than TB cases with documented HIV status"&amp;CHAR(10),""))</f>
        <v/>
      </c>
      <c r="AD324" s="679"/>
      <c r="AE324" s="80"/>
      <c r="AF324" s="682"/>
      <c r="AG324" s="403">
        <v>320</v>
      </c>
    </row>
    <row r="325" spans="1:34" s="207" customFormat="1" ht="36" thickBot="1" x14ac:dyDescent="0.55000000000000004">
      <c r="A325" s="567" t="s">
        <v>1058</v>
      </c>
      <c r="B325" s="567"/>
      <c r="C325" s="567"/>
      <c r="D325" s="567"/>
      <c r="E325" s="567"/>
      <c r="F325" s="567"/>
      <c r="G325" s="567"/>
      <c r="H325" s="567"/>
      <c r="I325" s="567"/>
      <c r="J325" s="567"/>
      <c r="K325" s="567"/>
      <c r="L325" s="567"/>
      <c r="M325" s="567"/>
      <c r="N325" s="567"/>
      <c r="O325" s="567"/>
      <c r="P325" s="567"/>
      <c r="Q325" s="567"/>
      <c r="R325" s="567"/>
      <c r="S325" s="567"/>
      <c r="T325" s="567"/>
      <c r="U325" s="567"/>
      <c r="V325" s="567"/>
      <c r="W325" s="567"/>
      <c r="X325" s="567"/>
      <c r="Y325" s="567"/>
      <c r="Z325" s="567"/>
      <c r="AA325" s="567"/>
      <c r="AB325" s="567"/>
      <c r="AC325" s="568"/>
      <c r="AD325" s="567"/>
      <c r="AE325" s="569"/>
      <c r="AF325" s="570"/>
      <c r="AG325" s="404">
        <v>310</v>
      </c>
      <c r="AH325" s="310"/>
    </row>
    <row r="326" spans="1:34" s="207" customFormat="1" ht="62.25" thickBot="1" x14ac:dyDescent="0.55000000000000004">
      <c r="A326" s="303" t="s">
        <v>1060</v>
      </c>
      <c r="B326" s="303" t="s">
        <v>1059</v>
      </c>
      <c r="C326" s="260" t="s">
        <v>1057</v>
      </c>
      <c r="D326" s="485"/>
      <c r="E326" s="482"/>
      <c r="F326" s="485"/>
      <c r="G326" s="482"/>
      <c r="H326" s="485"/>
      <c r="I326" s="482"/>
      <c r="J326" s="222"/>
      <c r="K326" s="222"/>
      <c r="L326" s="222"/>
      <c r="M326" s="222"/>
      <c r="N326" s="222"/>
      <c r="O326" s="222"/>
      <c r="P326" s="222"/>
      <c r="Q326" s="222"/>
      <c r="R326" s="222"/>
      <c r="S326" s="222"/>
      <c r="T326" s="222"/>
      <c r="U326" s="222"/>
      <c r="V326" s="222"/>
      <c r="W326" s="222"/>
      <c r="X326" s="222"/>
      <c r="Y326" s="222"/>
      <c r="Z326" s="222"/>
      <c r="AA326" s="222"/>
      <c r="AB326" s="223">
        <f t="shared" ref="AB326" si="125">SUM(D326:AA326)</f>
        <v>0</v>
      </c>
      <c r="AC326" s="233"/>
      <c r="AD326" s="492"/>
      <c r="AE326" s="490"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491"/>
      <c r="AG326" s="403">
        <v>318</v>
      </c>
      <c r="AH326" s="310"/>
    </row>
    <row r="327" spans="1:34" ht="63" customHeight="1" thickBot="1" x14ac:dyDescent="0.6">
      <c r="A327" s="421" t="s">
        <v>470</v>
      </c>
      <c r="B327" s="480"/>
      <c r="F327" s="3"/>
      <c r="G327" s="3"/>
      <c r="I327" s="3"/>
      <c r="J327" s="3"/>
      <c r="M327" s="3"/>
      <c r="N327" s="3"/>
      <c r="O327" s="3"/>
      <c r="Q327" s="3"/>
      <c r="X327" s="3"/>
    </row>
    <row r="329" spans="1:34" ht="33" thickBot="1" x14ac:dyDescent="0.6">
      <c r="A329" s="415"/>
      <c r="B329" s="209"/>
      <c r="E329" s="3"/>
      <c r="F329" s="3"/>
      <c r="G329" s="3"/>
      <c r="H329" s="3"/>
      <c r="I329" s="3"/>
      <c r="J329" s="3"/>
      <c r="K329" s="3"/>
      <c r="L329" s="3"/>
      <c r="M329" s="3"/>
    </row>
    <row r="330" spans="1:34" s="426" customFormat="1" ht="41.25" customHeight="1" thickBot="1" x14ac:dyDescent="0.3">
      <c r="A330" s="603" t="s">
        <v>1032</v>
      </c>
      <c r="B330" s="604"/>
      <c r="C330" s="604"/>
      <c r="D330" s="604"/>
      <c r="E330" s="604"/>
      <c r="F330" s="604"/>
      <c r="G330" s="604"/>
      <c r="H330" s="604"/>
      <c r="I330" s="604"/>
      <c r="J330" s="604"/>
      <c r="K330" s="604"/>
      <c r="L330" s="604"/>
      <c r="M330" s="605" t="s">
        <v>1029</v>
      </c>
      <c r="N330" s="604"/>
      <c r="O330" s="604"/>
      <c r="P330" s="604"/>
      <c r="Q330" s="604"/>
      <c r="R330" s="604"/>
      <c r="S330" s="604"/>
      <c r="T330" s="604"/>
      <c r="U330" s="604"/>
      <c r="V330" s="604"/>
      <c r="W330" s="604"/>
      <c r="X330" s="604"/>
      <c r="Y330" s="604"/>
      <c r="Z330" s="604"/>
      <c r="AA330" s="604"/>
      <c r="AB330" s="604"/>
      <c r="AC330" s="604"/>
      <c r="AD330" s="604"/>
      <c r="AE330" s="604"/>
      <c r="AF330" s="606"/>
      <c r="AG330" s="425"/>
      <c r="AH330" s="425"/>
    </row>
    <row r="331" spans="1:34" ht="30.75" customHeight="1" x14ac:dyDescent="0.5">
      <c r="A331" s="594" t="str">
        <f>CONCATENATE(AD315,AD295,AD284,AD270,AD245,AD228,AD216,AD194,AD176,AD167,AD158,AD149,AD140,AD116,AD101,AD64,AD54,AD22,AD8)</f>
        <v/>
      </c>
      <c r="B331" s="595"/>
      <c r="C331" s="595"/>
      <c r="D331" s="595"/>
      <c r="E331" s="595"/>
      <c r="F331" s="595"/>
      <c r="G331" s="595"/>
      <c r="H331" s="595"/>
      <c r="I331" s="595"/>
      <c r="J331" s="595"/>
      <c r="K331" s="595"/>
      <c r="L331" s="596"/>
      <c r="M331" s="607" t="str">
        <f>IF(LEN(A331)&lt;=0,"","Please ensure you solve the errors appearing on the left . However, In the cases where the errors are valid and can be explained ( We expect this to be very rare cases), Please delete this message and type the  justification for the error here)")</f>
        <v/>
      </c>
      <c r="N331" s="608"/>
      <c r="O331" s="608"/>
      <c r="P331" s="608"/>
      <c r="Q331" s="608"/>
      <c r="R331" s="608"/>
      <c r="S331" s="608"/>
      <c r="T331" s="608"/>
      <c r="U331" s="608"/>
      <c r="V331" s="608"/>
      <c r="W331" s="608"/>
      <c r="X331" s="608"/>
      <c r="Y331" s="608"/>
      <c r="Z331" s="608"/>
      <c r="AA331" s="608"/>
      <c r="AB331" s="608"/>
      <c r="AC331" s="608"/>
      <c r="AD331" s="608"/>
      <c r="AE331" s="608"/>
      <c r="AF331" s="609"/>
    </row>
    <row r="332" spans="1:34" ht="25.5" customHeight="1" x14ac:dyDescent="0.5">
      <c r="A332" s="597"/>
      <c r="B332" s="598"/>
      <c r="C332" s="598"/>
      <c r="D332" s="598"/>
      <c r="E332" s="598"/>
      <c r="F332" s="598"/>
      <c r="G332" s="598"/>
      <c r="H332" s="598"/>
      <c r="I332" s="598"/>
      <c r="J332" s="598"/>
      <c r="K332" s="598"/>
      <c r="L332" s="599"/>
      <c r="M332" s="610"/>
      <c r="N332" s="611"/>
      <c r="O332" s="611"/>
      <c r="P332" s="611"/>
      <c r="Q332" s="611"/>
      <c r="R332" s="611"/>
      <c r="S332" s="611"/>
      <c r="T332" s="611"/>
      <c r="U332" s="611"/>
      <c r="V332" s="611"/>
      <c r="W332" s="611"/>
      <c r="X332" s="611"/>
      <c r="Y332" s="611"/>
      <c r="Z332" s="611"/>
      <c r="AA332" s="611"/>
      <c r="AB332" s="611"/>
      <c r="AC332" s="611"/>
      <c r="AD332" s="611"/>
      <c r="AE332" s="611"/>
      <c r="AF332" s="612"/>
    </row>
    <row r="333" spans="1:34" ht="30.75" customHeight="1" x14ac:dyDescent="0.5">
      <c r="A333" s="597"/>
      <c r="B333" s="598"/>
      <c r="C333" s="598"/>
      <c r="D333" s="598"/>
      <c r="E333" s="598"/>
      <c r="F333" s="598"/>
      <c r="G333" s="598"/>
      <c r="H333" s="598"/>
      <c r="I333" s="598"/>
      <c r="J333" s="598"/>
      <c r="K333" s="598"/>
      <c r="L333" s="599"/>
      <c r="M333" s="610"/>
      <c r="N333" s="611"/>
      <c r="O333" s="611"/>
      <c r="P333" s="611"/>
      <c r="Q333" s="611"/>
      <c r="R333" s="611"/>
      <c r="S333" s="611"/>
      <c r="T333" s="611"/>
      <c r="U333" s="611"/>
      <c r="V333" s="611"/>
      <c r="W333" s="611"/>
      <c r="X333" s="611"/>
      <c r="Y333" s="611"/>
      <c r="Z333" s="611"/>
      <c r="AA333" s="611"/>
      <c r="AB333" s="611"/>
      <c r="AC333" s="611"/>
      <c r="AD333" s="611"/>
      <c r="AE333" s="611"/>
      <c r="AF333" s="612"/>
    </row>
    <row r="334" spans="1:34" ht="25.5" customHeight="1" x14ac:dyDescent="0.5">
      <c r="A334" s="597"/>
      <c r="B334" s="598"/>
      <c r="C334" s="598"/>
      <c r="D334" s="598"/>
      <c r="E334" s="598"/>
      <c r="F334" s="598"/>
      <c r="G334" s="598"/>
      <c r="H334" s="598"/>
      <c r="I334" s="598"/>
      <c r="J334" s="598"/>
      <c r="K334" s="598"/>
      <c r="L334" s="599"/>
      <c r="M334" s="610"/>
      <c r="N334" s="611"/>
      <c r="O334" s="611"/>
      <c r="P334" s="611"/>
      <c r="Q334" s="611"/>
      <c r="R334" s="611"/>
      <c r="S334" s="611"/>
      <c r="T334" s="611"/>
      <c r="U334" s="611"/>
      <c r="V334" s="611"/>
      <c r="W334" s="611"/>
      <c r="X334" s="611"/>
      <c r="Y334" s="611"/>
      <c r="Z334" s="611"/>
      <c r="AA334" s="611"/>
      <c r="AB334" s="611"/>
      <c r="AC334" s="611"/>
      <c r="AD334" s="611"/>
      <c r="AE334" s="611"/>
      <c r="AF334" s="612"/>
    </row>
    <row r="335" spans="1:34" ht="25.5" customHeight="1" x14ac:dyDescent="0.5">
      <c r="A335" s="597"/>
      <c r="B335" s="598"/>
      <c r="C335" s="598"/>
      <c r="D335" s="598"/>
      <c r="E335" s="598"/>
      <c r="F335" s="598"/>
      <c r="G335" s="598"/>
      <c r="H335" s="598"/>
      <c r="I335" s="598"/>
      <c r="J335" s="598"/>
      <c r="K335" s="598"/>
      <c r="L335" s="599"/>
      <c r="M335" s="610"/>
      <c r="N335" s="611"/>
      <c r="O335" s="611"/>
      <c r="P335" s="611"/>
      <c r="Q335" s="611"/>
      <c r="R335" s="611"/>
      <c r="S335" s="611"/>
      <c r="T335" s="611"/>
      <c r="U335" s="611"/>
      <c r="V335" s="611"/>
      <c r="W335" s="611"/>
      <c r="X335" s="611"/>
      <c r="Y335" s="611"/>
      <c r="Z335" s="611"/>
      <c r="AA335" s="611"/>
      <c r="AB335" s="611"/>
      <c r="AC335" s="611"/>
      <c r="AD335" s="611"/>
      <c r="AE335" s="611"/>
      <c r="AF335" s="612"/>
    </row>
    <row r="336" spans="1:34" ht="25.5" customHeight="1" x14ac:dyDescent="0.5">
      <c r="A336" s="597"/>
      <c r="B336" s="598"/>
      <c r="C336" s="598"/>
      <c r="D336" s="598"/>
      <c r="E336" s="598"/>
      <c r="F336" s="598"/>
      <c r="G336" s="598"/>
      <c r="H336" s="598"/>
      <c r="I336" s="598"/>
      <c r="J336" s="598"/>
      <c r="K336" s="598"/>
      <c r="L336" s="599"/>
      <c r="M336" s="610"/>
      <c r="N336" s="611"/>
      <c r="O336" s="611"/>
      <c r="P336" s="611"/>
      <c r="Q336" s="611"/>
      <c r="R336" s="611"/>
      <c r="S336" s="611"/>
      <c r="T336" s="611"/>
      <c r="U336" s="611"/>
      <c r="V336" s="611"/>
      <c r="W336" s="611"/>
      <c r="X336" s="611"/>
      <c r="Y336" s="611"/>
      <c r="Z336" s="611"/>
      <c r="AA336" s="611"/>
      <c r="AB336" s="611"/>
      <c r="AC336" s="611"/>
      <c r="AD336" s="611"/>
      <c r="AE336" s="611"/>
      <c r="AF336" s="612"/>
    </row>
    <row r="337" spans="1:34" ht="25.5" customHeight="1" x14ac:dyDescent="0.5">
      <c r="A337" s="597"/>
      <c r="B337" s="598"/>
      <c r="C337" s="598"/>
      <c r="D337" s="598"/>
      <c r="E337" s="598"/>
      <c r="F337" s="598"/>
      <c r="G337" s="598"/>
      <c r="H337" s="598"/>
      <c r="I337" s="598"/>
      <c r="J337" s="598"/>
      <c r="K337" s="598"/>
      <c r="L337" s="599"/>
      <c r="M337" s="610"/>
      <c r="N337" s="611"/>
      <c r="O337" s="611"/>
      <c r="P337" s="611"/>
      <c r="Q337" s="611"/>
      <c r="R337" s="611"/>
      <c r="S337" s="611"/>
      <c r="T337" s="611"/>
      <c r="U337" s="611"/>
      <c r="V337" s="611"/>
      <c r="W337" s="611"/>
      <c r="X337" s="611"/>
      <c r="Y337" s="611"/>
      <c r="Z337" s="611"/>
      <c r="AA337" s="611"/>
      <c r="AB337" s="611"/>
      <c r="AC337" s="611"/>
      <c r="AD337" s="611"/>
      <c r="AE337" s="611"/>
      <c r="AF337" s="612"/>
    </row>
    <row r="338" spans="1:34" ht="25.5" customHeight="1" x14ac:dyDescent="0.5">
      <c r="A338" s="597"/>
      <c r="B338" s="598"/>
      <c r="C338" s="598"/>
      <c r="D338" s="598"/>
      <c r="E338" s="598"/>
      <c r="F338" s="598"/>
      <c r="G338" s="598"/>
      <c r="H338" s="598"/>
      <c r="I338" s="598"/>
      <c r="J338" s="598"/>
      <c r="K338" s="598"/>
      <c r="L338" s="599"/>
      <c r="M338" s="610"/>
      <c r="N338" s="611"/>
      <c r="O338" s="611"/>
      <c r="P338" s="611"/>
      <c r="Q338" s="611"/>
      <c r="R338" s="611"/>
      <c r="S338" s="611"/>
      <c r="T338" s="611"/>
      <c r="U338" s="611"/>
      <c r="V338" s="611"/>
      <c r="W338" s="611"/>
      <c r="X338" s="611"/>
      <c r="Y338" s="611"/>
      <c r="Z338" s="611"/>
      <c r="AA338" s="611"/>
      <c r="AB338" s="611"/>
      <c r="AC338" s="611"/>
      <c r="AD338" s="611"/>
      <c r="AE338" s="611"/>
      <c r="AF338" s="612"/>
    </row>
    <row r="339" spans="1:34" ht="25.5" customHeight="1" x14ac:dyDescent="0.5">
      <c r="A339" s="597"/>
      <c r="B339" s="598"/>
      <c r="C339" s="598"/>
      <c r="D339" s="598"/>
      <c r="E339" s="598"/>
      <c r="F339" s="598"/>
      <c r="G339" s="598"/>
      <c r="H339" s="598"/>
      <c r="I339" s="598"/>
      <c r="J339" s="598"/>
      <c r="K339" s="598"/>
      <c r="L339" s="599"/>
      <c r="M339" s="610"/>
      <c r="N339" s="611"/>
      <c r="O339" s="611"/>
      <c r="P339" s="611"/>
      <c r="Q339" s="611"/>
      <c r="R339" s="611"/>
      <c r="S339" s="611"/>
      <c r="T339" s="611"/>
      <c r="U339" s="611"/>
      <c r="V339" s="611"/>
      <c r="W339" s="611"/>
      <c r="X339" s="611"/>
      <c r="Y339" s="611"/>
      <c r="Z339" s="611"/>
      <c r="AA339" s="611"/>
      <c r="AB339" s="611"/>
      <c r="AC339" s="611"/>
      <c r="AD339" s="611"/>
      <c r="AE339" s="611"/>
      <c r="AF339" s="612"/>
    </row>
    <row r="340" spans="1:34" ht="25.5" customHeight="1" x14ac:dyDescent="0.5">
      <c r="A340" s="597"/>
      <c r="B340" s="598"/>
      <c r="C340" s="598"/>
      <c r="D340" s="598"/>
      <c r="E340" s="598"/>
      <c r="F340" s="598"/>
      <c r="G340" s="598"/>
      <c r="H340" s="598"/>
      <c r="I340" s="598"/>
      <c r="J340" s="598"/>
      <c r="K340" s="598"/>
      <c r="L340" s="599"/>
      <c r="M340" s="610"/>
      <c r="N340" s="611"/>
      <c r="O340" s="611"/>
      <c r="P340" s="611"/>
      <c r="Q340" s="611"/>
      <c r="R340" s="611"/>
      <c r="S340" s="611"/>
      <c r="T340" s="611"/>
      <c r="U340" s="611"/>
      <c r="V340" s="611"/>
      <c r="W340" s="611"/>
      <c r="X340" s="611"/>
      <c r="Y340" s="611"/>
      <c r="Z340" s="611"/>
      <c r="AA340" s="611"/>
      <c r="AB340" s="611"/>
      <c r="AC340" s="611"/>
      <c r="AD340" s="611"/>
      <c r="AE340" s="611"/>
      <c r="AF340" s="612"/>
    </row>
    <row r="341" spans="1:34" ht="25.5" customHeight="1" x14ac:dyDescent="0.5">
      <c r="A341" s="597"/>
      <c r="B341" s="598"/>
      <c r="C341" s="598"/>
      <c r="D341" s="598"/>
      <c r="E341" s="598"/>
      <c r="F341" s="598"/>
      <c r="G341" s="598"/>
      <c r="H341" s="598"/>
      <c r="I341" s="598"/>
      <c r="J341" s="598"/>
      <c r="K341" s="598"/>
      <c r="L341" s="599"/>
      <c r="M341" s="610"/>
      <c r="N341" s="611"/>
      <c r="O341" s="611"/>
      <c r="P341" s="611"/>
      <c r="Q341" s="611"/>
      <c r="R341" s="611"/>
      <c r="S341" s="611"/>
      <c r="T341" s="611"/>
      <c r="U341" s="611"/>
      <c r="V341" s="611"/>
      <c r="W341" s="611"/>
      <c r="X341" s="611"/>
      <c r="Y341" s="611"/>
      <c r="Z341" s="611"/>
      <c r="AA341" s="611"/>
      <c r="AB341" s="611"/>
      <c r="AC341" s="611"/>
      <c r="AD341" s="611"/>
      <c r="AE341" s="611"/>
      <c r="AF341" s="612"/>
    </row>
    <row r="342" spans="1:34" ht="25.5" customHeight="1" x14ac:dyDescent="0.5">
      <c r="A342" s="597"/>
      <c r="B342" s="598"/>
      <c r="C342" s="598"/>
      <c r="D342" s="598"/>
      <c r="E342" s="598"/>
      <c r="F342" s="598"/>
      <c r="G342" s="598"/>
      <c r="H342" s="598"/>
      <c r="I342" s="598"/>
      <c r="J342" s="598"/>
      <c r="K342" s="598"/>
      <c r="L342" s="599"/>
      <c r="M342" s="610"/>
      <c r="N342" s="611"/>
      <c r="O342" s="611"/>
      <c r="P342" s="611"/>
      <c r="Q342" s="611"/>
      <c r="R342" s="611"/>
      <c r="S342" s="611"/>
      <c r="T342" s="611"/>
      <c r="U342" s="611"/>
      <c r="V342" s="611"/>
      <c r="W342" s="611"/>
      <c r="X342" s="611"/>
      <c r="Y342" s="611"/>
      <c r="Z342" s="611"/>
      <c r="AA342" s="611"/>
      <c r="AB342" s="611"/>
      <c r="AC342" s="611"/>
      <c r="AD342" s="611"/>
      <c r="AE342" s="611"/>
      <c r="AF342" s="612"/>
    </row>
    <row r="343" spans="1:34" ht="25.5" customHeight="1" x14ac:dyDescent="0.5">
      <c r="A343" s="597"/>
      <c r="B343" s="598"/>
      <c r="C343" s="598"/>
      <c r="D343" s="598"/>
      <c r="E343" s="598"/>
      <c r="F343" s="598"/>
      <c r="G343" s="598"/>
      <c r="H343" s="598"/>
      <c r="I343" s="598"/>
      <c r="J343" s="598"/>
      <c r="K343" s="598"/>
      <c r="L343" s="599"/>
      <c r="M343" s="610"/>
      <c r="N343" s="611"/>
      <c r="O343" s="611"/>
      <c r="P343" s="611"/>
      <c r="Q343" s="611"/>
      <c r="R343" s="611"/>
      <c r="S343" s="611"/>
      <c r="T343" s="611"/>
      <c r="U343" s="611"/>
      <c r="V343" s="611"/>
      <c r="W343" s="611"/>
      <c r="X343" s="611"/>
      <c r="Y343" s="611"/>
      <c r="Z343" s="611"/>
      <c r="AA343" s="611"/>
      <c r="AB343" s="611"/>
      <c r="AC343" s="611"/>
      <c r="AD343" s="611"/>
      <c r="AE343" s="611"/>
      <c r="AF343" s="612"/>
    </row>
    <row r="344" spans="1:34" ht="25.5" customHeight="1" x14ac:dyDescent="0.5">
      <c r="A344" s="597"/>
      <c r="B344" s="598"/>
      <c r="C344" s="598"/>
      <c r="D344" s="598"/>
      <c r="E344" s="598"/>
      <c r="F344" s="598"/>
      <c r="G344" s="598"/>
      <c r="H344" s="598"/>
      <c r="I344" s="598"/>
      <c r="J344" s="598"/>
      <c r="K344" s="598"/>
      <c r="L344" s="599"/>
      <c r="M344" s="610"/>
      <c r="N344" s="611"/>
      <c r="O344" s="611"/>
      <c r="P344" s="611"/>
      <c r="Q344" s="611"/>
      <c r="R344" s="611"/>
      <c r="S344" s="611"/>
      <c r="T344" s="611"/>
      <c r="U344" s="611"/>
      <c r="V344" s="611"/>
      <c r="W344" s="611"/>
      <c r="X344" s="611"/>
      <c r="Y344" s="611"/>
      <c r="Z344" s="611"/>
      <c r="AA344" s="611"/>
      <c r="AB344" s="611"/>
      <c r="AC344" s="611"/>
      <c r="AD344" s="611"/>
      <c r="AE344" s="611"/>
      <c r="AF344" s="612"/>
    </row>
    <row r="345" spans="1:34" ht="25.5" customHeight="1" x14ac:dyDescent="0.5">
      <c r="A345" s="597"/>
      <c r="B345" s="598"/>
      <c r="C345" s="598"/>
      <c r="D345" s="598"/>
      <c r="E345" s="598"/>
      <c r="F345" s="598"/>
      <c r="G345" s="598"/>
      <c r="H345" s="598"/>
      <c r="I345" s="598"/>
      <c r="J345" s="598"/>
      <c r="K345" s="598"/>
      <c r="L345" s="599"/>
      <c r="M345" s="610"/>
      <c r="N345" s="611"/>
      <c r="O345" s="611"/>
      <c r="P345" s="611"/>
      <c r="Q345" s="611"/>
      <c r="R345" s="611"/>
      <c r="S345" s="611"/>
      <c r="T345" s="611"/>
      <c r="U345" s="611"/>
      <c r="V345" s="611"/>
      <c r="W345" s="611"/>
      <c r="X345" s="611"/>
      <c r="Y345" s="611"/>
      <c r="Z345" s="611"/>
      <c r="AA345" s="611"/>
      <c r="AB345" s="611"/>
      <c r="AC345" s="611"/>
      <c r="AD345" s="611"/>
      <c r="AE345" s="611"/>
      <c r="AF345" s="612"/>
    </row>
    <row r="346" spans="1:34" ht="25.5" customHeight="1" x14ac:dyDescent="0.5">
      <c r="A346" s="597"/>
      <c r="B346" s="598"/>
      <c r="C346" s="598"/>
      <c r="D346" s="598"/>
      <c r="E346" s="598"/>
      <c r="F346" s="598"/>
      <c r="G346" s="598"/>
      <c r="H346" s="598"/>
      <c r="I346" s="598"/>
      <c r="J346" s="598"/>
      <c r="K346" s="598"/>
      <c r="L346" s="599"/>
      <c r="M346" s="610"/>
      <c r="N346" s="611"/>
      <c r="O346" s="611"/>
      <c r="P346" s="611"/>
      <c r="Q346" s="611"/>
      <c r="R346" s="611"/>
      <c r="S346" s="611"/>
      <c r="T346" s="611"/>
      <c r="U346" s="611"/>
      <c r="V346" s="611"/>
      <c r="W346" s="611"/>
      <c r="X346" s="611"/>
      <c r="Y346" s="611"/>
      <c r="Z346" s="611"/>
      <c r="AA346" s="611"/>
      <c r="AB346" s="611"/>
      <c r="AC346" s="611"/>
      <c r="AD346" s="611"/>
      <c r="AE346" s="611"/>
      <c r="AF346" s="612"/>
    </row>
    <row r="347" spans="1:34" ht="25.5" customHeight="1" x14ac:dyDescent="0.5">
      <c r="A347" s="597"/>
      <c r="B347" s="598"/>
      <c r="C347" s="598"/>
      <c r="D347" s="598"/>
      <c r="E347" s="598"/>
      <c r="F347" s="598"/>
      <c r="G347" s="598"/>
      <c r="H347" s="598"/>
      <c r="I347" s="598"/>
      <c r="J347" s="598"/>
      <c r="K347" s="598"/>
      <c r="L347" s="599"/>
      <c r="M347" s="610"/>
      <c r="N347" s="611"/>
      <c r="O347" s="611"/>
      <c r="P347" s="611"/>
      <c r="Q347" s="611"/>
      <c r="R347" s="611"/>
      <c r="S347" s="611"/>
      <c r="T347" s="611"/>
      <c r="U347" s="611"/>
      <c r="V347" s="611"/>
      <c r="W347" s="611"/>
      <c r="X347" s="611"/>
      <c r="Y347" s="611"/>
      <c r="Z347" s="611"/>
      <c r="AA347" s="611"/>
      <c r="AB347" s="611"/>
      <c r="AC347" s="611"/>
      <c r="AD347" s="611"/>
      <c r="AE347" s="611"/>
      <c r="AF347" s="612"/>
    </row>
    <row r="348" spans="1:34" ht="25.5" customHeight="1" x14ac:dyDescent="0.5">
      <c r="A348" s="597"/>
      <c r="B348" s="598"/>
      <c r="C348" s="598"/>
      <c r="D348" s="598"/>
      <c r="E348" s="598"/>
      <c r="F348" s="598"/>
      <c r="G348" s="598"/>
      <c r="H348" s="598"/>
      <c r="I348" s="598"/>
      <c r="J348" s="598"/>
      <c r="K348" s="598"/>
      <c r="L348" s="599"/>
      <c r="M348" s="610"/>
      <c r="N348" s="611"/>
      <c r="O348" s="611"/>
      <c r="P348" s="611"/>
      <c r="Q348" s="611"/>
      <c r="R348" s="611"/>
      <c r="S348" s="611"/>
      <c r="T348" s="611"/>
      <c r="U348" s="611"/>
      <c r="V348" s="611"/>
      <c r="W348" s="611"/>
      <c r="X348" s="611"/>
      <c r="Y348" s="611"/>
      <c r="Z348" s="611"/>
      <c r="AA348" s="611"/>
      <c r="AB348" s="611"/>
      <c r="AC348" s="611"/>
      <c r="AD348" s="611"/>
      <c r="AE348" s="611"/>
      <c r="AF348" s="612"/>
    </row>
    <row r="349" spans="1:34" ht="25.5" customHeight="1" x14ac:dyDescent="0.5">
      <c r="A349" s="597"/>
      <c r="B349" s="598"/>
      <c r="C349" s="598"/>
      <c r="D349" s="598"/>
      <c r="E349" s="598"/>
      <c r="F349" s="598"/>
      <c r="G349" s="598"/>
      <c r="H349" s="598"/>
      <c r="I349" s="598"/>
      <c r="J349" s="598"/>
      <c r="K349" s="598"/>
      <c r="L349" s="599"/>
      <c r="M349" s="610"/>
      <c r="N349" s="611"/>
      <c r="O349" s="611"/>
      <c r="P349" s="611"/>
      <c r="Q349" s="611"/>
      <c r="R349" s="611"/>
      <c r="S349" s="611"/>
      <c r="T349" s="611"/>
      <c r="U349" s="611"/>
      <c r="V349" s="611"/>
      <c r="W349" s="611"/>
      <c r="X349" s="611"/>
      <c r="Y349" s="611"/>
      <c r="Z349" s="611"/>
      <c r="AA349" s="611"/>
      <c r="AB349" s="611"/>
      <c r="AC349" s="611"/>
      <c r="AD349" s="611"/>
      <c r="AE349" s="611"/>
      <c r="AF349" s="612"/>
    </row>
    <row r="350" spans="1:34" ht="25.5" customHeight="1" x14ac:dyDescent="0.5">
      <c r="A350" s="597"/>
      <c r="B350" s="598"/>
      <c r="C350" s="598"/>
      <c r="D350" s="598"/>
      <c r="E350" s="598"/>
      <c r="F350" s="598"/>
      <c r="G350" s="598"/>
      <c r="H350" s="598"/>
      <c r="I350" s="598"/>
      <c r="J350" s="598"/>
      <c r="K350" s="598"/>
      <c r="L350" s="599"/>
      <c r="M350" s="610"/>
      <c r="N350" s="611"/>
      <c r="O350" s="611"/>
      <c r="P350" s="611"/>
      <c r="Q350" s="611"/>
      <c r="R350" s="611"/>
      <c r="S350" s="611"/>
      <c r="T350" s="611"/>
      <c r="U350" s="611"/>
      <c r="V350" s="611"/>
      <c r="W350" s="611"/>
      <c r="X350" s="611"/>
      <c r="Y350" s="611"/>
      <c r="Z350" s="611"/>
      <c r="AA350" s="611"/>
      <c r="AB350" s="611"/>
      <c r="AC350" s="611"/>
      <c r="AD350" s="611"/>
      <c r="AE350" s="611"/>
      <c r="AF350" s="612"/>
    </row>
    <row r="351" spans="1:34" ht="26.25" customHeight="1" thickBot="1" x14ac:dyDescent="0.55000000000000004">
      <c r="A351" s="600"/>
      <c r="B351" s="601"/>
      <c r="C351" s="601"/>
      <c r="D351" s="601"/>
      <c r="E351" s="601"/>
      <c r="F351" s="601"/>
      <c r="G351" s="601"/>
      <c r="H351" s="601"/>
      <c r="I351" s="601"/>
      <c r="J351" s="601"/>
      <c r="K351" s="601"/>
      <c r="L351" s="602"/>
      <c r="M351" s="613"/>
      <c r="N351" s="614"/>
      <c r="O351" s="614"/>
      <c r="P351" s="614"/>
      <c r="Q351" s="614"/>
      <c r="R351" s="614"/>
      <c r="S351" s="614"/>
      <c r="T351" s="614"/>
      <c r="U351" s="614"/>
      <c r="V351" s="614"/>
      <c r="W351" s="614"/>
      <c r="X351" s="614"/>
      <c r="Y351" s="614"/>
      <c r="Z351" s="614"/>
      <c r="AA351" s="614"/>
      <c r="AB351" s="614"/>
      <c r="AC351" s="614"/>
      <c r="AD351" s="614"/>
      <c r="AE351" s="614"/>
      <c r="AF351" s="615"/>
    </row>
    <row r="352" spans="1:34" s="424" customFormat="1" ht="41.25" customHeight="1" thickBot="1" x14ac:dyDescent="0.8">
      <c r="A352" s="589" t="s">
        <v>1028</v>
      </c>
      <c r="B352" s="590"/>
      <c r="C352" s="590"/>
      <c r="D352" s="590"/>
      <c r="E352" s="590"/>
      <c r="F352" s="590"/>
      <c r="G352" s="590"/>
      <c r="H352" s="590"/>
      <c r="I352" s="590"/>
      <c r="J352" s="590"/>
      <c r="K352" s="590"/>
      <c r="L352" s="591"/>
      <c r="M352" s="592" t="s">
        <v>1030</v>
      </c>
      <c r="N352" s="592"/>
      <c r="O352" s="592"/>
      <c r="P352" s="592"/>
      <c r="Q352" s="592"/>
      <c r="R352" s="592"/>
      <c r="S352" s="592"/>
      <c r="T352" s="592"/>
      <c r="U352" s="592"/>
      <c r="V352" s="592"/>
      <c r="W352" s="592"/>
      <c r="X352" s="592"/>
      <c r="Y352" s="592"/>
      <c r="Z352" s="592"/>
      <c r="AA352" s="592"/>
      <c r="AB352" s="592"/>
      <c r="AC352" s="592"/>
      <c r="AD352" s="592"/>
      <c r="AE352" s="592"/>
      <c r="AF352" s="593"/>
      <c r="AG352" s="423"/>
      <c r="AH352" s="423"/>
    </row>
    <row r="353" spans="1:32" ht="30.75" customHeight="1" x14ac:dyDescent="0.5">
      <c r="A353" s="571" t="str">
        <f>CONCATENATE(AF315,AF295,AF284,AF270,AF245,AF228,AF216,AF194,AF140,AF116,AF101,AF64,AF54,AF22,AF8)</f>
        <v/>
      </c>
      <c r="B353" s="572"/>
      <c r="C353" s="572"/>
      <c r="D353" s="572"/>
      <c r="E353" s="572"/>
      <c r="F353" s="572"/>
      <c r="G353" s="572"/>
      <c r="H353" s="572"/>
      <c r="I353" s="572"/>
      <c r="J353" s="572"/>
      <c r="K353" s="572"/>
      <c r="L353" s="573"/>
      <c r="M353" s="580"/>
      <c r="N353" s="581"/>
      <c r="O353" s="581"/>
      <c r="P353" s="581"/>
      <c r="Q353" s="581"/>
      <c r="R353" s="581"/>
      <c r="S353" s="581"/>
      <c r="T353" s="581"/>
      <c r="U353" s="581"/>
      <c r="V353" s="581"/>
      <c r="W353" s="581"/>
      <c r="X353" s="581"/>
      <c r="Y353" s="581"/>
      <c r="Z353" s="581"/>
      <c r="AA353" s="581"/>
      <c r="AB353" s="581"/>
      <c r="AC353" s="581"/>
      <c r="AD353" s="581"/>
      <c r="AE353" s="581"/>
      <c r="AF353" s="582"/>
    </row>
    <row r="354" spans="1:32" ht="30.75" customHeight="1" x14ac:dyDescent="0.5">
      <c r="A354" s="574"/>
      <c r="B354" s="575"/>
      <c r="C354" s="575"/>
      <c r="D354" s="575"/>
      <c r="E354" s="575"/>
      <c r="F354" s="575"/>
      <c r="G354" s="575"/>
      <c r="H354" s="575"/>
      <c r="I354" s="575"/>
      <c r="J354" s="575"/>
      <c r="K354" s="575"/>
      <c r="L354" s="576"/>
      <c r="M354" s="583"/>
      <c r="N354" s="584"/>
      <c r="O354" s="584"/>
      <c r="P354" s="584"/>
      <c r="Q354" s="584"/>
      <c r="R354" s="584"/>
      <c r="S354" s="584"/>
      <c r="T354" s="584"/>
      <c r="U354" s="584"/>
      <c r="V354" s="584"/>
      <c r="W354" s="584"/>
      <c r="X354" s="584"/>
      <c r="Y354" s="584"/>
      <c r="Z354" s="584"/>
      <c r="AA354" s="584"/>
      <c r="AB354" s="584"/>
      <c r="AC354" s="584"/>
      <c r="AD354" s="584"/>
      <c r="AE354" s="584"/>
      <c r="AF354" s="585"/>
    </row>
    <row r="355" spans="1:32" ht="30.75" customHeight="1" x14ac:dyDescent="0.5">
      <c r="A355" s="574"/>
      <c r="B355" s="575"/>
      <c r="C355" s="575"/>
      <c r="D355" s="575"/>
      <c r="E355" s="575"/>
      <c r="F355" s="575"/>
      <c r="G355" s="575"/>
      <c r="H355" s="575"/>
      <c r="I355" s="575"/>
      <c r="J355" s="575"/>
      <c r="K355" s="575"/>
      <c r="L355" s="576"/>
      <c r="M355" s="583"/>
      <c r="N355" s="584"/>
      <c r="O355" s="584"/>
      <c r="P355" s="584"/>
      <c r="Q355" s="584"/>
      <c r="R355" s="584"/>
      <c r="S355" s="584"/>
      <c r="T355" s="584"/>
      <c r="U355" s="584"/>
      <c r="V355" s="584"/>
      <c r="W355" s="584"/>
      <c r="X355" s="584"/>
      <c r="Y355" s="584"/>
      <c r="Z355" s="584"/>
      <c r="AA355" s="584"/>
      <c r="AB355" s="584"/>
      <c r="AC355" s="584"/>
      <c r="AD355" s="584"/>
      <c r="AE355" s="584"/>
      <c r="AF355" s="585"/>
    </row>
    <row r="356" spans="1:32" ht="30.75" customHeight="1" x14ac:dyDescent="0.5">
      <c r="A356" s="574"/>
      <c r="B356" s="575"/>
      <c r="C356" s="575"/>
      <c r="D356" s="575"/>
      <c r="E356" s="575"/>
      <c r="F356" s="575"/>
      <c r="G356" s="575"/>
      <c r="H356" s="575"/>
      <c r="I356" s="575"/>
      <c r="J356" s="575"/>
      <c r="K356" s="575"/>
      <c r="L356" s="576"/>
      <c r="M356" s="583"/>
      <c r="N356" s="584"/>
      <c r="O356" s="584"/>
      <c r="P356" s="584"/>
      <c r="Q356" s="584"/>
      <c r="R356" s="584"/>
      <c r="S356" s="584"/>
      <c r="T356" s="584"/>
      <c r="U356" s="584"/>
      <c r="V356" s="584"/>
      <c r="W356" s="584"/>
      <c r="X356" s="584"/>
      <c r="Y356" s="584"/>
      <c r="Z356" s="584"/>
      <c r="AA356" s="584"/>
      <c r="AB356" s="584"/>
      <c r="AC356" s="584"/>
      <c r="AD356" s="584"/>
      <c r="AE356" s="584"/>
      <c r="AF356" s="585"/>
    </row>
    <row r="357" spans="1:32" ht="30.75" customHeight="1" x14ac:dyDescent="0.5">
      <c r="A357" s="574"/>
      <c r="B357" s="575"/>
      <c r="C357" s="575"/>
      <c r="D357" s="575"/>
      <c r="E357" s="575"/>
      <c r="F357" s="575"/>
      <c r="G357" s="575"/>
      <c r="H357" s="575"/>
      <c r="I357" s="575"/>
      <c r="J357" s="575"/>
      <c r="K357" s="575"/>
      <c r="L357" s="576"/>
      <c r="M357" s="583"/>
      <c r="N357" s="584"/>
      <c r="O357" s="584"/>
      <c r="P357" s="584"/>
      <c r="Q357" s="584"/>
      <c r="R357" s="584"/>
      <c r="S357" s="584"/>
      <c r="T357" s="584"/>
      <c r="U357" s="584"/>
      <c r="V357" s="584"/>
      <c r="W357" s="584"/>
      <c r="X357" s="584"/>
      <c r="Y357" s="584"/>
      <c r="Z357" s="584"/>
      <c r="AA357" s="584"/>
      <c r="AB357" s="584"/>
      <c r="AC357" s="584"/>
      <c r="AD357" s="584"/>
      <c r="AE357" s="584"/>
      <c r="AF357" s="585"/>
    </row>
    <row r="358" spans="1:32" ht="30.75" customHeight="1" x14ac:dyDescent="0.5">
      <c r="A358" s="574"/>
      <c r="B358" s="575"/>
      <c r="C358" s="575"/>
      <c r="D358" s="575"/>
      <c r="E358" s="575"/>
      <c r="F358" s="575"/>
      <c r="G358" s="575"/>
      <c r="H358" s="575"/>
      <c r="I358" s="575"/>
      <c r="J358" s="575"/>
      <c r="K358" s="575"/>
      <c r="L358" s="576"/>
      <c r="M358" s="583"/>
      <c r="N358" s="584"/>
      <c r="O358" s="584"/>
      <c r="P358" s="584"/>
      <c r="Q358" s="584"/>
      <c r="R358" s="584"/>
      <c r="S358" s="584"/>
      <c r="T358" s="584"/>
      <c r="U358" s="584"/>
      <c r="V358" s="584"/>
      <c r="W358" s="584"/>
      <c r="X358" s="584"/>
      <c r="Y358" s="584"/>
      <c r="Z358" s="584"/>
      <c r="AA358" s="584"/>
      <c r="AB358" s="584"/>
      <c r="AC358" s="584"/>
      <c r="AD358" s="584"/>
      <c r="AE358" s="584"/>
      <c r="AF358" s="585"/>
    </row>
    <row r="359" spans="1:32" ht="30.75" customHeight="1" x14ac:dyDescent="0.5">
      <c r="A359" s="574"/>
      <c r="B359" s="575"/>
      <c r="C359" s="575"/>
      <c r="D359" s="575"/>
      <c r="E359" s="575"/>
      <c r="F359" s="575"/>
      <c r="G359" s="575"/>
      <c r="H359" s="575"/>
      <c r="I359" s="575"/>
      <c r="J359" s="575"/>
      <c r="K359" s="575"/>
      <c r="L359" s="576"/>
      <c r="M359" s="583"/>
      <c r="N359" s="584"/>
      <c r="O359" s="584"/>
      <c r="P359" s="584"/>
      <c r="Q359" s="584"/>
      <c r="R359" s="584"/>
      <c r="S359" s="584"/>
      <c r="T359" s="584"/>
      <c r="U359" s="584"/>
      <c r="V359" s="584"/>
      <c r="W359" s="584"/>
      <c r="X359" s="584"/>
      <c r="Y359" s="584"/>
      <c r="Z359" s="584"/>
      <c r="AA359" s="584"/>
      <c r="AB359" s="584"/>
      <c r="AC359" s="584"/>
      <c r="AD359" s="584"/>
      <c r="AE359" s="584"/>
      <c r="AF359" s="585"/>
    </row>
    <row r="360" spans="1:32" ht="30.75" customHeight="1" x14ac:dyDescent="0.5">
      <c r="A360" s="574"/>
      <c r="B360" s="575"/>
      <c r="C360" s="575"/>
      <c r="D360" s="575"/>
      <c r="E360" s="575"/>
      <c r="F360" s="575"/>
      <c r="G360" s="575"/>
      <c r="H360" s="575"/>
      <c r="I360" s="575"/>
      <c r="J360" s="575"/>
      <c r="K360" s="575"/>
      <c r="L360" s="576"/>
      <c r="M360" s="583"/>
      <c r="N360" s="584"/>
      <c r="O360" s="584"/>
      <c r="P360" s="584"/>
      <c r="Q360" s="584"/>
      <c r="R360" s="584"/>
      <c r="S360" s="584"/>
      <c r="T360" s="584"/>
      <c r="U360" s="584"/>
      <c r="V360" s="584"/>
      <c r="W360" s="584"/>
      <c r="X360" s="584"/>
      <c r="Y360" s="584"/>
      <c r="Z360" s="584"/>
      <c r="AA360" s="584"/>
      <c r="AB360" s="584"/>
      <c r="AC360" s="584"/>
      <c r="AD360" s="584"/>
      <c r="AE360" s="584"/>
      <c r="AF360" s="585"/>
    </row>
    <row r="361" spans="1:32" ht="30.75" customHeight="1" x14ac:dyDescent="0.5">
      <c r="A361" s="574"/>
      <c r="B361" s="575"/>
      <c r="C361" s="575"/>
      <c r="D361" s="575"/>
      <c r="E361" s="575"/>
      <c r="F361" s="575"/>
      <c r="G361" s="575"/>
      <c r="H361" s="575"/>
      <c r="I361" s="575"/>
      <c r="J361" s="575"/>
      <c r="K361" s="575"/>
      <c r="L361" s="576"/>
      <c r="M361" s="583"/>
      <c r="N361" s="584"/>
      <c r="O361" s="584"/>
      <c r="P361" s="584"/>
      <c r="Q361" s="584"/>
      <c r="R361" s="584"/>
      <c r="S361" s="584"/>
      <c r="T361" s="584"/>
      <c r="U361" s="584"/>
      <c r="V361" s="584"/>
      <c r="W361" s="584"/>
      <c r="X361" s="584"/>
      <c r="Y361" s="584"/>
      <c r="Z361" s="584"/>
      <c r="AA361" s="584"/>
      <c r="AB361" s="584"/>
      <c r="AC361" s="584"/>
      <c r="AD361" s="584"/>
      <c r="AE361" s="584"/>
      <c r="AF361" s="585"/>
    </row>
    <row r="362" spans="1:32" ht="30.75" customHeight="1" x14ac:dyDescent="0.5">
      <c r="A362" s="574"/>
      <c r="B362" s="575"/>
      <c r="C362" s="575"/>
      <c r="D362" s="575"/>
      <c r="E362" s="575"/>
      <c r="F362" s="575"/>
      <c r="G362" s="575"/>
      <c r="H362" s="575"/>
      <c r="I362" s="575"/>
      <c r="J362" s="575"/>
      <c r="K362" s="575"/>
      <c r="L362" s="576"/>
      <c r="M362" s="583"/>
      <c r="N362" s="584"/>
      <c r="O362" s="584"/>
      <c r="P362" s="584"/>
      <c r="Q362" s="584"/>
      <c r="R362" s="584"/>
      <c r="S362" s="584"/>
      <c r="T362" s="584"/>
      <c r="U362" s="584"/>
      <c r="V362" s="584"/>
      <c r="W362" s="584"/>
      <c r="X362" s="584"/>
      <c r="Y362" s="584"/>
      <c r="Z362" s="584"/>
      <c r="AA362" s="584"/>
      <c r="AB362" s="584"/>
      <c r="AC362" s="584"/>
      <c r="AD362" s="584"/>
      <c r="AE362" s="584"/>
      <c r="AF362" s="585"/>
    </row>
    <row r="363" spans="1:32" ht="30.75" customHeight="1" x14ac:dyDescent="0.5">
      <c r="A363" s="574"/>
      <c r="B363" s="575"/>
      <c r="C363" s="575"/>
      <c r="D363" s="575"/>
      <c r="E363" s="575"/>
      <c r="F363" s="575"/>
      <c r="G363" s="575"/>
      <c r="H363" s="575"/>
      <c r="I363" s="575"/>
      <c r="J363" s="575"/>
      <c r="K363" s="575"/>
      <c r="L363" s="576"/>
      <c r="M363" s="583"/>
      <c r="N363" s="584"/>
      <c r="O363" s="584"/>
      <c r="P363" s="584"/>
      <c r="Q363" s="584"/>
      <c r="R363" s="584"/>
      <c r="S363" s="584"/>
      <c r="T363" s="584"/>
      <c r="U363" s="584"/>
      <c r="V363" s="584"/>
      <c r="W363" s="584"/>
      <c r="X363" s="584"/>
      <c r="Y363" s="584"/>
      <c r="Z363" s="584"/>
      <c r="AA363" s="584"/>
      <c r="AB363" s="584"/>
      <c r="AC363" s="584"/>
      <c r="AD363" s="584"/>
      <c r="AE363" s="584"/>
      <c r="AF363" s="585"/>
    </row>
    <row r="364" spans="1:32" ht="30.75" customHeight="1" x14ac:dyDescent="0.5">
      <c r="A364" s="574"/>
      <c r="B364" s="575"/>
      <c r="C364" s="575"/>
      <c r="D364" s="575"/>
      <c r="E364" s="575"/>
      <c r="F364" s="575"/>
      <c r="G364" s="575"/>
      <c r="H364" s="575"/>
      <c r="I364" s="575"/>
      <c r="J364" s="575"/>
      <c r="K364" s="575"/>
      <c r="L364" s="576"/>
      <c r="M364" s="583"/>
      <c r="N364" s="584"/>
      <c r="O364" s="584"/>
      <c r="P364" s="584"/>
      <c r="Q364" s="584"/>
      <c r="R364" s="584"/>
      <c r="S364" s="584"/>
      <c r="T364" s="584"/>
      <c r="U364" s="584"/>
      <c r="V364" s="584"/>
      <c r="W364" s="584"/>
      <c r="X364" s="584"/>
      <c r="Y364" s="584"/>
      <c r="Z364" s="584"/>
      <c r="AA364" s="584"/>
      <c r="AB364" s="584"/>
      <c r="AC364" s="584"/>
      <c r="AD364" s="584"/>
      <c r="AE364" s="584"/>
      <c r="AF364" s="585"/>
    </row>
    <row r="365" spans="1:32" ht="30.75" customHeight="1" x14ac:dyDescent="0.5">
      <c r="A365" s="574"/>
      <c r="B365" s="575"/>
      <c r="C365" s="575"/>
      <c r="D365" s="575"/>
      <c r="E365" s="575"/>
      <c r="F365" s="575"/>
      <c r="G365" s="575"/>
      <c r="H365" s="575"/>
      <c r="I365" s="575"/>
      <c r="J365" s="575"/>
      <c r="K365" s="575"/>
      <c r="L365" s="576"/>
      <c r="M365" s="583"/>
      <c r="N365" s="584"/>
      <c r="O365" s="584"/>
      <c r="P365" s="584"/>
      <c r="Q365" s="584"/>
      <c r="R365" s="584"/>
      <c r="S365" s="584"/>
      <c r="T365" s="584"/>
      <c r="U365" s="584"/>
      <c r="V365" s="584"/>
      <c r="W365" s="584"/>
      <c r="X365" s="584"/>
      <c r="Y365" s="584"/>
      <c r="Z365" s="584"/>
      <c r="AA365" s="584"/>
      <c r="AB365" s="584"/>
      <c r="AC365" s="584"/>
      <c r="AD365" s="584"/>
      <c r="AE365" s="584"/>
      <c r="AF365" s="585"/>
    </row>
    <row r="366" spans="1:32" ht="30.75" customHeight="1" x14ac:dyDescent="0.5">
      <c r="A366" s="574"/>
      <c r="B366" s="575"/>
      <c r="C366" s="575"/>
      <c r="D366" s="575"/>
      <c r="E366" s="575"/>
      <c r="F366" s="575"/>
      <c r="G366" s="575"/>
      <c r="H366" s="575"/>
      <c r="I366" s="575"/>
      <c r="J366" s="575"/>
      <c r="K366" s="575"/>
      <c r="L366" s="576"/>
      <c r="M366" s="583"/>
      <c r="N366" s="584"/>
      <c r="O366" s="584"/>
      <c r="P366" s="584"/>
      <c r="Q366" s="584"/>
      <c r="R366" s="584"/>
      <c r="S366" s="584"/>
      <c r="T366" s="584"/>
      <c r="U366" s="584"/>
      <c r="V366" s="584"/>
      <c r="W366" s="584"/>
      <c r="X366" s="584"/>
      <c r="Y366" s="584"/>
      <c r="Z366" s="584"/>
      <c r="AA366" s="584"/>
      <c r="AB366" s="584"/>
      <c r="AC366" s="584"/>
      <c r="AD366" s="584"/>
      <c r="AE366" s="584"/>
      <c r="AF366" s="585"/>
    </row>
    <row r="367" spans="1:32" ht="30.75" customHeight="1" x14ac:dyDescent="0.5">
      <c r="A367" s="574"/>
      <c r="B367" s="575"/>
      <c r="C367" s="575"/>
      <c r="D367" s="575"/>
      <c r="E367" s="575"/>
      <c r="F367" s="575"/>
      <c r="G367" s="575"/>
      <c r="H367" s="575"/>
      <c r="I367" s="575"/>
      <c r="J367" s="575"/>
      <c r="K367" s="575"/>
      <c r="L367" s="576"/>
      <c r="M367" s="583"/>
      <c r="N367" s="584"/>
      <c r="O367" s="584"/>
      <c r="P367" s="584"/>
      <c r="Q367" s="584"/>
      <c r="R367" s="584"/>
      <c r="S367" s="584"/>
      <c r="T367" s="584"/>
      <c r="U367" s="584"/>
      <c r="V367" s="584"/>
      <c r="W367" s="584"/>
      <c r="X367" s="584"/>
      <c r="Y367" s="584"/>
      <c r="Z367" s="584"/>
      <c r="AA367" s="584"/>
      <c r="AB367" s="584"/>
      <c r="AC367" s="584"/>
      <c r="AD367" s="584"/>
      <c r="AE367" s="584"/>
      <c r="AF367" s="585"/>
    </row>
    <row r="368" spans="1:32" ht="30.75" customHeight="1" x14ac:dyDescent="0.5">
      <c r="A368" s="574"/>
      <c r="B368" s="575"/>
      <c r="C368" s="575"/>
      <c r="D368" s="575"/>
      <c r="E368" s="575"/>
      <c r="F368" s="575"/>
      <c r="G368" s="575"/>
      <c r="H368" s="575"/>
      <c r="I368" s="575"/>
      <c r="J368" s="575"/>
      <c r="K368" s="575"/>
      <c r="L368" s="576"/>
      <c r="M368" s="583"/>
      <c r="N368" s="584"/>
      <c r="O368" s="584"/>
      <c r="P368" s="584"/>
      <c r="Q368" s="584"/>
      <c r="R368" s="584"/>
      <c r="S368" s="584"/>
      <c r="T368" s="584"/>
      <c r="U368" s="584"/>
      <c r="V368" s="584"/>
      <c r="W368" s="584"/>
      <c r="X368" s="584"/>
      <c r="Y368" s="584"/>
      <c r="Z368" s="584"/>
      <c r="AA368" s="584"/>
      <c r="AB368" s="584"/>
      <c r="AC368" s="584"/>
      <c r="AD368" s="584"/>
      <c r="AE368" s="584"/>
      <c r="AF368" s="585"/>
    </row>
    <row r="369" spans="1:32" ht="30.75" customHeight="1" x14ac:dyDescent="0.5">
      <c r="A369" s="574"/>
      <c r="B369" s="575"/>
      <c r="C369" s="575"/>
      <c r="D369" s="575"/>
      <c r="E369" s="575"/>
      <c r="F369" s="575"/>
      <c r="G369" s="575"/>
      <c r="H369" s="575"/>
      <c r="I369" s="575"/>
      <c r="J369" s="575"/>
      <c r="K369" s="575"/>
      <c r="L369" s="576"/>
      <c r="M369" s="583"/>
      <c r="N369" s="584"/>
      <c r="O369" s="584"/>
      <c r="P369" s="584"/>
      <c r="Q369" s="584"/>
      <c r="R369" s="584"/>
      <c r="S369" s="584"/>
      <c r="T369" s="584"/>
      <c r="U369" s="584"/>
      <c r="V369" s="584"/>
      <c r="W369" s="584"/>
      <c r="X369" s="584"/>
      <c r="Y369" s="584"/>
      <c r="Z369" s="584"/>
      <c r="AA369" s="584"/>
      <c r="AB369" s="584"/>
      <c r="AC369" s="584"/>
      <c r="AD369" s="584"/>
      <c r="AE369" s="584"/>
      <c r="AF369" s="585"/>
    </row>
    <row r="370" spans="1:32" ht="30.75" customHeight="1" x14ac:dyDescent="0.5">
      <c r="A370" s="574"/>
      <c r="B370" s="575"/>
      <c r="C370" s="575"/>
      <c r="D370" s="575"/>
      <c r="E370" s="575"/>
      <c r="F370" s="575"/>
      <c r="G370" s="575"/>
      <c r="H370" s="575"/>
      <c r="I370" s="575"/>
      <c r="J370" s="575"/>
      <c r="K370" s="575"/>
      <c r="L370" s="576"/>
      <c r="M370" s="583"/>
      <c r="N370" s="584"/>
      <c r="O370" s="584"/>
      <c r="P370" s="584"/>
      <c r="Q370" s="584"/>
      <c r="R370" s="584"/>
      <c r="S370" s="584"/>
      <c r="T370" s="584"/>
      <c r="U370" s="584"/>
      <c r="V370" s="584"/>
      <c r="W370" s="584"/>
      <c r="X370" s="584"/>
      <c r="Y370" s="584"/>
      <c r="Z370" s="584"/>
      <c r="AA370" s="584"/>
      <c r="AB370" s="584"/>
      <c r="AC370" s="584"/>
      <c r="AD370" s="584"/>
      <c r="AE370" s="584"/>
      <c r="AF370" s="585"/>
    </row>
    <row r="371" spans="1:32" ht="30.75" customHeight="1" x14ac:dyDescent="0.5">
      <c r="A371" s="574"/>
      <c r="B371" s="575"/>
      <c r="C371" s="575"/>
      <c r="D371" s="575"/>
      <c r="E371" s="575"/>
      <c r="F371" s="575"/>
      <c r="G371" s="575"/>
      <c r="H371" s="575"/>
      <c r="I371" s="575"/>
      <c r="J371" s="575"/>
      <c r="K371" s="575"/>
      <c r="L371" s="576"/>
      <c r="M371" s="583"/>
      <c r="N371" s="584"/>
      <c r="O371" s="584"/>
      <c r="P371" s="584"/>
      <c r="Q371" s="584"/>
      <c r="R371" s="584"/>
      <c r="S371" s="584"/>
      <c r="T371" s="584"/>
      <c r="U371" s="584"/>
      <c r="V371" s="584"/>
      <c r="W371" s="584"/>
      <c r="X371" s="584"/>
      <c r="Y371" s="584"/>
      <c r="Z371" s="584"/>
      <c r="AA371" s="584"/>
      <c r="AB371" s="584"/>
      <c r="AC371" s="584"/>
      <c r="AD371" s="584"/>
      <c r="AE371" s="584"/>
      <c r="AF371" s="585"/>
    </row>
    <row r="372" spans="1:32" ht="30.75" customHeight="1" x14ac:dyDescent="0.5">
      <c r="A372" s="574"/>
      <c r="B372" s="575"/>
      <c r="C372" s="575"/>
      <c r="D372" s="575"/>
      <c r="E372" s="575"/>
      <c r="F372" s="575"/>
      <c r="G372" s="575"/>
      <c r="H372" s="575"/>
      <c r="I372" s="575"/>
      <c r="J372" s="575"/>
      <c r="K372" s="575"/>
      <c r="L372" s="576"/>
      <c r="M372" s="583"/>
      <c r="N372" s="584"/>
      <c r="O372" s="584"/>
      <c r="P372" s="584"/>
      <c r="Q372" s="584"/>
      <c r="R372" s="584"/>
      <c r="S372" s="584"/>
      <c r="T372" s="584"/>
      <c r="U372" s="584"/>
      <c r="V372" s="584"/>
      <c r="W372" s="584"/>
      <c r="X372" s="584"/>
      <c r="Y372" s="584"/>
      <c r="Z372" s="584"/>
      <c r="AA372" s="584"/>
      <c r="AB372" s="584"/>
      <c r="AC372" s="584"/>
      <c r="AD372" s="584"/>
      <c r="AE372" s="584"/>
      <c r="AF372" s="585"/>
    </row>
    <row r="373" spans="1:32" ht="30.75" customHeight="1" x14ac:dyDescent="0.5">
      <c r="A373" s="574"/>
      <c r="B373" s="575"/>
      <c r="C373" s="575"/>
      <c r="D373" s="575"/>
      <c r="E373" s="575"/>
      <c r="F373" s="575"/>
      <c r="G373" s="575"/>
      <c r="H373" s="575"/>
      <c r="I373" s="575"/>
      <c r="J373" s="575"/>
      <c r="K373" s="575"/>
      <c r="L373" s="576"/>
      <c r="M373" s="583"/>
      <c r="N373" s="584"/>
      <c r="O373" s="584"/>
      <c r="P373" s="584"/>
      <c r="Q373" s="584"/>
      <c r="R373" s="584"/>
      <c r="S373" s="584"/>
      <c r="T373" s="584"/>
      <c r="U373" s="584"/>
      <c r="V373" s="584"/>
      <c r="W373" s="584"/>
      <c r="X373" s="584"/>
      <c r="Y373" s="584"/>
      <c r="Z373" s="584"/>
      <c r="AA373" s="584"/>
      <c r="AB373" s="584"/>
      <c r="AC373" s="584"/>
      <c r="AD373" s="584"/>
      <c r="AE373" s="584"/>
      <c r="AF373" s="585"/>
    </row>
    <row r="374" spans="1:32" ht="30.75" customHeight="1" x14ac:dyDescent="0.5">
      <c r="A374" s="574"/>
      <c r="B374" s="575"/>
      <c r="C374" s="575"/>
      <c r="D374" s="575"/>
      <c r="E374" s="575"/>
      <c r="F374" s="575"/>
      <c r="G374" s="575"/>
      <c r="H374" s="575"/>
      <c r="I374" s="575"/>
      <c r="J374" s="575"/>
      <c r="K374" s="575"/>
      <c r="L374" s="576"/>
      <c r="M374" s="583"/>
      <c r="N374" s="584"/>
      <c r="O374" s="584"/>
      <c r="P374" s="584"/>
      <c r="Q374" s="584"/>
      <c r="R374" s="584"/>
      <c r="S374" s="584"/>
      <c r="T374" s="584"/>
      <c r="U374" s="584"/>
      <c r="V374" s="584"/>
      <c r="W374" s="584"/>
      <c r="X374" s="584"/>
      <c r="Y374" s="584"/>
      <c r="Z374" s="584"/>
      <c r="AA374" s="584"/>
      <c r="AB374" s="584"/>
      <c r="AC374" s="584"/>
      <c r="AD374" s="584"/>
      <c r="AE374" s="584"/>
      <c r="AF374" s="585"/>
    </row>
    <row r="375" spans="1:32" ht="30.75" customHeight="1" x14ac:dyDescent="0.5">
      <c r="A375" s="574"/>
      <c r="B375" s="575"/>
      <c r="C375" s="575"/>
      <c r="D375" s="575"/>
      <c r="E375" s="575"/>
      <c r="F375" s="575"/>
      <c r="G375" s="575"/>
      <c r="H375" s="575"/>
      <c r="I375" s="575"/>
      <c r="J375" s="575"/>
      <c r="K375" s="575"/>
      <c r="L375" s="576"/>
      <c r="M375" s="583"/>
      <c r="N375" s="584"/>
      <c r="O375" s="584"/>
      <c r="P375" s="584"/>
      <c r="Q375" s="584"/>
      <c r="R375" s="584"/>
      <c r="S375" s="584"/>
      <c r="T375" s="584"/>
      <c r="U375" s="584"/>
      <c r="V375" s="584"/>
      <c r="W375" s="584"/>
      <c r="X375" s="584"/>
      <c r="Y375" s="584"/>
      <c r="Z375" s="584"/>
      <c r="AA375" s="584"/>
      <c r="AB375" s="584"/>
      <c r="AC375" s="584"/>
      <c r="AD375" s="584"/>
      <c r="AE375" s="584"/>
      <c r="AF375" s="585"/>
    </row>
    <row r="376" spans="1:32" ht="30.75" customHeight="1" x14ac:dyDescent="0.5">
      <c r="A376" s="574"/>
      <c r="B376" s="575"/>
      <c r="C376" s="575"/>
      <c r="D376" s="575"/>
      <c r="E376" s="575"/>
      <c r="F376" s="575"/>
      <c r="G376" s="575"/>
      <c r="H376" s="575"/>
      <c r="I376" s="575"/>
      <c r="J376" s="575"/>
      <c r="K376" s="575"/>
      <c r="L376" s="576"/>
      <c r="M376" s="583"/>
      <c r="N376" s="584"/>
      <c r="O376" s="584"/>
      <c r="P376" s="584"/>
      <c r="Q376" s="584"/>
      <c r="R376" s="584"/>
      <c r="S376" s="584"/>
      <c r="T376" s="584"/>
      <c r="U376" s="584"/>
      <c r="V376" s="584"/>
      <c r="W376" s="584"/>
      <c r="X376" s="584"/>
      <c r="Y376" s="584"/>
      <c r="Z376" s="584"/>
      <c r="AA376" s="584"/>
      <c r="AB376" s="584"/>
      <c r="AC376" s="584"/>
      <c r="AD376" s="584"/>
      <c r="AE376" s="584"/>
      <c r="AF376" s="585"/>
    </row>
    <row r="377" spans="1:32" ht="30.75" customHeight="1" x14ac:dyDescent="0.5">
      <c r="A377" s="574"/>
      <c r="B377" s="575"/>
      <c r="C377" s="575"/>
      <c r="D377" s="575"/>
      <c r="E377" s="575"/>
      <c r="F377" s="575"/>
      <c r="G377" s="575"/>
      <c r="H377" s="575"/>
      <c r="I377" s="575"/>
      <c r="J377" s="575"/>
      <c r="K377" s="575"/>
      <c r="L377" s="576"/>
      <c r="M377" s="583"/>
      <c r="N377" s="584"/>
      <c r="O377" s="584"/>
      <c r="P377" s="584"/>
      <c r="Q377" s="584"/>
      <c r="R377" s="584"/>
      <c r="S377" s="584"/>
      <c r="T377" s="584"/>
      <c r="U377" s="584"/>
      <c r="V377" s="584"/>
      <c r="W377" s="584"/>
      <c r="X377" s="584"/>
      <c r="Y377" s="584"/>
      <c r="Z377" s="584"/>
      <c r="AA377" s="584"/>
      <c r="AB377" s="584"/>
      <c r="AC377" s="584"/>
      <c r="AD377" s="584"/>
      <c r="AE377" s="584"/>
      <c r="AF377" s="585"/>
    </row>
    <row r="378" spans="1:32" ht="30.75" customHeight="1" x14ac:dyDescent="0.5">
      <c r="A378" s="574"/>
      <c r="B378" s="575"/>
      <c r="C378" s="575"/>
      <c r="D378" s="575"/>
      <c r="E378" s="575"/>
      <c r="F378" s="575"/>
      <c r="G378" s="575"/>
      <c r="H378" s="575"/>
      <c r="I378" s="575"/>
      <c r="J378" s="575"/>
      <c r="K378" s="575"/>
      <c r="L378" s="576"/>
      <c r="M378" s="583"/>
      <c r="N378" s="584"/>
      <c r="O378" s="584"/>
      <c r="P378" s="584"/>
      <c r="Q378" s="584"/>
      <c r="R378" s="584"/>
      <c r="S378" s="584"/>
      <c r="T378" s="584"/>
      <c r="U378" s="584"/>
      <c r="V378" s="584"/>
      <c r="W378" s="584"/>
      <c r="X378" s="584"/>
      <c r="Y378" s="584"/>
      <c r="Z378" s="584"/>
      <c r="AA378" s="584"/>
      <c r="AB378" s="584"/>
      <c r="AC378" s="584"/>
      <c r="AD378" s="584"/>
      <c r="AE378" s="584"/>
      <c r="AF378" s="585"/>
    </row>
    <row r="379" spans="1:32" ht="30.75" customHeight="1" x14ac:dyDescent="0.5">
      <c r="A379" s="574"/>
      <c r="B379" s="575"/>
      <c r="C379" s="575"/>
      <c r="D379" s="575"/>
      <c r="E379" s="575"/>
      <c r="F379" s="575"/>
      <c r="G379" s="575"/>
      <c r="H379" s="575"/>
      <c r="I379" s="575"/>
      <c r="J379" s="575"/>
      <c r="K379" s="575"/>
      <c r="L379" s="576"/>
      <c r="M379" s="583"/>
      <c r="N379" s="584"/>
      <c r="O379" s="584"/>
      <c r="P379" s="584"/>
      <c r="Q379" s="584"/>
      <c r="R379" s="584"/>
      <c r="S379" s="584"/>
      <c r="T379" s="584"/>
      <c r="U379" s="584"/>
      <c r="V379" s="584"/>
      <c r="W379" s="584"/>
      <c r="X379" s="584"/>
      <c r="Y379" s="584"/>
      <c r="Z379" s="584"/>
      <c r="AA379" s="584"/>
      <c r="AB379" s="584"/>
      <c r="AC379" s="584"/>
      <c r="AD379" s="584"/>
      <c r="AE379" s="584"/>
      <c r="AF379" s="585"/>
    </row>
    <row r="380" spans="1:32" ht="30.75" customHeight="1" x14ac:dyDescent="0.5">
      <c r="A380" s="574"/>
      <c r="B380" s="575"/>
      <c r="C380" s="575"/>
      <c r="D380" s="575"/>
      <c r="E380" s="575"/>
      <c r="F380" s="575"/>
      <c r="G380" s="575"/>
      <c r="H380" s="575"/>
      <c r="I380" s="575"/>
      <c r="J380" s="575"/>
      <c r="K380" s="575"/>
      <c r="L380" s="576"/>
      <c r="M380" s="583"/>
      <c r="N380" s="584"/>
      <c r="O380" s="584"/>
      <c r="P380" s="584"/>
      <c r="Q380" s="584"/>
      <c r="R380" s="584"/>
      <c r="S380" s="584"/>
      <c r="T380" s="584"/>
      <c r="U380" s="584"/>
      <c r="V380" s="584"/>
      <c r="W380" s="584"/>
      <c r="X380" s="584"/>
      <c r="Y380" s="584"/>
      <c r="Z380" s="584"/>
      <c r="AA380" s="584"/>
      <c r="AB380" s="584"/>
      <c r="AC380" s="584"/>
      <c r="AD380" s="584"/>
      <c r="AE380" s="584"/>
      <c r="AF380" s="585"/>
    </row>
    <row r="381" spans="1:32" ht="30.75" customHeight="1" x14ac:dyDescent="0.5">
      <c r="A381" s="574"/>
      <c r="B381" s="575"/>
      <c r="C381" s="575"/>
      <c r="D381" s="575"/>
      <c r="E381" s="575"/>
      <c r="F381" s="575"/>
      <c r="G381" s="575"/>
      <c r="H381" s="575"/>
      <c r="I381" s="575"/>
      <c r="J381" s="575"/>
      <c r="K381" s="575"/>
      <c r="L381" s="576"/>
      <c r="M381" s="583"/>
      <c r="N381" s="584"/>
      <c r="O381" s="584"/>
      <c r="P381" s="584"/>
      <c r="Q381" s="584"/>
      <c r="R381" s="584"/>
      <c r="S381" s="584"/>
      <c r="T381" s="584"/>
      <c r="U381" s="584"/>
      <c r="V381" s="584"/>
      <c r="W381" s="584"/>
      <c r="X381" s="584"/>
      <c r="Y381" s="584"/>
      <c r="Z381" s="584"/>
      <c r="AA381" s="584"/>
      <c r="AB381" s="584"/>
      <c r="AC381" s="584"/>
      <c r="AD381" s="584"/>
      <c r="AE381" s="584"/>
      <c r="AF381" s="585"/>
    </row>
    <row r="382" spans="1:32" ht="30.75" customHeight="1" thickBot="1" x14ac:dyDescent="0.55000000000000004">
      <c r="A382" s="577"/>
      <c r="B382" s="578"/>
      <c r="C382" s="578"/>
      <c r="D382" s="578"/>
      <c r="E382" s="578"/>
      <c r="F382" s="578"/>
      <c r="G382" s="578"/>
      <c r="H382" s="578"/>
      <c r="I382" s="578"/>
      <c r="J382" s="578"/>
      <c r="K382" s="578"/>
      <c r="L382" s="579"/>
      <c r="M382" s="586"/>
      <c r="N382" s="587"/>
      <c r="O382" s="587"/>
      <c r="P382" s="587"/>
      <c r="Q382" s="587"/>
      <c r="R382" s="587"/>
      <c r="S382" s="587"/>
      <c r="T382" s="587"/>
      <c r="U382" s="587"/>
      <c r="V382" s="587"/>
      <c r="W382" s="587"/>
      <c r="X382" s="587"/>
      <c r="Y382" s="587"/>
      <c r="Z382" s="587"/>
      <c r="AA382" s="587"/>
      <c r="AB382" s="587"/>
      <c r="AC382" s="587"/>
      <c r="AD382" s="587"/>
      <c r="AE382" s="587"/>
      <c r="AF382" s="588"/>
    </row>
  </sheetData>
  <sheetProtection selectLockedCells="1"/>
  <mergeCells count="361">
    <mergeCell ref="A314:AF314"/>
    <mergeCell ref="A315:A324"/>
    <mergeCell ref="A246:A251"/>
    <mergeCell ref="A254:A255"/>
    <mergeCell ref="A262:A269"/>
    <mergeCell ref="A80:A85"/>
    <mergeCell ref="AF293:AF294"/>
    <mergeCell ref="A292:AF292"/>
    <mergeCell ref="A242:AF242"/>
    <mergeCell ref="A256:A261"/>
    <mergeCell ref="AF243:AF244"/>
    <mergeCell ref="AE243:AE244"/>
    <mergeCell ref="AD226:AD227"/>
    <mergeCell ref="AD243:AD244"/>
    <mergeCell ref="A109:A110"/>
    <mergeCell ref="A114:A115"/>
    <mergeCell ref="B114:B115"/>
    <mergeCell ref="A138:A139"/>
    <mergeCell ref="A111:A112"/>
    <mergeCell ref="AB293:AB294"/>
    <mergeCell ref="AF284:AF291"/>
    <mergeCell ref="V192:W192"/>
    <mergeCell ref="X192:Y192"/>
    <mergeCell ref="AD192:AD193"/>
    <mergeCell ref="A11:A13"/>
    <mergeCell ref="A15:A17"/>
    <mergeCell ref="AD8:AD18"/>
    <mergeCell ref="AF8:AF18"/>
    <mergeCell ref="AE226:AE227"/>
    <mergeCell ref="AD228:AD241"/>
    <mergeCell ref="L192:M192"/>
    <mergeCell ref="D192:E192"/>
    <mergeCell ref="AD62:AD63"/>
    <mergeCell ref="AD54:AD58"/>
    <mergeCell ref="A61:AF61"/>
    <mergeCell ref="AF52:AF53"/>
    <mergeCell ref="AF62:AF63"/>
    <mergeCell ref="AF99:AF100"/>
    <mergeCell ref="AE20:AE21"/>
    <mergeCell ref="AC37:AC38"/>
    <mergeCell ref="AC39:AC40"/>
    <mergeCell ref="AC47:AC48"/>
    <mergeCell ref="R52:S52"/>
    <mergeCell ref="T52:U52"/>
    <mergeCell ref="A47:A48"/>
    <mergeCell ref="A43:A44"/>
    <mergeCell ref="A33:A34"/>
    <mergeCell ref="D20:E20"/>
    <mergeCell ref="A219:A221"/>
    <mergeCell ref="AD284:AD291"/>
    <mergeCell ref="H243:I243"/>
    <mergeCell ref="J243:K243"/>
    <mergeCell ref="L243:M243"/>
    <mergeCell ref="A226:A227"/>
    <mergeCell ref="A239:A241"/>
    <mergeCell ref="AC243:AC244"/>
    <mergeCell ref="AC226:AC227"/>
    <mergeCell ref="V226:W226"/>
    <mergeCell ref="X226:Y226"/>
    <mergeCell ref="Z226:AA226"/>
    <mergeCell ref="L226:M226"/>
    <mergeCell ref="N226:O226"/>
    <mergeCell ref="P226:Q226"/>
    <mergeCell ref="R226:S226"/>
    <mergeCell ref="T226:U226"/>
    <mergeCell ref="AE5:AE6"/>
    <mergeCell ref="A45:A46"/>
    <mergeCell ref="A8:A10"/>
    <mergeCell ref="A194:A199"/>
    <mergeCell ref="A64:A67"/>
    <mergeCell ref="AF138:AF139"/>
    <mergeCell ref="AF192:AF193"/>
    <mergeCell ref="AF140:AF190"/>
    <mergeCell ref="AE192:AE193"/>
    <mergeCell ref="AC187:AC188"/>
    <mergeCell ref="AC185:AC186"/>
    <mergeCell ref="AE99:AE100"/>
    <mergeCell ref="AC52:AC53"/>
    <mergeCell ref="AE138:AE139"/>
    <mergeCell ref="AC62:AC63"/>
    <mergeCell ref="AE62:AE63"/>
    <mergeCell ref="AF116:AF136"/>
    <mergeCell ref="A62:A63"/>
    <mergeCell ref="V99:W99"/>
    <mergeCell ref="X99:Y99"/>
    <mergeCell ref="Z99:AA99"/>
    <mergeCell ref="F192:G192"/>
    <mergeCell ref="H192:I192"/>
    <mergeCell ref="AB52:AB53"/>
    <mergeCell ref="F20:G20"/>
    <mergeCell ref="X52:Y52"/>
    <mergeCell ref="D52:I53"/>
    <mergeCell ref="N20:O20"/>
    <mergeCell ref="A69:A74"/>
    <mergeCell ref="A98:AF98"/>
    <mergeCell ref="A49:A50"/>
    <mergeCell ref="B62:B63"/>
    <mergeCell ref="A86:A88"/>
    <mergeCell ref="A41:A42"/>
    <mergeCell ref="A89:A95"/>
    <mergeCell ref="A96:A97"/>
    <mergeCell ref="A54:A58"/>
    <mergeCell ref="J62:K62"/>
    <mergeCell ref="C62:C63"/>
    <mergeCell ref="A52:A53"/>
    <mergeCell ref="B52:B53"/>
    <mergeCell ref="D62:I63"/>
    <mergeCell ref="AD20:AD21"/>
    <mergeCell ref="B1:C1"/>
    <mergeCell ref="AC41:AC42"/>
    <mergeCell ref="AC22:AC23"/>
    <mergeCell ref="AE114:AE115"/>
    <mergeCell ref="A51:AF51"/>
    <mergeCell ref="AF54:AF58"/>
    <mergeCell ref="AF64:AF97"/>
    <mergeCell ref="AF101:AF112"/>
    <mergeCell ref="AC45:AC46"/>
    <mergeCell ref="AF22:AF50"/>
    <mergeCell ref="AF20:AF21"/>
    <mergeCell ref="A19:AF19"/>
    <mergeCell ref="AD22:AD50"/>
    <mergeCell ref="AC26:AC27"/>
    <mergeCell ref="AC31:AC32"/>
    <mergeCell ref="AC33:AC34"/>
    <mergeCell ref="F5:G5"/>
    <mergeCell ref="H5:I5"/>
    <mergeCell ref="J5:K5"/>
    <mergeCell ref="L5:M5"/>
    <mergeCell ref="N5:O5"/>
    <mergeCell ref="P5:Q5"/>
    <mergeCell ref="AD52:AD53"/>
    <mergeCell ref="A31:A32"/>
    <mergeCell ref="AC1:AF1"/>
    <mergeCell ref="V52:W52"/>
    <mergeCell ref="X20:Y20"/>
    <mergeCell ref="Z20:AA20"/>
    <mergeCell ref="A2:AC2"/>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C35:AC36"/>
    <mergeCell ref="R5:S5"/>
    <mergeCell ref="T5:U5"/>
    <mergeCell ref="V5:W5"/>
    <mergeCell ref="X5:Y5"/>
    <mergeCell ref="Z5:AA5"/>
    <mergeCell ref="AC43:AC44"/>
    <mergeCell ref="AB5:AB6"/>
    <mergeCell ref="AC5:AC6"/>
    <mergeCell ref="P99:Q99"/>
    <mergeCell ref="AC99:AC100"/>
    <mergeCell ref="Z62:AA62"/>
    <mergeCell ref="R99:S99"/>
    <mergeCell ref="T99:U99"/>
    <mergeCell ref="P20:Q20"/>
    <mergeCell ref="R20:S20"/>
    <mergeCell ref="AB99:AB100"/>
    <mergeCell ref="AC86:AC87"/>
    <mergeCell ref="X62:Y62"/>
    <mergeCell ref="A307:A313"/>
    <mergeCell ref="V293:W293"/>
    <mergeCell ref="X293:Y293"/>
    <mergeCell ref="D243:E243"/>
    <mergeCell ref="F243:G243"/>
    <mergeCell ref="Z243:AA243"/>
    <mergeCell ref="B243:B244"/>
    <mergeCell ref="A293:A294"/>
    <mergeCell ref="B293:B294"/>
    <mergeCell ref="A295:A300"/>
    <mergeCell ref="C293:C294"/>
    <mergeCell ref="Z293:AA293"/>
    <mergeCell ref="L293:M293"/>
    <mergeCell ref="H293:I293"/>
    <mergeCell ref="J293:K293"/>
    <mergeCell ref="V243:W243"/>
    <mergeCell ref="N243:O243"/>
    <mergeCell ref="P243:Q243"/>
    <mergeCell ref="R243:S243"/>
    <mergeCell ref="T243:U243"/>
    <mergeCell ref="C243:C244"/>
    <mergeCell ref="A243:A244"/>
    <mergeCell ref="D293:E293"/>
    <mergeCell ref="F293:G293"/>
    <mergeCell ref="J99:K99"/>
    <mergeCell ref="AF114:AF115"/>
    <mergeCell ref="L114:M114"/>
    <mergeCell ref="N114:O114"/>
    <mergeCell ref="P114:Q114"/>
    <mergeCell ref="L99:M99"/>
    <mergeCell ref="N99:O99"/>
    <mergeCell ref="D99:E99"/>
    <mergeCell ref="F99:G99"/>
    <mergeCell ref="H99:I99"/>
    <mergeCell ref="Z114:AA114"/>
    <mergeCell ref="AB114:AB115"/>
    <mergeCell ref="A4:C4"/>
    <mergeCell ref="C20:C21"/>
    <mergeCell ref="B20:B21"/>
    <mergeCell ref="A20:A21"/>
    <mergeCell ref="A99:A100"/>
    <mergeCell ref="B99:B100"/>
    <mergeCell ref="A101:A102"/>
    <mergeCell ref="A103:A104"/>
    <mergeCell ref="A200:A203"/>
    <mergeCell ref="A191:AF191"/>
    <mergeCell ref="A137:AF137"/>
    <mergeCell ref="A113:AF113"/>
    <mergeCell ref="N138:O138"/>
    <mergeCell ref="J192:K192"/>
    <mergeCell ref="D138:E138"/>
    <mergeCell ref="F138:G138"/>
    <mergeCell ref="H138:I138"/>
    <mergeCell ref="J138:K138"/>
    <mergeCell ref="C138:C139"/>
    <mergeCell ref="AC114:AC115"/>
    <mergeCell ref="R114:S114"/>
    <mergeCell ref="T114:U114"/>
    <mergeCell ref="V114:W114"/>
    <mergeCell ref="X114:Y114"/>
    <mergeCell ref="A105:A106"/>
    <mergeCell ref="A107:A108"/>
    <mergeCell ref="A130:A136"/>
    <mergeCell ref="A123:A129"/>
    <mergeCell ref="A116:A122"/>
    <mergeCell ref="C114:C115"/>
    <mergeCell ref="A149:A157"/>
    <mergeCell ref="A158:A166"/>
    <mergeCell ref="A167:A175"/>
    <mergeCell ref="A140:A148"/>
    <mergeCell ref="N293:O293"/>
    <mergeCell ref="P293:Q293"/>
    <mergeCell ref="R293:S293"/>
    <mergeCell ref="T293:U293"/>
    <mergeCell ref="AC293:AC294"/>
    <mergeCell ref="V138:W138"/>
    <mergeCell ref="AB192:AB193"/>
    <mergeCell ref="AB226:AB227"/>
    <mergeCell ref="T192:U192"/>
    <mergeCell ref="R192:S192"/>
    <mergeCell ref="N192:O192"/>
    <mergeCell ref="P192:Q192"/>
    <mergeCell ref="AB138:AB139"/>
    <mergeCell ref="P138:Q138"/>
    <mergeCell ref="R138:S138"/>
    <mergeCell ref="T138:U138"/>
    <mergeCell ref="A225:AF225"/>
    <mergeCell ref="AF226:AF227"/>
    <mergeCell ref="C226:C227"/>
    <mergeCell ref="AF228:AF241"/>
    <mergeCell ref="A284:A291"/>
    <mergeCell ref="A216:A218"/>
    <mergeCell ref="A222:A224"/>
    <mergeCell ref="B226:B227"/>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5:AD324"/>
    <mergeCell ref="AF315:AF324"/>
    <mergeCell ref="AD64:AD97"/>
    <mergeCell ref="A233:A234"/>
    <mergeCell ref="A204:A207"/>
    <mergeCell ref="AF295:AF313"/>
    <mergeCell ref="A301:A306"/>
    <mergeCell ref="C99:C100"/>
    <mergeCell ref="B138:B139"/>
    <mergeCell ref="A75:A78"/>
    <mergeCell ref="A176:A177"/>
    <mergeCell ref="AD293:AD294"/>
    <mergeCell ref="D114:K115"/>
    <mergeCell ref="AD295:AD313"/>
    <mergeCell ref="AE293:AE294"/>
    <mergeCell ref="X243:Y243"/>
    <mergeCell ref="J226:K226"/>
    <mergeCell ref="Z192:AA192"/>
    <mergeCell ref="AC138:AC139"/>
    <mergeCell ref="AC208:AC209"/>
    <mergeCell ref="AC214:AC215"/>
    <mergeCell ref="AC204:AC205"/>
    <mergeCell ref="AC200:AC201"/>
    <mergeCell ref="X138:Y138"/>
    <mergeCell ref="A187:A190"/>
    <mergeCell ref="AC192:AC193"/>
    <mergeCell ref="AD138:AD139"/>
    <mergeCell ref="AD116:AD136"/>
    <mergeCell ref="AD114:AD115"/>
    <mergeCell ref="Z138:AA138"/>
    <mergeCell ref="A281:A283"/>
    <mergeCell ref="A270:A280"/>
    <mergeCell ref="D226:E226"/>
    <mergeCell ref="F226:G226"/>
    <mergeCell ref="H226:I226"/>
    <mergeCell ref="A214:A215"/>
    <mergeCell ref="A178:A179"/>
    <mergeCell ref="A192:A193"/>
    <mergeCell ref="A180:A186"/>
    <mergeCell ref="B192:B193"/>
    <mergeCell ref="C192:C193"/>
    <mergeCell ref="L138:M138"/>
    <mergeCell ref="A208:A213"/>
    <mergeCell ref="A231:A232"/>
    <mergeCell ref="AB243:AB244"/>
    <mergeCell ref="A228:A230"/>
    <mergeCell ref="A235:A237"/>
    <mergeCell ref="AD140:AD148"/>
    <mergeCell ref="AD149:AD157"/>
    <mergeCell ref="AD158:AD166"/>
    <mergeCell ref="AD167:AD175"/>
    <mergeCell ref="AD176:AD190"/>
    <mergeCell ref="AD245:AD269"/>
    <mergeCell ref="AD270:AD283"/>
    <mergeCell ref="AF245:AF269"/>
    <mergeCell ref="AF270:AF283"/>
    <mergeCell ref="AD194:AD215"/>
    <mergeCell ref="AD216:AD224"/>
    <mergeCell ref="AF194:AF215"/>
    <mergeCell ref="AF216:AF224"/>
    <mergeCell ref="A325:AF325"/>
    <mergeCell ref="A353:L382"/>
    <mergeCell ref="M353:AF382"/>
    <mergeCell ref="A352:L352"/>
    <mergeCell ref="M352:AF352"/>
    <mergeCell ref="A331:L351"/>
    <mergeCell ref="A330:L330"/>
    <mergeCell ref="M330:AF330"/>
    <mergeCell ref="M331:AF351"/>
  </mergeCells>
  <phoneticPr fontId="3" type="noConversion"/>
  <conditionalFormatting sqref="AC22">
    <cfRule type="notContainsBlanks" dxfId="930" priority="1476">
      <formula>LEN(TRIM(AC22))&gt;0</formula>
    </cfRule>
  </conditionalFormatting>
  <conditionalFormatting sqref="AC26:AC27">
    <cfRule type="notContainsBlanks" dxfId="929" priority="1477">
      <formula>LEN(TRIM(AC26))&gt;0</formula>
    </cfRule>
  </conditionalFormatting>
  <conditionalFormatting sqref="AC31:AC32">
    <cfRule type="notContainsBlanks" dxfId="928" priority="1480">
      <formula>LEN(TRIM(AC31))&gt;0</formula>
    </cfRule>
  </conditionalFormatting>
  <conditionalFormatting sqref="AC33:AC34">
    <cfRule type="notContainsBlanks" dxfId="927" priority="1478">
      <formula>LEN(TRIM(AC33))&gt;0</formula>
    </cfRule>
  </conditionalFormatting>
  <conditionalFormatting sqref="AC35:AC36">
    <cfRule type="notContainsBlanks" dxfId="926" priority="1471">
      <formula>LEN(TRIM(AC35))&gt;0</formula>
    </cfRule>
  </conditionalFormatting>
  <conditionalFormatting sqref="AC37:AC38">
    <cfRule type="notContainsBlanks" dxfId="925" priority="1470">
      <formula>LEN(TRIM(AC37))&gt;0</formula>
    </cfRule>
  </conditionalFormatting>
  <conditionalFormatting sqref="AC39:AC40">
    <cfRule type="notContainsBlanks" dxfId="924" priority="1469">
      <formula>LEN(TRIM(AC39))&gt;0</formula>
    </cfRule>
  </conditionalFormatting>
  <conditionalFormatting sqref="AC41:AC42">
    <cfRule type="notContainsBlanks" dxfId="923" priority="1468">
      <formula>LEN(TRIM(AC41))&gt;0</formula>
    </cfRule>
  </conditionalFormatting>
  <conditionalFormatting sqref="AC43:AC44">
    <cfRule type="notContainsBlanks" dxfId="922" priority="1467">
      <formula>LEN(TRIM(AC43))&gt;0</formula>
    </cfRule>
  </conditionalFormatting>
  <conditionalFormatting sqref="AC45:AC46">
    <cfRule type="notContainsBlanks" dxfId="921" priority="1466">
      <formula>LEN(TRIM(AC45))&gt;0</formula>
    </cfRule>
  </conditionalFormatting>
  <conditionalFormatting sqref="AC47:AC48">
    <cfRule type="notContainsBlanks" dxfId="920" priority="1465">
      <formula>LEN(TRIM(AC47))&gt;0</formula>
    </cfRule>
  </conditionalFormatting>
  <conditionalFormatting sqref="AC49:AC50">
    <cfRule type="notContainsBlanks" dxfId="919" priority="1464">
      <formula>LEN(TRIM(AC49))&gt;0</formula>
    </cfRule>
  </conditionalFormatting>
  <conditionalFormatting sqref="AC64 AC66:AC67">
    <cfRule type="notContainsBlanks" dxfId="918" priority="1481">
      <formula>LEN(TRIM(AC64))&gt;0</formula>
    </cfRule>
  </conditionalFormatting>
  <conditionalFormatting sqref="AC68:AC74">
    <cfRule type="notContainsBlanks" dxfId="917" priority="1482">
      <formula>LEN(TRIM(AC68))&gt;0</formula>
    </cfRule>
  </conditionalFormatting>
  <conditionalFormatting sqref="AC86:AC87">
    <cfRule type="notContainsBlanks" dxfId="916" priority="1461">
      <formula>LEN(TRIM(AC86))&gt;0</formula>
    </cfRule>
  </conditionalFormatting>
  <conditionalFormatting sqref="AC101">
    <cfRule type="notContainsBlanks" dxfId="915" priority="1460">
      <formula>LEN(TRIM(AC101))&gt;0</formula>
    </cfRule>
  </conditionalFormatting>
  <conditionalFormatting sqref="AC24">
    <cfRule type="notContainsBlanks" dxfId="914" priority="1459">
      <formula>LEN(TRIM(AC24))&gt;0</formula>
    </cfRule>
  </conditionalFormatting>
  <conditionalFormatting sqref="AC102">
    <cfRule type="notContainsBlanks" dxfId="913" priority="1458">
      <formula>LEN(TRIM(AC102))&gt;0</formula>
    </cfRule>
  </conditionalFormatting>
  <conditionalFormatting sqref="AC103">
    <cfRule type="notContainsBlanks" dxfId="912" priority="1457">
      <formula>LEN(TRIM(AC103))&gt;0</formula>
    </cfRule>
  </conditionalFormatting>
  <conditionalFormatting sqref="AC104">
    <cfRule type="notContainsBlanks" dxfId="911" priority="1456">
      <formula>LEN(TRIM(AC104))&gt;0</formula>
    </cfRule>
  </conditionalFormatting>
  <conditionalFormatting sqref="AC117">
    <cfRule type="notContainsBlanks" dxfId="910" priority="1455">
      <formula>LEN(TRIM(AC117))&gt;0</formula>
    </cfRule>
  </conditionalFormatting>
  <conditionalFormatting sqref="AC177">
    <cfRule type="notContainsBlanks" dxfId="909" priority="1452">
      <formula>LEN(TRIM(AC177))&gt;0</formula>
    </cfRule>
  </conditionalFormatting>
  <conditionalFormatting sqref="AC180">
    <cfRule type="notContainsBlanks" dxfId="908" priority="1451">
      <formula>LEN(TRIM(AC180))&gt;0</formula>
    </cfRule>
  </conditionalFormatting>
  <conditionalFormatting sqref="AC181:AC182">
    <cfRule type="notContainsBlanks" dxfId="907" priority="1450">
      <formula>LEN(TRIM(AC181))&gt;0</formula>
    </cfRule>
  </conditionalFormatting>
  <conditionalFormatting sqref="AC183:AC184 AC196 AC198 AC287:AC289 AC256:AC269 AC275">
    <cfRule type="notContainsBlanks" dxfId="906" priority="1449">
      <formula>LEN(TRIM(AC183))&gt;0</formula>
    </cfRule>
  </conditionalFormatting>
  <conditionalFormatting sqref="AC185:AC186">
    <cfRule type="notContainsBlanks" dxfId="905" priority="1448">
      <formula>LEN(TRIM(AC185))&gt;0</formula>
    </cfRule>
  </conditionalFormatting>
  <conditionalFormatting sqref="AC187:AC188">
    <cfRule type="notContainsBlanks" dxfId="904" priority="1447">
      <formula>LEN(TRIM(AC187))&gt;0</formula>
    </cfRule>
  </conditionalFormatting>
  <conditionalFormatting sqref="AC189">
    <cfRule type="notContainsBlanks" dxfId="903" priority="1446">
      <formula>LEN(TRIM(AC189))&gt;0</formula>
    </cfRule>
  </conditionalFormatting>
  <conditionalFormatting sqref="AC190">
    <cfRule type="notContainsBlanks" dxfId="902" priority="1445">
      <formula>LEN(TRIM(AC190))&gt;0</formula>
    </cfRule>
  </conditionalFormatting>
  <conditionalFormatting sqref="AC194">
    <cfRule type="notContainsBlanks" dxfId="901" priority="1444">
      <formula>LEN(TRIM(AC194))&gt;0</formula>
    </cfRule>
  </conditionalFormatting>
  <conditionalFormatting sqref="AC195">
    <cfRule type="notContainsBlanks" dxfId="900" priority="1443">
      <formula>LEN(TRIM(AC195))&gt;0</formula>
    </cfRule>
  </conditionalFormatting>
  <conditionalFormatting sqref="AC197:AC199">
    <cfRule type="notContainsBlanks" dxfId="899" priority="1441">
      <formula>LEN(TRIM(AC197))&gt;0</formula>
    </cfRule>
  </conditionalFormatting>
  <conditionalFormatting sqref="AC200:AC201 AC203">
    <cfRule type="notContainsBlanks" dxfId="898" priority="1440">
      <formula>LEN(TRIM(AC200))&gt;0</formula>
    </cfRule>
  </conditionalFormatting>
  <conditionalFormatting sqref="AC204:AC205 AC207">
    <cfRule type="notContainsBlanks" dxfId="897" priority="1439">
      <formula>LEN(TRIM(AC204))&gt;0</formula>
    </cfRule>
  </conditionalFormatting>
  <conditionalFormatting sqref="AC208:AC209 AC211 AC213">
    <cfRule type="notContainsBlanks" dxfId="896" priority="1438">
      <formula>LEN(TRIM(AC208))&gt;0</formula>
    </cfRule>
  </conditionalFormatting>
  <conditionalFormatting sqref="AC214:AC223">
    <cfRule type="notContainsBlanks" dxfId="895" priority="1437">
      <formula>LEN(TRIM(AC214))&gt;0</formula>
    </cfRule>
  </conditionalFormatting>
  <conditionalFormatting sqref="AC229:AC232">
    <cfRule type="notContainsBlanks" dxfId="894" priority="1436">
      <formula>LEN(TRIM(AC229))&gt;0</formula>
    </cfRule>
  </conditionalFormatting>
  <conditionalFormatting sqref="AC233:AC234">
    <cfRule type="notContainsBlanks" dxfId="893" priority="1435">
      <formula>LEN(TRIM(AC233))&gt;0</formula>
    </cfRule>
  </conditionalFormatting>
  <conditionalFormatting sqref="AC235:AC237">
    <cfRule type="notContainsBlanks" dxfId="892" priority="1434">
      <formula>LEN(TRIM(AC235))&gt;0</formula>
    </cfRule>
  </conditionalFormatting>
  <conditionalFormatting sqref="AC239">
    <cfRule type="notContainsBlanks" dxfId="891" priority="1433">
      <formula>LEN(TRIM(AC239))&gt;0</formula>
    </cfRule>
  </conditionalFormatting>
  <conditionalFormatting sqref="AC240">
    <cfRule type="notContainsBlanks" dxfId="890" priority="1432">
      <formula>LEN(TRIM(AC240))&gt;0</formula>
    </cfRule>
  </conditionalFormatting>
  <conditionalFormatting sqref="AC241">
    <cfRule type="notContainsBlanks" dxfId="889" priority="1431">
      <formula>LEN(TRIM(AC241))&gt;0</formula>
    </cfRule>
  </conditionalFormatting>
  <conditionalFormatting sqref="AC245:AC251">
    <cfRule type="notContainsBlanks" dxfId="888" priority="1430">
      <formula>LEN(TRIM(AC245))&gt;0</formula>
    </cfRule>
  </conditionalFormatting>
  <conditionalFormatting sqref="AC252:AC254">
    <cfRule type="notContainsBlanks" priority="1429">
      <formula>LEN(TRIM(AC252))&gt;0</formula>
    </cfRule>
  </conditionalFormatting>
  <conditionalFormatting sqref="AC301:AC303">
    <cfRule type="notContainsBlanks" dxfId="887" priority="1427">
      <formula>LEN(TRIM(AC301))&gt;0</formula>
    </cfRule>
  </conditionalFormatting>
  <conditionalFormatting sqref="AE33">
    <cfRule type="notContainsBlanks" dxfId="886" priority="1420">
      <formula>LEN(TRIM(AE33))&gt;0</formula>
    </cfRule>
  </conditionalFormatting>
  <conditionalFormatting sqref="AE194:AF194">
    <cfRule type="notContainsBlanks" dxfId="885" priority="1419">
      <formula>LEN(TRIM(AE194))&gt;0</formula>
    </cfRule>
  </conditionalFormatting>
  <conditionalFormatting sqref="AE195">
    <cfRule type="notContainsBlanks" dxfId="884" priority="1418">
      <formula>LEN(TRIM(AE195))&gt;0</formula>
    </cfRule>
  </conditionalFormatting>
  <conditionalFormatting sqref="AE54:AF54 AE101:AF101 AE116:AF116 AE140:AF140 AE228:AF228 AE245:AF245 AE64:AF66 AE22:AF22 AE55:AE60 AE67:AE97 AE102:AE112 AE117:AE136 AE177:AE190 AE23:AE50 AF295 AE301:AE313 AE196:AE218 AE222:AE223 AE287:AE289 AE229:AE241 AE246:AE269 AE275">
    <cfRule type="notContainsBlanks" dxfId="883" priority="1417">
      <formula>LEN(TRIM(AE22))&gt;0</formula>
    </cfRule>
  </conditionalFormatting>
  <conditionalFormatting sqref="AE35">
    <cfRule type="notContainsBlanks" dxfId="882" priority="1416">
      <formula>LEN(TRIM(AE35))&gt;0</formula>
    </cfRule>
  </conditionalFormatting>
  <conditionalFormatting sqref="AE47">
    <cfRule type="notContainsBlanks" dxfId="881" priority="1410">
      <formula>LEN(TRIM(AE47))&gt;0</formula>
    </cfRule>
  </conditionalFormatting>
  <conditionalFormatting sqref="AE37">
    <cfRule type="notContainsBlanks" dxfId="880" priority="1415">
      <formula>LEN(TRIM(AE37))&gt;0</formula>
    </cfRule>
  </conditionalFormatting>
  <conditionalFormatting sqref="AE39">
    <cfRule type="notContainsBlanks" dxfId="879" priority="1414">
      <formula>LEN(TRIM(AE39))&gt;0</formula>
    </cfRule>
  </conditionalFormatting>
  <conditionalFormatting sqref="AE41">
    <cfRule type="notContainsBlanks" dxfId="878" priority="1413">
      <formula>LEN(TRIM(AE41))&gt;0</formula>
    </cfRule>
  </conditionalFormatting>
  <conditionalFormatting sqref="AE43">
    <cfRule type="notContainsBlanks" dxfId="877" priority="1412">
      <formula>LEN(TRIM(AE43))&gt;0</formula>
    </cfRule>
  </conditionalFormatting>
  <conditionalFormatting sqref="AE45">
    <cfRule type="notContainsBlanks" dxfId="876" priority="1411">
      <formula>LEN(TRIM(AE45))&gt;0</formula>
    </cfRule>
  </conditionalFormatting>
  <conditionalFormatting sqref="AD22:AD50 AD54:AD60 AD64 AD101:AD112 AD116:AD136 AD140 AD228:AD241 AD245 AD295 AD194">
    <cfRule type="notContainsBlanks" dxfId="875" priority="1646">
      <formula>LEN(TRIM(AD22))&gt;0</formula>
    </cfRule>
  </conditionalFormatting>
  <conditionalFormatting sqref="D255:AB255">
    <cfRule type="cellIs" dxfId="874" priority="1407" operator="equal">
      <formula>0</formula>
    </cfRule>
  </conditionalFormatting>
  <conditionalFormatting sqref="D268:AA268">
    <cfRule type="cellIs" dxfId="873" priority="1406" operator="equal">
      <formula>0</formula>
    </cfRule>
  </conditionalFormatting>
  <conditionalFormatting sqref="D268:AA268">
    <cfRule type="cellIs" dxfId="872" priority="1405" operator="equal">
      <formula>0</formula>
    </cfRule>
  </conditionalFormatting>
  <conditionalFormatting sqref="D50:F50 D49:AA49">
    <cfRule type="cellIs" dxfId="871" priority="1404" operator="equal">
      <formula>0</formula>
    </cfRule>
  </conditionalFormatting>
  <conditionalFormatting sqref="AB22:AB26 AB54:AB60 AB101:AB112 AB307:AB313 AB295:AB305 AB43 AB45 AB33 AB28:AB31 AB47:AB49 AB35:AB41 AB177 AB245:AB254 AB256:AB280 AB116:AB136 AB179:AB190 AB64:AB95 AB194:AB223 AB228:AB241">
    <cfRule type="cellIs" dxfId="870" priority="1401" operator="equal">
      <formula>0</formula>
    </cfRule>
  </conditionalFormatting>
  <conditionalFormatting sqref="D50:F50 D268:AA268 D255:AB255 D49:AA49">
    <cfRule type="cellIs" dxfId="869" priority="1400" operator="equal">
      <formula>0</formula>
    </cfRule>
  </conditionalFormatting>
  <conditionalFormatting sqref="A1">
    <cfRule type="cellIs" dxfId="868" priority="1399" operator="equal">
      <formula>0</formula>
    </cfRule>
  </conditionalFormatting>
  <conditionalFormatting sqref="D306:AB306">
    <cfRule type="cellIs" dxfId="867" priority="1396" operator="equal">
      <formula>0</formula>
    </cfRule>
  </conditionalFormatting>
  <conditionalFormatting sqref="AB42">
    <cfRule type="cellIs" dxfId="866" priority="1395" operator="equal">
      <formula>0</formula>
    </cfRule>
  </conditionalFormatting>
  <conditionalFormatting sqref="AB44">
    <cfRule type="cellIs" dxfId="865" priority="1394" operator="equal">
      <formula>0</formula>
    </cfRule>
  </conditionalFormatting>
  <conditionalFormatting sqref="AB34">
    <cfRule type="cellIs" dxfId="864" priority="1393" operator="equal">
      <formula>0</formula>
    </cfRule>
  </conditionalFormatting>
  <conditionalFormatting sqref="AB32">
    <cfRule type="cellIs" dxfId="863" priority="1392" operator="equal">
      <formula>0</formula>
    </cfRule>
  </conditionalFormatting>
  <conditionalFormatting sqref="AB27">
    <cfRule type="cellIs" dxfId="862" priority="1391" operator="equal">
      <formula>0</formula>
    </cfRule>
  </conditionalFormatting>
  <conditionalFormatting sqref="AB46">
    <cfRule type="cellIs" dxfId="861" priority="1390" operator="equal">
      <formula>0</formula>
    </cfRule>
  </conditionalFormatting>
  <conditionalFormatting sqref="G50:AB50">
    <cfRule type="cellIs" dxfId="860" priority="1372" operator="equal">
      <formula>0</formula>
    </cfRule>
  </conditionalFormatting>
  <conditionalFormatting sqref="G50:AB50">
    <cfRule type="cellIs" dxfId="859" priority="1371" operator="equal">
      <formula>0</formula>
    </cfRule>
  </conditionalFormatting>
  <conditionalFormatting sqref="D103:AA103 D101:AA101">
    <cfRule type="expression" dxfId="858" priority="1360">
      <formula>D103&gt;D101</formula>
    </cfRule>
  </conditionalFormatting>
  <conditionalFormatting sqref="D104:AA104 D102:AA102">
    <cfRule type="expression" dxfId="857" priority="1359">
      <formula>D104&gt;D102</formula>
    </cfRule>
  </conditionalFormatting>
  <conditionalFormatting sqref="D180:AA180">
    <cfRule type="expression" dxfId="856" priority="1356">
      <formula>D181&gt;D180</formula>
    </cfRule>
  </conditionalFormatting>
  <conditionalFormatting sqref="D181:AA181">
    <cfRule type="expression" dxfId="855" priority="1355">
      <formula>D182&gt;D181</formula>
    </cfRule>
  </conditionalFormatting>
  <conditionalFormatting sqref="K183 M183 O183 Q183 S183 U183 W183 Y183 AA183">
    <cfRule type="expression" dxfId="854" priority="1354">
      <formula>K184&gt;K183</formula>
    </cfRule>
  </conditionalFormatting>
  <conditionalFormatting sqref="D185:AA185">
    <cfRule type="expression" dxfId="853" priority="1353">
      <formula>D186&gt;D185</formula>
    </cfRule>
  </conditionalFormatting>
  <conditionalFormatting sqref="D187:AA187">
    <cfRule type="expression" dxfId="852" priority="1350">
      <formula>D190&gt;D187</formula>
    </cfRule>
    <cfRule type="expression" dxfId="851" priority="1352">
      <formula>D188&gt;D187</formula>
    </cfRule>
  </conditionalFormatting>
  <conditionalFormatting sqref="D188:AA188">
    <cfRule type="expression" dxfId="850" priority="1351">
      <formula>D189&gt;D188</formula>
    </cfRule>
  </conditionalFormatting>
  <conditionalFormatting sqref="K194">
    <cfRule type="expression" dxfId="849" priority="1349">
      <formula>(K195+K196)&gt;K194</formula>
    </cfRule>
  </conditionalFormatting>
  <conditionalFormatting sqref="K196">
    <cfRule type="expression" dxfId="848" priority="863">
      <formula>K196&gt;K194</formula>
    </cfRule>
    <cfRule type="expression" dxfId="847" priority="1348">
      <formula>K197&gt;K196</formula>
    </cfRule>
  </conditionalFormatting>
  <conditionalFormatting sqref="K200">
    <cfRule type="expression" dxfId="846" priority="1347">
      <formula>K201&gt;K200</formula>
    </cfRule>
  </conditionalFormatting>
  <conditionalFormatting sqref="K204">
    <cfRule type="expression" dxfId="845" priority="1346">
      <formula>K205&gt;K204</formula>
    </cfRule>
  </conditionalFormatting>
  <conditionalFormatting sqref="K208">
    <cfRule type="expression" dxfId="844" priority="1345">
      <formula>K209&gt;K208</formula>
    </cfRule>
  </conditionalFormatting>
  <conditionalFormatting sqref="M194">
    <cfRule type="expression" dxfId="843" priority="1344">
      <formula>(M195+M196)&gt;M194</formula>
    </cfRule>
  </conditionalFormatting>
  <conditionalFormatting sqref="M196">
    <cfRule type="expression" dxfId="842" priority="1343">
      <formula>M197&gt;M196</formula>
    </cfRule>
  </conditionalFormatting>
  <conditionalFormatting sqref="M200">
    <cfRule type="expression" dxfId="841" priority="1342">
      <formula>M201&gt;M200</formula>
    </cfRule>
  </conditionalFormatting>
  <conditionalFormatting sqref="M204">
    <cfRule type="expression" dxfId="840" priority="1341">
      <formula>M205&gt;M204</formula>
    </cfRule>
  </conditionalFormatting>
  <conditionalFormatting sqref="M208">
    <cfRule type="expression" dxfId="839" priority="1340">
      <formula>M209&gt;M208</formula>
    </cfRule>
  </conditionalFormatting>
  <conditionalFormatting sqref="O194">
    <cfRule type="expression" dxfId="838" priority="1339">
      <formula>(O195+O196)&gt;O194</formula>
    </cfRule>
  </conditionalFormatting>
  <conditionalFormatting sqref="O196">
    <cfRule type="expression" dxfId="837" priority="1338">
      <formula>O197&gt;O196</formula>
    </cfRule>
  </conditionalFormatting>
  <conditionalFormatting sqref="O200">
    <cfRule type="expression" dxfId="836" priority="1337">
      <formula>O201&gt;O200</formula>
    </cfRule>
  </conditionalFormatting>
  <conditionalFormatting sqref="O204">
    <cfRule type="expression" dxfId="835" priority="1336">
      <formula>O205&gt;O204</formula>
    </cfRule>
  </conditionalFormatting>
  <conditionalFormatting sqref="O208">
    <cfRule type="expression" dxfId="834" priority="1335">
      <formula>O209&gt;O208</formula>
    </cfRule>
  </conditionalFormatting>
  <conditionalFormatting sqref="Q194">
    <cfRule type="expression" dxfId="833" priority="1334">
      <formula>(Q195+Q196)&gt;Q194</formula>
    </cfRule>
  </conditionalFormatting>
  <conditionalFormatting sqref="Q196">
    <cfRule type="expression" dxfId="832" priority="1333">
      <formula>Q197&gt;Q196</formula>
    </cfRule>
  </conditionalFormatting>
  <conditionalFormatting sqref="Q200">
    <cfRule type="expression" dxfId="831" priority="1332">
      <formula>Q201&gt;Q200</formula>
    </cfRule>
  </conditionalFormatting>
  <conditionalFormatting sqref="Q204">
    <cfRule type="expression" dxfId="830" priority="1331">
      <formula>Q205&gt;Q204</formula>
    </cfRule>
  </conditionalFormatting>
  <conditionalFormatting sqref="Q208">
    <cfRule type="expression" dxfId="829" priority="1330">
      <formula>Q209&gt;Q208</formula>
    </cfRule>
  </conditionalFormatting>
  <conditionalFormatting sqref="S194">
    <cfRule type="expression" dxfId="828" priority="1329">
      <formula>(S195+S196)&gt;S194</formula>
    </cfRule>
  </conditionalFormatting>
  <conditionalFormatting sqref="S196">
    <cfRule type="expression" dxfId="827" priority="1328">
      <formula>S197&gt;S196</formula>
    </cfRule>
  </conditionalFormatting>
  <conditionalFormatting sqref="S200">
    <cfRule type="expression" dxfId="826" priority="1327">
      <formula>S201&gt;S200</formula>
    </cfRule>
  </conditionalFormatting>
  <conditionalFormatting sqref="S204">
    <cfRule type="expression" dxfId="825" priority="1326">
      <formula>S205&gt;S204</formula>
    </cfRule>
  </conditionalFormatting>
  <conditionalFormatting sqref="S208">
    <cfRule type="expression" dxfId="824" priority="1325">
      <formula>S209&gt;S208</formula>
    </cfRule>
  </conditionalFormatting>
  <conditionalFormatting sqref="U194">
    <cfRule type="expression" dxfId="823" priority="1324">
      <formula>(U195+U196)&gt;U194</formula>
    </cfRule>
  </conditionalFormatting>
  <conditionalFormatting sqref="U196">
    <cfRule type="expression" dxfId="822" priority="1323">
      <formula>U197&gt;U196</formula>
    </cfRule>
  </conditionalFormatting>
  <conditionalFormatting sqref="U200">
    <cfRule type="expression" dxfId="821" priority="1322">
      <formula>U201&gt;U200</formula>
    </cfRule>
  </conditionalFormatting>
  <conditionalFormatting sqref="U204">
    <cfRule type="expression" dxfId="820" priority="1321">
      <formula>U205&gt;U204</formula>
    </cfRule>
  </conditionalFormatting>
  <conditionalFormatting sqref="U208">
    <cfRule type="expression" dxfId="819" priority="1320">
      <formula>U209&gt;U208</formula>
    </cfRule>
  </conditionalFormatting>
  <conditionalFormatting sqref="W194">
    <cfRule type="expression" dxfId="818" priority="1319">
      <formula>(W195+W196)&gt;W194</formula>
    </cfRule>
  </conditionalFormatting>
  <conditionalFormatting sqref="W196">
    <cfRule type="expression" dxfId="817" priority="1318">
      <formula>W197&gt;W196</formula>
    </cfRule>
  </conditionalFormatting>
  <conditionalFormatting sqref="W200">
    <cfRule type="expression" dxfId="816" priority="1317">
      <formula>W201&gt;W200</formula>
    </cfRule>
  </conditionalFormatting>
  <conditionalFormatting sqref="W204">
    <cfRule type="expression" dxfId="815" priority="1316">
      <formula>W205&gt;W204</formula>
    </cfRule>
  </conditionalFormatting>
  <conditionalFormatting sqref="W208">
    <cfRule type="expression" dxfId="814" priority="1315">
      <formula>W209&gt;W208</formula>
    </cfRule>
  </conditionalFormatting>
  <conditionalFormatting sqref="Y194">
    <cfRule type="expression" dxfId="813" priority="1314">
      <formula>(Y195+Y196)&gt;Y194</formula>
    </cfRule>
  </conditionalFormatting>
  <conditionalFormatting sqref="Y196">
    <cfRule type="expression" dxfId="812" priority="1313">
      <formula>Y197&gt;Y196</formula>
    </cfRule>
  </conditionalFormatting>
  <conditionalFormatting sqref="Y200">
    <cfRule type="expression" dxfId="811" priority="1312">
      <formula>Y201&gt;Y200</formula>
    </cfRule>
  </conditionalFormatting>
  <conditionalFormatting sqref="Y204">
    <cfRule type="expression" dxfId="810" priority="1311">
      <formula>Y205&gt;Y204</formula>
    </cfRule>
  </conditionalFormatting>
  <conditionalFormatting sqref="Y208">
    <cfRule type="expression" dxfId="809" priority="1310">
      <formula>Y209&gt;Y208</formula>
    </cfRule>
  </conditionalFormatting>
  <conditionalFormatting sqref="J214">
    <cfRule type="expression" dxfId="808" priority="1309">
      <formula>J215&gt;J214</formula>
    </cfRule>
  </conditionalFormatting>
  <conditionalFormatting sqref="L214">
    <cfRule type="expression" dxfId="807" priority="1308">
      <formula>L215&gt;L214</formula>
    </cfRule>
  </conditionalFormatting>
  <conditionalFormatting sqref="N214">
    <cfRule type="expression" dxfId="806" priority="1307">
      <formula>N215&gt;N214</formula>
    </cfRule>
  </conditionalFormatting>
  <conditionalFormatting sqref="P214">
    <cfRule type="expression" dxfId="805" priority="1306">
      <formula>P215&gt;P214</formula>
    </cfRule>
  </conditionalFormatting>
  <conditionalFormatting sqref="R214">
    <cfRule type="expression" dxfId="804" priority="1305">
      <formula>R215&gt;R214</formula>
    </cfRule>
  </conditionalFormatting>
  <conditionalFormatting sqref="T214">
    <cfRule type="expression" dxfId="803" priority="1304">
      <formula>T215&gt;T214</formula>
    </cfRule>
  </conditionalFormatting>
  <conditionalFormatting sqref="V214">
    <cfRule type="expression" dxfId="802" priority="1303">
      <formula>V215&gt;V214</formula>
    </cfRule>
  </conditionalFormatting>
  <conditionalFormatting sqref="X214">
    <cfRule type="expression" dxfId="801" priority="1302">
      <formula>X215&gt;X214</formula>
    </cfRule>
  </conditionalFormatting>
  <conditionalFormatting sqref="Z214">
    <cfRule type="expression" dxfId="800" priority="1301">
      <formula>Z215&gt;Z214</formula>
    </cfRule>
  </conditionalFormatting>
  <conditionalFormatting sqref="K195">
    <cfRule type="expression" dxfId="799" priority="856">
      <formula>K195&gt;K194</formula>
    </cfRule>
    <cfRule type="expression" dxfId="798" priority="1300">
      <formula>K228&gt;K195</formula>
    </cfRule>
  </conditionalFormatting>
  <conditionalFormatting sqref="M195">
    <cfRule type="expression" dxfId="797" priority="1299">
      <formula>M228&gt;M195</formula>
    </cfRule>
  </conditionalFormatting>
  <conditionalFormatting sqref="O195">
    <cfRule type="expression" dxfId="796" priority="1298">
      <formula>O228&gt;O195</formula>
    </cfRule>
  </conditionalFormatting>
  <conditionalFormatting sqref="Q195">
    <cfRule type="expression" dxfId="795" priority="1297">
      <formula>Q228&gt;Q195</formula>
    </cfRule>
  </conditionalFormatting>
  <conditionalFormatting sqref="S195">
    <cfRule type="expression" dxfId="794" priority="1296">
      <formula>S228&gt;S195</formula>
    </cfRule>
  </conditionalFormatting>
  <conditionalFormatting sqref="U195">
    <cfRule type="expression" dxfId="793" priority="1295">
      <formula>U228&gt;U195</formula>
    </cfRule>
  </conditionalFormatting>
  <conditionalFormatting sqref="W195">
    <cfRule type="expression" dxfId="792" priority="1294">
      <formula>W228&gt;W195</formula>
    </cfRule>
  </conditionalFormatting>
  <conditionalFormatting sqref="Y195">
    <cfRule type="expression" dxfId="791" priority="1293">
      <formula>Y228&gt;Y195</formula>
    </cfRule>
  </conditionalFormatting>
  <conditionalFormatting sqref="K197 M197 O197 Q197 S197 U197 W197 Y197">
    <cfRule type="expression" dxfId="790" priority="1292">
      <formula>K229&gt;K197</formula>
    </cfRule>
  </conditionalFormatting>
  <conditionalFormatting sqref="M194">
    <cfRule type="expression" dxfId="789" priority="1288">
      <formula>(M195+M196)&gt;M194</formula>
    </cfRule>
  </conditionalFormatting>
  <conditionalFormatting sqref="M196">
    <cfRule type="expression" dxfId="788" priority="1287">
      <formula>M197&gt;M196</formula>
    </cfRule>
  </conditionalFormatting>
  <conditionalFormatting sqref="M200">
    <cfRule type="expression" dxfId="787" priority="1286">
      <formula>M201&gt;M200</formula>
    </cfRule>
  </conditionalFormatting>
  <conditionalFormatting sqref="M204">
    <cfRule type="expression" dxfId="786" priority="1285">
      <formula>M205&gt;M204</formula>
    </cfRule>
  </conditionalFormatting>
  <conditionalFormatting sqref="M208">
    <cfRule type="expression" dxfId="785" priority="1284">
      <formula>M209&gt;M208</formula>
    </cfRule>
  </conditionalFormatting>
  <conditionalFormatting sqref="M195">
    <cfRule type="expression" dxfId="784" priority="1283">
      <formula>M228&gt;M195</formula>
    </cfRule>
  </conditionalFormatting>
  <conditionalFormatting sqref="K207 M207 O207 Q207 S207 U207 W207 Y207">
    <cfRule type="expression" dxfId="783" priority="1281">
      <formula>K234&gt;K207</formula>
    </cfRule>
  </conditionalFormatting>
  <conditionalFormatting sqref="O194">
    <cfRule type="expression" dxfId="782" priority="1279">
      <formula>(O195+O196)&gt;O194</formula>
    </cfRule>
  </conditionalFormatting>
  <conditionalFormatting sqref="O196">
    <cfRule type="expression" dxfId="781" priority="1278">
      <formula>O197&gt;O196</formula>
    </cfRule>
  </conditionalFormatting>
  <conditionalFormatting sqref="O200">
    <cfRule type="expression" dxfId="780" priority="1277">
      <formula>O201&gt;O200</formula>
    </cfRule>
  </conditionalFormatting>
  <conditionalFormatting sqref="O204">
    <cfRule type="expression" dxfId="779" priority="1276">
      <formula>O205&gt;O204</formula>
    </cfRule>
  </conditionalFormatting>
  <conditionalFormatting sqref="O208">
    <cfRule type="expression" dxfId="778" priority="1275">
      <formula>O209&gt;O208</formula>
    </cfRule>
  </conditionalFormatting>
  <conditionalFormatting sqref="O195">
    <cfRule type="expression" dxfId="777" priority="1274">
      <formula>O228&gt;O195</formula>
    </cfRule>
  </conditionalFormatting>
  <conditionalFormatting sqref="Q194">
    <cfRule type="expression" dxfId="776" priority="1270">
      <formula>(Q195+Q196)&gt;Q194</formula>
    </cfRule>
  </conditionalFormatting>
  <conditionalFormatting sqref="Q196">
    <cfRule type="expression" dxfId="775" priority="1269">
      <formula>Q197&gt;Q196</formula>
    </cfRule>
  </conditionalFormatting>
  <conditionalFormatting sqref="Q200">
    <cfRule type="expression" dxfId="774" priority="1268">
      <formula>Q201&gt;Q200</formula>
    </cfRule>
  </conditionalFormatting>
  <conditionalFormatting sqref="Q204">
    <cfRule type="expression" dxfId="773" priority="1267">
      <formula>Q205&gt;Q204</formula>
    </cfRule>
  </conditionalFormatting>
  <conditionalFormatting sqref="Q208">
    <cfRule type="expression" dxfId="772" priority="1266">
      <formula>Q209&gt;Q208</formula>
    </cfRule>
  </conditionalFormatting>
  <conditionalFormatting sqref="Q195">
    <cfRule type="expression" dxfId="771" priority="1265">
      <formula>Q228&gt;Q195</formula>
    </cfRule>
  </conditionalFormatting>
  <conditionalFormatting sqref="S194">
    <cfRule type="expression" dxfId="770" priority="1261">
      <formula>(S195+S196)&gt;S194</formula>
    </cfRule>
  </conditionalFormatting>
  <conditionalFormatting sqref="S196">
    <cfRule type="expression" dxfId="769" priority="1260">
      <formula>S197&gt;S196</formula>
    </cfRule>
  </conditionalFormatting>
  <conditionalFormatting sqref="S200">
    <cfRule type="expression" dxfId="768" priority="1259">
      <formula>S201&gt;S200</formula>
    </cfRule>
  </conditionalFormatting>
  <conditionalFormatting sqref="S204">
    <cfRule type="expression" dxfId="767" priority="1258">
      <formula>S205&gt;S204</formula>
    </cfRule>
  </conditionalFormatting>
  <conditionalFormatting sqref="S208">
    <cfRule type="expression" dxfId="766" priority="1257">
      <formula>S209&gt;S208</formula>
    </cfRule>
  </conditionalFormatting>
  <conditionalFormatting sqref="S195">
    <cfRule type="expression" dxfId="765" priority="1256">
      <formula>S228&gt;S195</formula>
    </cfRule>
  </conditionalFormatting>
  <conditionalFormatting sqref="U194">
    <cfRule type="expression" dxfId="764" priority="1252">
      <formula>(U195+U196)&gt;U194</formula>
    </cfRule>
  </conditionalFormatting>
  <conditionalFormatting sqref="U196">
    <cfRule type="expression" dxfId="763" priority="1251">
      <formula>U197&gt;U196</formula>
    </cfRule>
  </conditionalFormatting>
  <conditionalFormatting sqref="U200">
    <cfRule type="expression" dxfId="762" priority="1250">
      <formula>U201&gt;U200</formula>
    </cfRule>
  </conditionalFormatting>
  <conditionalFormatting sqref="U204">
    <cfRule type="expression" dxfId="761" priority="1249">
      <formula>U205&gt;U204</formula>
    </cfRule>
  </conditionalFormatting>
  <conditionalFormatting sqref="U208">
    <cfRule type="expression" dxfId="760" priority="1248">
      <formula>U209&gt;U208</formula>
    </cfRule>
  </conditionalFormatting>
  <conditionalFormatting sqref="U195">
    <cfRule type="expression" dxfId="759" priority="1247">
      <formula>U228&gt;U195</formula>
    </cfRule>
  </conditionalFormatting>
  <conditionalFormatting sqref="W194">
    <cfRule type="expression" dxfId="758" priority="1243">
      <formula>(W195+W196)&gt;W194</formula>
    </cfRule>
  </conditionalFormatting>
  <conditionalFormatting sqref="W196">
    <cfRule type="expression" dxfId="757" priority="1242">
      <formula>W197&gt;W196</formula>
    </cfRule>
  </conditionalFormatting>
  <conditionalFormatting sqref="W200">
    <cfRule type="expression" dxfId="756" priority="1241">
      <formula>W201&gt;W200</formula>
    </cfRule>
  </conditionalFormatting>
  <conditionalFormatting sqref="W204">
    <cfRule type="expression" dxfId="755" priority="1240">
      <formula>W205&gt;W204</formula>
    </cfRule>
  </conditionalFormatting>
  <conditionalFormatting sqref="W208">
    <cfRule type="expression" dxfId="754" priority="1239">
      <formula>W209&gt;W208</formula>
    </cfRule>
  </conditionalFormatting>
  <conditionalFormatting sqref="W195">
    <cfRule type="expression" dxfId="753" priority="1238">
      <formula>W228&gt;W195</formula>
    </cfRule>
  </conditionalFormatting>
  <conditionalFormatting sqref="Y194">
    <cfRule type="expression" dxfId="752" priority="1234">
      <formula>(Y195+Y196)&gt;Y194</formula>
    </cfRule>
  </conditionalFormatting>
  <conditionalFormatting sqref="Y196">
    <cfRule type="expression" dxfId="751" priority="1233">
      <formula>Y197&gt;Y196</formula>
    </cfRule>
  </conditionalFormatting>
  <conditionalFormatting sqref="Y200">
    <cfRule type="expression" dxfId="750" priority="1232">
      <formula>Y201&gt;Y200</formula>
    </cfRule>
  </conditionalFormatting>
  <conditionalFormatting sqref="Y204">
    <cfRule type="expression" dxfId="749" priority="1231">
      <formula>Y205&gt;Y204</formula>
    </cfRule>
  </conditionalFormatting>
  <conditionalFormatting sqref="Y208">
    <cfRule type="expression" dxfId="748" priority="1230">
      <formula>Y209&gt;Y208</formula>
    </cfRule>
  </conditionalFormatting>
  <conditionalFormatting sqref="Y195">
    <cfRule type="expression" dxfId="747" priority="1229">
      <formula>Y228&gt;Y195</formula>
    </cfRule>
  </conditionalFormatting>
  <conditionalFormatting sqref="K238 M238 O238 Q238 S238 U238 W238 Y238">
    <cfRule type="expression" dxfId="746" priority="1225">
      <formula>K238&gt;K255</formula>
    </cfRule>
  </conditionalFormatting>
  <conditionalFormatting sqref="D268:AA268">
    <cfRule type="expression" dxfId="745" priority="1215">
      <formula>D268&lt;&gt;D255</formula>
    </cfRule>
  </conditionalFormatting>
  <conditionalFormatting sqref="F26:AA26">
    <cfRule type="expression" dxfId="744" priority="1198">
      <formula>F27&gt;F26</formula>
    </cfRule>
  </conditionalFormatting>
  <conditionalFormatting sqref="F31:AA31">
    <cfRule type="expression" dxfId="743" priority="1197">
      <formula>F32&gt;F31</formula>
    </cfRule>
  </conditionalFormatting>
  <conditionalFormatting sqref="F33:AA33">
    <cfRule type="expression" dxfId="742" priority="1196">
      <formula>F34&gt;F33</formula>
    </cfRule>
  </conditionalFormatting>
  <conditionalFormatting sqref="F35">
    <cfRule type="expression" dxfId="741" priority="1195">
      <formula>F36&gt;F35</formula>
    </cfRule>
  </conditionalFormatting>
  <conditionalFormatting sqref="G35">
    <cfRule type="expression" dxfId="740" priority="1194">
      <formula>G36&gt;G35</formula>
    </cfRule>
  </conditionalFormatting>
  <conditionalFormatting sqref="F37:G37">
    <cfRule type="expression" dxfId="739" priority="1193">
      <formula>F38&gt;F37</formula>
    </cfRule>
  </conditionalFormatting>
  <conditionalFormatting sqref="F39:AA39">
    <cfRule type="expression" dxfId="738" priority="1192">
      <formula>F40&gt;F39</formula>
    </cfRule>
  </conditionalFormatting>
  <conditionalFormatting sqref="F41:AA41">
    <cfRule type="expression" dxfId="737" priority="1191">
      <formula>F42&gt;F41</formula>
    </cfRule>
  </conditionalFormatting>
  <conditionalFormatting sqref="F43:AA43">
    <cfRule type="expression" dxfId="736" priority="1190">
      <formula>F44&gt;F43</formula>
    </cfRule>
  </conditionalFormatting>
  <conditionalFormatting sqref="L45:AA45">
    <cfRule type="expression" dxfId="735" priority="1189">
      <formula>L46&gt;L45</formula>
    </cfRule>
  </conditionalFormatting>
  <conditionalFormatting sqref="L47">
    <cfRule type="expression" dxfId="734" priority="1188">
      <formula>L48&gt;L47</formula>
    </cfRule>
  </conditionalFormatting>
  <conditionalFormatting sqref="N47">
    <cfRule type="expression" dxfId="733" priority="1187">
      <formula>N48&gt;N47</formula>
    </cfRule>
  </conditionalFormatting>
  <conditionalFormatting sqref="P47">
    <cfRule type="expression" dxfId="732" priority="1186">
      <formula>P48&gt;P47</formula>
    </cfRule>
  </conditionalFormatting>
  <conditionalFormatting sqref="R47">
    <cfRule type="expression" dxfId="731" priority="1185">
      <formula>R48&gt;R47</formula>
    </cfRule>
  </conditionalFormatting>
  <conditionalFormatting sqref="T47">
    <cfRule type="expression" dxfId="730" priority="1184">
      <formula>T48&gt;T47</formula>
    </cfRule>
  </conditionalFormatting>
  <conditionalFormatting sqref="V47">
    <cfRule type="expression" dxfId="729" priority="1183">
      <formula>V48&gt;V47</formula>
    </cfRule>
  </conditionalFormatting>
  <conditionalFormatting sqref="X47">
    <cfRule type="expression" dxfId="728" priority="1182">
      <formula>X48&gt;X47</formula>
    </cfRule>
  </conditionalFormatting>
  <conditionalFormatting sqref="Z47">
    <cfRule type="expression" dxfId="727" priority="1181">
      <formula>Z48&gt;Z47</formula>
    </cfRule>
  </conditionalFormatting>
  <conditionalFormatting sqref="AC10 AC13 AC17:AC18">
    <cfRule type="notContainsBlanks" dxfId="726" priority="1179">
      <formula>LEN(TRIM(AC10))&gt;0</formula>
    </cfRule>
  </conditionalFormatting>
  <conditionalFormatting sqref="AE8:AF8 AE9:AE18">
    <cfRule type="notContainsBlanks" dxfId="725" priority="1178">
      <formula>LEN(TRIM(AE8))&gt;0</formula>
    </cfRule>
  </conditionalFormatting>
  <conditionalFormatting sqref="AD8">
    <cfRule type="notContainsBlanks" dxfId="724" priority="1647">
      <formula>LEN(TRIM(AD8))&gt;0</formula>
    </cfRule>
  </conditionalFormatting>
  <conditionalFormatting sqref="Y198">
    <cfRule type="cellIs" dxfId="723" priority="1166" operator="equal">
      <formula>0</formula>
    </cfRule>
  </conditionalFormatting>
  <conditionalFormatting sqref="W198">
    <cfRule type="cellIs" dxfId="722" priority="1165" operator="equal">
      <formula>0</formula>
    </cfRule>
  </conditionalFormatting>
  <conditionalFormatting sqref="U198">
    <cfRule type="cellIs" dxfId="721" priority="1164" operator="equal">
      <formula>0</formula>
    </cfRule>
  </conditionalFormatting>
  <conditionalFormatting sqref="S198">
    <cfRule type="cellIs" dxfId="720" priority="1163" operator="equal">
      <formula>0</formula>
    </cfRule>
  </conditionalFormatting>
  <conditionalFormatting sqref="Q198">
    <cfRule type="cellIs" dxfId="719" priority="1162" operator="equal">
      <formula>0</formula>
    </cfRule>
  </conditionalFormatting>
  <conditionalFormatting sqref="O198">
    <cfRule type="cellIs" dxfId="718" priority="1161" operator="equal">
      <formula>0</formula>
    </cfRule>
  </conditionalFormatting>
  <conditionalFormatting sqref="M198">
    <cfRule type="cellIs" dxfId="717" priority="1160" operator="equal">
      <formula>0</formula>
    </cfRule>
  </conditionalFormatting>
  <conditionalFormatting sqref="K198">
    <cfRule type="cellIs" dxfId="716" priority="1159" operator="equal">
      <formula>0</formula>
    </cfRule>
  </conditionalFormatting>
  <conditionalFormatting sqref="B198">
    <cfRule type="cellIs" dxfId="715" priority="1158" operator="equal">
      <formula>0</formula>
    </cfRule>
  </conditionalFormatting>
  <conditionalFormatting sqref="B199">
    <cfRule type="cellIs" dxfId="714" priority="1157" operator="equal">
      <formula>0</formula>
    </cfRule>
  </conditionalFormatting>
  <conditionalFormatting sqref="K199">
    <cfRule type="cellIs" dxfId="713" priority="1149" operator="equal">
      <formula>0</formula>
    </cfRule>
  </conditionalFormatting>
  <conditionalFormatting sqref="M199">
    <cfRule type="cellIs" dxfId="712" priority="1148" operator="equal">
      <formula>0</formula>
    </cfRule>
  </conditionalFormatting>
  <conditionalFormatting sqref="O199">
    <cfRule type="cellIs" dxfId="711" priority="1147" operator="equal">
      <formula>0</formula>
    </cfRule>
  </conditionalFormatting>
  <conditionalFormatting sqref="Q199">
    <cfRule type="cellIs" dxfId="710" priority="1146" operator="equal">
      <formula>0</formula>
    </cfRule>
  </conditionalFormatting>
  <conditionalFormatting sqref="S199">
    <cfRule type="cellIs" dxfId="709" priority="1145" operator="equal">
      <formula>0</formula>
    </cfRule>
  </conditionalFormatting>
  <conditionalFormatting sqref="U199">
    <cfRule type="cellIs" dxfId="708" priority="1144" operator="equal">
      <formula>0</formula>
    </cfRule>
  </conditionalFormatting>
  <conditionalFormatting sqref="W199">
    <cfRule type="cellIs" dxfId="707" priority="1143" operator="equal">
      <formula>0</formula>
    </cfRule>
  </conditionalFormatting>
  <conditionalFormatting sqref="Y199">
    <cfRule type="cellIs" dxfId="706" priority="1142" operator="equal">
      <formula>0</formula>
    </cfRule>
  </conditionalFormatting>
  <conditionalFormatting sqref="K212">
    <cfRule type="expression" dxfId="705" priority="1483">
      <formula>K238&gt;K212</formula>
    </cfRule>
  </conditionalFormatting>
  <conditionalFormatting sqref="K209">
    <cfRule type="expression" dxfId="704" priority="41">
      <formula>K241&gt;K211+K209</formula>
    </cfRule>
    <cfRule type="expression" dxfId="703" priority="1484">
      <formula>K235&gt;K209</formula>
    </cfRule>
  </conditionalFormatting>
  <conditionalFormatting sqref="M198 O198 Q198 S198 U198 W198 Y198 K198">
    <cfRule type="expression" dxfId="702" priority="1485">
      <formula>K233&gt;K198</formula>
    </cfRule>
  </conditionalFormatting>
  <conditionalFormatting sqref="K230">
    <cfRule type="cellIs" dxfId="701" priority="1141" operator="equal">
      <formula>0</formula>
    </cfRule>
  </conditionalFormatting>
  <conditionalFormatting sqref="O230">
    <cfRule type="cellIs" dxfId="700" priority="1132" operator="equal">
      <formula>0</formula>
    </cfRule>
  </conditionalFormatting>
  <conditionalFormatting sqref="M230">
    <cfRule type="cellIs" dxfId="699" priority="1133" operator="equal">
      <formula>0</formula>
    </cfRule>
  </conditionalFormatting>
  <conditionalFormatting sqref="Q230">
    <cfRule type="cellIs" dxfId="698" priority="1131" operator="equal">
      <formula>0</formula>
    </cfRule>
  </conditionalFormatting>
  <conditionalFormatting sqref="S230">
    <cfRule type="cellIs" dxfId="697" priority="1130" operator="equal">
      <formula>0</formula>
    </cfRule>
  </conditionalFormatting>
  <conditionalFormatting sqref="U230">
    <cfRule type="cellIs" dxfId="696" priority="1129" operator="equal">
      <formula>0</formula>
    </cfRule>
  </conditionalFormatting>
  <conditionalFormatting sqref="W230">
    <cfRule type="cellIs" dxfId="695" priority="1128" operator="equal">
      <formula>0</formula>
    </cfRule>
  </conditionalFormatting>
  <conditionalFormatting sqref="Y230">
    <cfRule type="cellIs" dxfId="694" priority="1127" operator="equal">
      <formula>0</formula>
    </cfRule>
  </conditionalFormatting>
  <conditionalFormatting sqref="B230">
    <cfRule type="cellIs" dxfId="693" priority="1126" operator="equal">
      <formula>0</formula>
    </cfRule>
  </conditionalFormatting>
  <conditionalFormatting sqref="B218">
    <cfRule type="cellIs" dxfId="692" priority="1125" operator="equal">
      <formula>0</formula>
    </cfRule>
  </conditionalFormatting>
  <conditionalFormatting sqref="B221">
    <cfRule type="cellIs" dxfId="691" priority="1112" operator="equal">
      <formula>0</formula>
    </cfRule>
  </conditionalFormatting>
  <conditionalFormatting sqref="AC224">
    <cfRule type="notContainsBlanks" dxfId="690" priority="1102">
      <formula>LEN(TRIM(AC224))&gt;0</formula>
    </cfRule>
  </conditionalFormatting>
  <conditionalFormatting sqref="AE224">
    <cfRule type="notContainsBlanks" dxfId="689" priority="1101">
      <formula>LEN(TRIM(AE224))&gt;0</formula>
    </cfRule>
  </conditionalFormatting>
  <conditionalFormatting sqref="AB224">
    <cfRule type="cellIs" dxfId="688" priority="1100" operator="equal">
      <formula>0</formula>
    </cfRule>
  </conditionalFormatting>
  <conditionalFormatting sqref="B224">
    <cfRule type="cellIs" dxfId="687" priority="1089" operator="equal">
      <formula>0</formula>
    </cfRule>
  </conditionalFormatting>
  <conditionalFormatting sqref="AC176">
    <cfRule type="notContainsBlanks" dxfId="686" priority="1088">
      <formula>LEN(TRIM(AC176))&gt;0</formula>
    </cfRule>
  </conditionalFormatting>
  <conditionalFormatting sqref="AE176:AF176">
    <cfRule type="notContainsBlanks" dxfId="685" priority="1087">
      <formula>LEN(TRIM(AE176))&gt;0</formula>
    </cfRule>
  </conditionalFormatting>
  <conditionalFormatting sqref="AD176">
    <cfRule type="notContainsBlanks" dxfId="684" priority="1648">
      <formula>LEN(TRIM(AD176))&gt;0</formula>
    </cfRule>
  </conditionalFormatting>
  <conditionalFormatting sqref="AB176">
    <cfRule type="cellIs" dxfId="683" priority="1084" operator="equal">
      <formula>0</formula>
    </cfRule>
  </conditionalFormatting>
  <conditionalFormatting sqref="AC141:AC142 AC144 AC146:AC148">
    <cfRule type="notContainsBlanks" dxfId="682" priority="1082">
      <formula>LEN(TRIM(AC141))&gt;0</formula>
    </cfRule>
  </conditionalFormatting>
  <conditionalFormatting sqref="AE141:AF148">
    <cfRule type="notContainsBlanks" dxfId="681" priority="1081">
      <formula>LEN(TRIM(AE141))&gt;0</formula>
    </cfRule>
  </conditionalFormatting>
  <conditionalFormatting sqref="AB141:AB148">
    <cfRule type="cellIs" dxfId="680" priority="1078" operator="equal">
      <formula>0</formula>
    </cfRule>
  </conditionalFormatting>
  <conditionalFormatting sqref="D140:AB140">
    <cfRule type="cellIs" dxfId="679" priority="1076" operator="equal">
      <formula>0</formula>
    </cfRule>
  </conditionalFormatting>
  <conditionalFormatting sqref="AE315 AE320:AE321">
    <cfRule type="notContainsBlanks" dxfId="678" priority="1072">
      <formula>LEN(TRIM(AE315))&gt;0</formula>
    </cfRule>
  </conditionalFormatting>
  <conditionalFormatting sqref="AB315">
    <cfRule type="cellIs" dxfId="677" priority="1071" operator="equal">
      <formula>0</formula>
    </cfRule>
  </conditionalFormatting>
  <conditionalFormatting sqref="AC321">
    <cfRule type="notContainsBlanks" dxfId="676" priority="1073">
      <formula>LEN(TRIM(AC321))&gt;0</formula>
    </cfRule>
  </conditionalFormatting>
  <conditionalFormatting sqref="AC316:AC317">
    <cfRule type="notContainsBlanks" dxfId="675" priority="1070">
      <formula>LEN(TRIM(AC316))&gt;0</formula>
    </cfRule>
  </conditionalFormatting>
  <conditionalFormatting sqref="AE316:AE319">
    <cfRule type="notContainsBlanks" dxfId="674" priority="1067">
      <formula>LEN(TRIM(AE316))&gt;0</formula>
    </cfRule>
  </conditionalFormatting>
  <conditionalFormatting sqref="F318:AA318 D316:AA316">
    <cfRule type="cellIs" dxfId="673" priority="1065" operator="equal">
      <formula>0</formula>
    </cfRule>
  </conditionalFormatting>
  <conditionalFormatting sqref="AB316:AB324">
    <cfRule type="cellIs" dxfId="672" priority="1064" operator="equal">
      <formula>0</formula>
    </cfRule>
  </conditionalFormatting>
  <conditionalFormatting sqref="B317">
    <cfRule type="cellIs" dxfId="671" priority="1060" operator="equal">
      <formula>0</formula>
    </cfRule>
  </conditionalFormatting>
  <conditionalFormatting sqref="B319">
    <cfRule type="cellIs" dxfId="670" priority="1059" operator="equal">
      <formula>0</formula>
    </cfRule>
  </conditionalFormatting>
  <conditionalFormatting sqref="F317:AA317">
    <cfRule type="cellIs" dxfId="669" priority="1058" operator="equal">
      <formula>0</formula>
    </cfRule>
  </conditionalFormatting>
  <conditionalFormatting sqref="F319:AA319">
    <cfRule type="cellIs" dxfId="668" priority="1056" operator="equal">
      <formula>0</formula>
    </cfRule>
  </conditionalFormatting>
  <conditionalFormatting sqref="AE323">
    <cfRule type="notContainsBlanks" dxfId="667" priority="1054">
      <formula>LEN(TRIM(AE323))&gt;0</formula>
    </cfRule>
  </conditionalFormatting>
  <conditionalFormatting sqref="AE324">
    <cfRule type="notContainsBlanks" dxfId="666" priority="1050">
      <formula>LEN(TRIM(AE324))&gt;0</formula>
    </cfRule>
  </conditionalFormatting>
  <conditionalFormatting sqref="F321:AA321">
    <cfRule type="cellIs" dxfId="665" priority="1047" operator="equal">
      <formula>0</formula>
    </cfRule>
  </conditionalFormatting>
  <conditionalFormatting sqref="B321">
    <cfRule type="cellIs" dxfId="664" priority="1046" operator="equal">
      <formula>0</formula>
    </cfRule>
  </conditionalFormatting>
  <conditionalFormatting sqref="B324">
    <cfRule type="cellIs" dxfId="663" priority="1045" operator="equal">
      <formula>0</formula>
    </cfRule>
  </conditionalFormatting>
  <conditionalFormatting sqref="F324:AA324">
    <cfRule type="cellIs" dxfId="662" priority="1044" operator="equal">
      <formula>0</formula>
    </cfRule>
  </conditionalFormatting>
  <conditionalFormatting sqref="J67:AA67">
    <cfRule type="expression" dxfId="661" priority="1503">
      <formula>J67&gt;J64</formula>
    </cfRule>
  </conditionalFormatting>
  <conditionalFormatting sqref="D275:AA275">
    <cfRule type="expression" dxfId="660" priority="1506">
      <formula>D275&gt;D255</formula>
    </cfRule>
  </conditionalFormatting>
  <conditionalFormatting sqref="D275:AA275">
    <cfRule type="expression" dxfId="659" priority="1508">
      <formula>(D255*0.7)&gt;D275</formula>
    </cfRule>
  </conditionalFormatting>
  <conditionalFormatting sqref="D254:AA254">
    <cfRule type="cellIs" dxfId="658" priority="1041" operator="equal">
      <formula>0</formula>
    </cfRule>
  </conditionalFormatting>
  <conditionalFormatting sqref="AB254">
    <cfRule type="cellIs" dxfId="657" priority="1040" operator="equal">
      <formula>0</formula>
    </cfRule>
  </conditionalFormatting>
  <conditionalFormatting sqref="D245:AA245">
    <cfRule type="cellIs" dxfId="656" priority="1037" operator="equal">
      <formula>0</formula>
    </cfRule>
  </conditionalFormatting>
  <conditionalFormatting sqref="D245:AA245">
    <cfRule type="cellIs" dxfId="655" priority="1036" operator="equal">
      <formula>0</formula>
    </cfRule>
  </conditionalFormatting>
  <conditionalFormatting sqref="J79:AA79">
    <cfRule type="cellIs" dxfId="654" priority="1032" operator="equal">
      <formula>0</formula>
    </cfRule>
  </conditionalFormatting>
  <conditionalFormatting sqref="B79">
    <cfRule type="cellIs" dxfId="653" priority="1035" operator="equal">
      <formula>0</formula>
    </cfRule>
  </conditionalFormatting>
  <conditionalFormatting sqref="J79:AA79">
    <cfRule type="cellIs" dxfId="652" priority="1033" operator="equal">
      <formula>0</formula>
    </cfRule>
  </conditionalFormatting>
  <conditionalFormatting sqref="J79:AA79">
    <cfRule type="expression" dxfId="651" priority="1034">
      <formula>J112&gt;J79</formula>
    </cfRule>
  </conditionalFormatting>
  <conditionalFormatting sqref="B68">
    <cfRule type="cellIs" dxfId="650" priority="1031" operator="equal">
      <formula>0</formula>
    </cfRule>
  </conditionalFormatting>
  <conditionalFormatting sqref="J68:AA68">
    <cfRule type="cellIs" dxfId="649" priority="1028" operator="equal">
      <formula>0</formula>
    </cfRule>
  </conditionalFormatting>
  <conditionalFormatting sqref="J68:AA68">
    <cfRule type="cellIs" dxfId="648" priority="1029" operator="equal">
      <formula>0</formula>
    </cfRule>
  </conditionalFormatting>
  <conditionalFormatting sqref="J68:AA68">
    <cfRule type="expression" dxfId="647" priority="1030">
      <formula>J101&gt;J68</formula>
    </cfRule>
  </conditionalFormatting>
  <conditionalFormatting sqref="AC272">
    <cfRule type="notContainsBlanks" dxfId="646" priority="996">
      <formula>LEN(TRIM(AC272))&gt;0</formula>
    </cfRule>
  </conditionalFormatting>
  <conditionalFormatting sqref="AE272">
    <cfRule type="notContainsBlanks" dxfId="645" priority="995">
      <formula>LEN(TRIM(AE272))&gt;0</formula>
    </cfRule>
  </conditionalFormatting>
  <conditionalFormatting sqref="AC271:AC272">
    <cfRule type="notContainsBlanks" dxfId="644" priority="992">
      <formula>LEN(TRIM(AC271))&gt;0</formula>
    </cfRule>
  </conditionalFormatting>
  <conditionalFormatting sqref="AE270:AE272">
    <cfRule type="notContainsBlanks" dxfId="643" priority="991">
      <formula>LEN(TRIM(AE270))&gt;0</formula>
    </cfRule>
  </conditionalFormatting>
  <conditionalFormatting sqref="AE283">
    <cfRule type="notContainsBlanks" dxfId="642" priority="979">
      <formula>LEN(TRIM(AE283))&gt;0</formula>
    </cfRule>
  </conditionalFormatting>
  <conditionalFormatting sqref="AB283">
    <cfRule type="cellIs" dxfId="641" priority="978" operator="equal">
      <formula>0</formula>
    </cfRule>
  </conditionalFormatting>
  <conditionalFormatting sqref="AE280">
    <cfRule type="notContainsBlanks" dxfId="640" priority="983">
      <formula>LEN(TRIM(AE280))&gt;0</formula>
    </cfRule>
  </conditionalFormatting>
  <conditionalFormatting sqref="AC282 AC284">
    <cfRule type="notContainsBlanks" dxfId="639" priority="976">
      <formula>LEN(TRIM(AC282))&gt;0</formula>
    </cfRule>
  </conditionalFormatting>
  <conditionalFormatting sqref="AE282:AE284">
    <cfRule type="notContainsBlanks" dxfId="638" priority="975">
      <formula>LEN(TRIM(AE282))&gt;0</formula>
    </cfRule>
  </conditionalFormatting>
  <conditionalFormatting sqref="AB282:AB283">
    <cfRule type="cellIs" dxfId="637" priority="974" operator="equal">
      <formula>0</formula>
    </cfRule>
  </conditionalFormatting>
  <conditionalFormatting sqref="D272:AA272">
    <cfRule type="cellIs" dxfId="636" priority="970" operator="equal">
      <formula>0</formula>
    </cfRule>
  </conditionalFormatting>
  <conditionalFormatting sqref="D272:AA272">
    <cfRule type="cellIs" dxfId="635" priority="969" operator="equal">
      <formula>0</formula>
    </cfRule>
  </conditionalFormatting>
  <conditionalFormatting sqref="D272:AA272">
    <cfRule type="cellIs" dxfId="634" priority="968" operator="equal">
      <formula>0</formula>
    </cfRule>
  </conditionalFormatting>
  <conditionalFormatting sqref="AC273:AC278">
    <cfRule type="notContainsBlanks" dxfId="633" priority="964">
      <formula>LEN(TRIM(AC273))&gt;0</formula>
    </cfRule>
  </conditionalFormatting>
  <conditionalFormatting sqref="AE273:AE279">
    <cfRule type="notContainsBlanks" dxfId="632" priority="963">
      <formula>LEN(TRIM(AE273))&gt;0</formula>
    </cfRule>
  </conditionalFormatting>
  <conditionalFormatting sqref="AC281">
    <cfRule type="notContainsBlanks" dxfId="631" priority="955">
      <formula>LEN(TRIM(AC281))&gt;0</formula>
    </cfRule>
  </conditionalFormatting>
  <conditionalFormatting sqref="AE281">
    <cfRule type="notContainsBlanks" dxfId="630" priority="954">
      <formula>LEN(TRIM(AE281))&gt;0</formula>
    </cfRule>
  </conditionalFormatting>
  <conditionalFormatting sqref="AB281">
    <cfRule type="cellIs" dxfId="629" priority="953" operator="equal">
      <formula>0</formula>
    </cfRule>
  </conditionalFormatting>
  <conditionalFormatting sqref="D283:AA283">
    <cfRule type="cellIs" dxfId="628" priority="951" operator="equal">
      <formula>0</formula>
    </cfRule>
  </conditionalFormatting>
  <conditionalFormatting sqref="D283:AA283">
    <cfRule type="cellIs" dxfId="627" priority="950" operator="equal">
      <formula>0</formula>
    </cfRule>
  </conditionalFormatting>
  <conditionalFormatting sqref="D283:AA283">
    <cfRule type="cellIs" dxfId="626" priority="949" operator="equal">
      <formula>0</formula>
    </cfRule>
  </conditionalFormatting>
  <conditionalFormatting sqref="AC285">
    <cfRule type="notContainsBlanks" dxfId="625" priority="944">
      <formula>LEN(TRIM(AC285))&gt;0</formula>
    </cfRule>
  </conditionalFormatting>
  <conditionalFormatting sqref="AE285">
    <cfRule type="notContainsBlanks" dxfId="624" priority="943">
      <formula>LEN(TRIM(AE285))&gt;0</formula>
    </cfRule>
  </conditionalFormatting>
  <conditionalFormatting sqref="D285:AA285">
    <cfRule type="cellIs" dxfId="623" priority="942" operator="equal">
      <formula>0</formula>
    </cfRule>
  </conditionalFormatting>
  <conditionalFormatting sqref="AB285">
    <cfRule type="cellIs" dxfId="622" priority="941" operator="equal">
      <formula>0</formula>
    </cfRule>
  </conditionalFormatting>
  <conditionalFormatting sqref="D285:AA285">
    <cfRule type="cellIs" dxfId="621" priority="940" operator="equal">
      <formula>0</formula>
    </cfRule>
  </conditionalFormatting>
  <conditionalFormatting sqref="AC286">
    <cfRule type="notContainsBlanks" dxfId="620" priority="938">
      <formula>LEN(TRIM(AC286))&gt;0</formula>
    </cfRule>
  </conditionalFormatting>
  <conditionalFormatting sqref="AE286">
    <cfRule type="notContainsBlanks" dxfId="619" priority="937">
      <formula>LEN(TRIM(AE286))&gt;0</formula>
    </cfRule>
  </conditionalFormatting>
  <conditionalFormatting sqref="AB286:AB291">
    <cfRule type="cellIs" dxfId="618" priority="936" operator="equal">
      <formula>0</formula>
    </cfRule>
  </conditionalFormatting>
  <conditionalFormatting sqref="AC291">
    <cfRule type="notContainsBlanks" dxfId="617" priority="928">
      <formula>LEN(TRIM(AC291))&gt;0</formula>
    </cfRule>
  </conditionalFormatting>
  <conditionalFormatting sqref="AE291">
    <cfRule type="notContainsBlanks" dxfId="616" priority="927">
      <formula>LEN(TRIM(AE291))&gt;0</formula>
    </cfRule>
  </conditionalFormatting>
  <conditionalFormatting sqref="AC290">
    <cfRule type="notContainsBlanks" dxfId="615" priority="931">
      <formula>LEN(TRIM(AC290))&gt;0</formula>
    </cfRule>
  </conditionalFormatting>
  <conditionalFormatting sqref="AE290">
    <cfRule type="notContainsBlanks" dxfId="614" priority="930">
      <formula>LEN(TRIM(AE290))&gt;0</formula>
    </cfRule>
  </conditionalFormatting>
  <conditionalFormatting sqref="D284:AB284">
    <cfRule type="cellIs" dxfId="613" priority="900" operator="equal">
      <formula>0</formula>
    </cfRule>
  </conditionalFormatting>
  <conditionalFormatting sqref="D284:AB284">
    <cfRule type="cellIs" dxfId="612" priority="899" operator="equal">
      <formula>0</formula>
    </cfRule>
  </conditionalFormatting>
  <conditionalFormatting sqref="D284:AB284">
    <cfRule type="cellIs" dxfId="611" priority="898" operator="equal">
      <formula>0</formula>
    </cfRule>
  </conditionalFormatting>
  <conditionalFormatting sqref="AC8">
    <cfRule type="notContainsBlanks" dxfId="610" priority="891">
      <formula>LEN(TRIM(AC8))&gt;0</formula>
    </cfRule>
  </conditionalFormatting>
  <conditionalFormatting sqref="AC9">
    <cfRule type="notContainsBlanks" dxfId="609" priority="890">
      <formula>LEN(TRIM(AC9))&gt;0</formula>
    </cfRule>
  </conditionalFormatting>
  <conditionalFormatting sqref="J64:AA64">
    <cfRule type="expression" dxfId="608" priority="889">
      <formula>J67&gt;J64</formula>
    </cfRule>
  </conditionalFormatting>
  <conditionalFormatting sqref="J66:AA66">
    <cfRule type="expression" dxfId="607" priority="888">
      <formula>J66&gt;J65</formula>
    </cfRule>
  </conditionalFormatting>
  <conditionalFormatting sqref="J65:AA65">
    <cfRule type="expression" dxfId="606" priority="887">
      <formula>J66&gt;J65</formula>
    </cfRule>
  </conditionalFormatting>
  <conditionalFormatting sqref="AC65">
    <cfRule type="notContainsBlanks" dxfId="605" priority="886">
      <formula>LEN(TRIM(AC65))&gt;0</formula>
    </cfRule>
  </conditionalFormatting>
  <conditionalFormatting sqref="J79:AA79">
    <cfRule type="expression" dxfId="604" priority="885">
      <formula>J79&lt;J68</formula>
    </cfRule>
  </conditionalFormatting>
  <conditionalFormatting sqref="J68:AA68">
    <cfRule type="expression" dxfId="603" priority="884">
      <formula>J68&gt;J79</formula>
    </cfRule>
  </conditionalFormatting>
  <conditionalFormatting sqref="AC79">
    <cfRule type="notContainsBlanks" dxfId="602" priority="883">
      <formula>LEN(TRIM(AC79))&gt;0</formula>
    </cfRule>
  </conditionalFormatting>
  <conditionalFormatting sqref="J67:AA67">
    <cfRule type="expression" dxfId="601" priority="882">
      <formula>J68&gt;J67</formula>
    </cfRule>
  </conditionalFormatting>
  <conditionalFormatting sqref="J79:AA79 D255:AB255">
    <cfRule type="expression" dxfId="600" priority="881">
      <formula>D78&gt;D79</formula>
    </cfRule>
  </conditionalFormatting>
  <conditionalFormatting sqref="J78:AA78">
    <cfRule type="expression" dxfId="599" priority="880">
      <formula>J78&gt;J79</formula>
    </cfRule>
  </conditionalFormatting>
  <conditionalFormatting sqref="AC78">
    <cfRule type="notContainsBlanks" dxfId="598" priority="879">
      <formula>LEN(TRIM(AC78))&gt;0</formula>
    </cfRule>
  </conditionalFormatting>
  <conditionalFormatting sqref="J75:AA75">
    <cfRule type="expression" dxfId="597" priority="876">
      <formula>J75&gt;J79</formula>
    </cfRule>
  </conditionalFormatting>
  <conditionalFormatting sqref="J79:AA79">
    <cfRule type="expression" dxfId="596" priority="875">
      <formula>J75&gt;J79</formula>
    </cfRule>
  </conditionalFormatting>
  <conditionalFormatting sqref="AC75">
    <cfRule type="notContainsBlanks" dxfId="595" priority="874">
      <formula>LEN(TRIM(AC75))&gt;0</formula>
    </cfRule>
  </conditionalFormatting>
  <conditionalFormatting sqref="J87:AA87">
    <cfRule type="expression" dxfId="594" priority="873">
      <formula>J87&gt;J86</formula>
    </cfRule>
  </conditionalFormatting>
  <conditionalFormatting sqref="J86:AA86">
    <cfRule type="expression" dxfId="593" priority="872">
      <formula>J87&gt;J86</formula>
    </cfRule>
  </conditionalFormatting>
  <conditionalFormatting sqref="J86:AA86">
    <cfRule type="expression" dxfId="592" priority="871">
      <formula>(J86+J87+J88)&gt;J79</formula>
    </cfRule>
  </conditionalFormatting>
  <conditionalFormatting sqref="J79:AA79">
    <cfRule type="expression" dxfId="591" priority="870">
      <formula>(J86+J87+J88)&gt;J79</formula>
    </cfRule>
  </conditionalFormatting>
  <conditionalFormatting sqref="J88:AA88">
    <cfRule type="expression" dxfId="590" priority="869">
      <formula>(J86+J87+J88)&gt;J79</formula>
    </cfRule>
  </conditionalFormatting>
  <conditionalFormatting sqref="D103:AA103">
    <cfRule type="expression" dxfId="589" priority="868">
      <formula>D103&gt;D101</formula>
    </cfRule>
  </conditionalFormatting>
  <conditionalFormatting sqref="D104:AA104">
    <cfRule type="expression" dxfId="588" priority="867">
      <formula>D104&gt;D102</formula>
    </cfRule>
  </conditionalFormatting>
  <conditionalFormatting sqref="M194">
    <cfRule type="expression" dxfId="587" priority="862">
      <formula>(M195+M196)&gt;M194</formula>
    </cfRule>
  </conditionalFormatting>
  <conditionalFormatting sqref="O194">
    <cfRule type="expression" dxfId="586" priority="861">
      <formula>(O195+O196)&gt;O194</formula>
    </cfRule>
  </conditionalFormatting>
  <conditionalFormatting sqref="Q194">
    <cfRule type="expression" dxfId="585" priority="860">
      <formula>(Q195+Q196)&gt;Q194</formula>
    </cfRule>
  </conditionalFormatting>
  <conditionalFormatting sqref="U194">
    <cfRule type="expression" dxfId="584" priority="859">
      <formula>(U195+U196)&gt;U194</formula>
    </cfRule>
  </conditionalFormatting>
  <conditionalFormatting sqref="W194">
    <cfRule type="expression" dxfId="583" priority="858">
      <formula>(W195+W196)&gt;W194</formula>
    </cfRule>
  </conditionalFormatting>
  <conditionalFormatting sqref="Y194">
    <cfRule type="expression" dxfId="582" priority="857">
      <formula>(Y195+Y196)&gt;Y194</formula>
    </cfRule>
  </conditionalFormatting>
  <conditionalFormatting sqref="M195">
    <cfRule type="expression" dxfId="581" priority="854">
      <formula>M195&gt;M194</formula>
    </cfRule>
    <cfRule type="expression" dxfId="580" priority="855">
      <formula>M228&gt;M195</formula>
    </cfRule>
  </conditionalFormatting>
  <conditionalFormatting sqref="O195">
    <cfRule type="expression" dxfId="579" priority="852">
      <formula>O195&gt;O194</formula>
    </cfRule>
    <cfRule type="expression" dxfId="578" priority="853">
      <formula>O228&gt;O195</formula>
    </cfRule>
  </conditionalFormatting>
  <conditionalFormatting sqref="Q195">
    <cfRule type="expression" dxfId="577" priority="850">
      <formula>Q195&gt;Q194</formula>
    </cfRule>
    <cfRule type="expression" dxfId="576" priority="851">
      <formula>Q228&gt;Q195</formula>
    </cfRule>
  </conditionalFormatting>
  <conditionalFormatting sqref="S195">
    <cfRule type="expression" dxfId="575" priority="848">
      <formula>S195&gt;S194</formula>
    </cfRule>
    <cfRule type="expression" dxfId="574" priority="849">
      <formula>S228&gt;S195</formula>
    </cfRule>
  </conditionalFormatting>
  <conditionalFormatting sqref="U195">
    <cfRule type="expression" dxfId="573" priority="846">
      <formula>U195&gt;U194</formula>
    </cfRule>
    <cfRule type="expression" dxfId="572" priority="847">
      <formula>U228&gt;U195</formula>
    </cfRule>
  </conditionalFormatting>
  <conditionalFormatting sqref="W195">
    <cfRule type="expression" dxfId="571" priority="844">
      <formula>W195&gt;W194</formula>
    </cfRule>
    <cfRule type="expression" dxfId="570" priority="845">
      <formula>W228&gt;W195</formula>
    </cfRule>
  </conditionalFormatting>
  <conditionalFormatting sqref="Y195">
    <cfRule type="expression" dxfId="569" priority="842">
      <formula>Y195&gt;Y194</formula>
    </cfRule>
    <cfRule type="expression" dxfId="568" priority="843">
      <formula>Y228&gt;Y195</formula>
    </cfRule>
  </conditionalFormatting>
  <conditionalFormatting sqref="K197">
    <cfRule type="expression" dxfId="567" priority="841">
      <formula>K197&gt;K196</formula>
    </cfRule>
  </conditionalFormatting>
  <conditionalFormatting sqref="M197">
    <cfRule type="expression" dxfId="566" priority="840">
      <formula>M197&gt;M196</formula>
    </cfRule>
  </conditionalFormatting>
  <conditionalFormatting sqref="O197">
    <cfRule type="expression" dxfId="565" priority="839">
      <formula>O197&gt;O196</formula>
    </cfRule>
  </conditionalFormatting>
  <conditionalFormatting sqref="Q197">
    <cfRule type="expression" dxfId="564" priority="838">
      <formula>Q197&gt;Q196</formula>
    </cfRule>
  </conditionalFormatting>
  <conditionalFormatting sqref="S197">
    <cfRule type="expression" dxfId="563" priority="837">
      <formula>S197&gt;S196</formula>
    </cfRule>
  </conditionalFormatting>
  <conditionalFormatting sqref="U197">
    <cfRule type="expression" dxfId="562" priority="836">
      <formula>U197&gt;U196</formula>
    </cfRule>
  </conditionalFormatting>
  <conditionalFormatting sqref="W197">
    <cfRule type="expression" dxfId="561" priority="835">
      <formula>W197&gt;W196</formula>
    </cfRule>
  </conditionalFormatting>
  <conditionalFormatting sqref="Y197">
    <cfRule type="expression" dxfId="560" priority="834">
      <formula>Y197&gt;Y196</formula>
    </cfRule>
  </conditionalFormatting>
  <conditionalFormatting sqref="K201">
    <cfRule type="expression" dxfId="559" priority="662">
      <formula>K231&lt;&gt;K201</formula>
    </cfRule>
    <cfRule type="expression" dxfId="558" priority="833">
      <formula>K201&gt;K200</formula>
    </cfRule>
  </conditionalFormatting>
  <conditionalFormatting sqref="M201">
    <cfRule type="expression" dxfId="557" priority="832">
      <formula>M201&gt;M200</formula>
    </cfRule>
  </conditionalFormatting>
  <conditionalFormatting sqref="O201">
    <cfRule type="expression" dxfId="556" priority="831">
      <formula>O201&gt;O200</formula>
    </cfRule>
  </conditionalFormatting>
  <conditionalFormatting sqref="Q201">
    <cfRule type="expression" dxfId="555" priority="830">
      <formula>Q201&gt;Q200</formula>
    </cfRule>
  </conditionalFormatting>
  <conditionalFormatting sqref="S201">
    <cfRule type="expression" dxfId="554" priority="829">
      <formula>S201&gt;S200</formula>
    </cfRule>
  </conditionalFormatting>
  <conditionalFormatting sqref="U201">
    <cfRule type="expression" dxfId="553" priority="828">
      <formula>U201&gt;U200</formula>
    </cfRule>
  </conditionalFormatting>
  <conditionalFormatting sqref="W201">
    <cfRule type="expression" dxfId="552" priority="827">
      <formula>W201&gt;W200</formula>
    </cfRule>
  </conditionalFormatting>
  <conditionalFormatting sqref="Y201">
    <cfRule type="expression" dxfId="551" priority="826">
      <formula>Y201&gt;Y200</formula>
    </cfRule>
  </conditionalFormatting>
  <conditionalFormatting sqref="AC202">
    <cfRule type="notContainsBlanks" dxfId="550" priority="825">
      <formula>LEN(TRIM(AC202))&gt;0</formula>
    </cfRule>
  </conditionalFormatting>
  <conditionalFormatting sqref="K202">
    <cfRule type="expression" dxfId="549" priority="824">
      <formula>K203&gt;K202</formula>
    </cfRule>
  </conditionalFormatting>
  <conditionalFormatting sqref="K203">
    <cfRule type="expression" dxfId="548" priority="603">
      <formula>K232&lt;&gt;K203</formula>
    </cfRule>
    <cfRule type="expression" dxfId="547" priority="823">
      <formula>K203&gt;K202</formula>
    </cfRule>
  </conditionalFormatting>
  <conditionalFormatting sqref="M202">
    <cfRule type="expression" dxfId="546" priority="822">
      <formula>M203&gt;M202</formula>
    </cfRule>
  </conditionalFormatting>
  <conditionalFormatting sqref="M203">
    <cfRule type="expression" dxfId="545" priority="821">
      <formula>M203&gt;M202</formula>
    </cfRule>
  </conditionalFormatting>
  <conditionalFormatting sqref="O202">
    <cfRule type="expression" dxfId="544" priority="820">
      <formula>O203&gt;O202</formula>
    </cfRule>
  </conditionalFormatting>
  <conditionalFormatting sqref="O203">
    <cfRule type="expression" dxfId="543" priority="819">
      <formula>O203&gt;O202</formula>
    </cfRule>
  </conditionalFormatting>
  <conditionalFormatting sqref="Q202">
    <cfRule type="expression" dxfId="542" priority="818">
      <formula>Q203&gt;Q202</formula>
    </cfRule>
  </conditionalFormatting>
  <conditionalFormatting sqref="Q203">
    <cfRule type="expression" dxfId="541" priority="817">
      <formula>Q203&gt;Q202</formula>
    </cfRule>
  </conditionalFormatting>
  <conditionalFormatting sqref="S202">
    <cfRule type="expression" dxfId="540" priority="816">
      <formula>S203&gt;S202</formula>
    </cfRule>
  </conditionalFormatting>
  <conditionalFormatting sqref="S203">
    <cfRule type="expression" dxfId="539" priority="815">
      <formula>S203&gt;S202</formula>
    </cfRule>
  </conditionalFormatting>
  <conditionalFormatting sqref="U202">
    <cfRule type="expression" dxfId="538" priority="814">
      <formula>U203&gt;U202</formula>
    </cfRule>
  </conditionalFormatting>
  <conditionalFormatting sqref="U203">
    <cfRule type="expression" dxfId="537" priority="813">
      <formula>U203&gt;U202</formula>
    </cfRule>
  </conditionalFormatting>
  <conditionalFormatting sqref="W202">
    <cfRule type="expression" dxfId="536" priority="812">
      <formula>W203&gt;W202</formula>
    </cfRule>
  </conditionalFormatting>
  <conditionalFormatting sqref="W203">
    <cfRule type="expression" dxfId="535" priority="811">
      <formula>W203&gt;W202</formula>
    </cfRule>
  </conditionalFormatting>
  <conditionalFormatting sqref="Y202">
    <cfRule type="expression" dxfId="534" priority="810">
      <formula>Y203&gt;Y202</formula>
    </cfRule>
  </conditionalFormatting>
  <conditionalFormatting sqref="Y203">
    <cfRule type="expression" dxfId="533" priority="809">
      <formula>Y203&gt;Y202</formula>
    </cfRule>
  </conditionalFormatting>
  <conditionalFormatting sqref="AC206">
    <cfRule type="notContainsBlanks" dxfId="532" priority="808">
      <formula>LEN(TRIM(AC206))&gt;0</formula>
    </cfRule>
  </conditionalFormatting>
  <conditionalFormatting sqref="K207">
    <cfRule type="expression" dxfId="531" priority="807">
      <formula>K207&gt;K206</formula>
    </cfRule>
  </conditionalFormatting>
  <conditionalFormatting sqref="M207">
    <cfRule type="expression" dxfId="530" priority="805">
      <formula>M207&gt;M206</formula>
    </cfRule>
  </conditionalFormatting>
  <conditionalFormatting sqref="M206">
    <cfRule type="expression" dxfId="529" priority="804">
      <formula>M207&gt;M206</formula>
    </cfRule>
  </conditionalFormatting>
  <conditionalFormatting sqref="O207">
    <cfRule type="expression" dxfId="528" priority="803">
      <formula>O207&gt;O206</formula>
    </cfRule>
  </conditionalFormatting>
  <conditionalFormatting sqref="O206">
    <cfRule type="expression" dxfId="527" priority="802">
      <formula>O207&gt;O206</formula>
    </cfRule>
  </conditionalFormatting>
  <conditionalFormatting sqref="Q207">
    <cfRule type="expression" dxfId="526" priority="801">
      <formula>Q207&gt;Q206</formula>
    </cfRule>
  </conditionalFormatting>
  <conditionalFormatting sqref="Q206">
    <cfRule type="expression" dxfId="525" priority="800">
      <formula>Q207&gt;Q206</formula>
    </cfRule>
  </conditionalFormatting>
  <conditionalFormatting sqref="S207">
    <cfRule type="expression" dxfId="524" priority="799">
      <formula>S207&gt;S206</formula>
    </cfRule>
  </conditionalFormatting>
  <conditionalFormatting sqref="S206">
    <cfRule type="expression" dxfId="523" priority="798">
      <formula>S207&gt;S206</formula>
    </cfRule>
  </conditionalFormatting>
  <conditionalFormatting sqref="U207">
    <cfRule type="expression" dxfId="522" priority="797">
      <formula>U207&gt;U206</formula>
    </cfRule>
  </conditionalFormatting>
  <conditionalFormatting sqref="U206">
    <cfRule type="expression" dxfId="521" priority="796">
      <formula>U207&gt;U206</formula>
    </cfRule>
  </conditionalFormatting>
  <conditionalFormatting sqref="W207">
    <cfRule type="expression" dxfId="520" priority="795">
      <formula>W207&gt;W206</formula>
    </cfRule>
  </conditionalFormatting>
  <conditionalFormatting sqref="W206">
    <cfRule type="expression" dxfId="519" priority="794">
      <formula>W207&gt;W206</formula>
    </cfRule>
  </conditionalFormatting>
  <conditionalFormatting sqref="Y207">
    <cfRule type="expression" dxfId="518" priority="793">
      <formula>Y207&gt;Y206</formula>
    </cfRule>
  </conditionalFormatting>
  <conditionalFormatting sqref="Y206">
    <cfRule type="expression" dxfId="517" priority="792">
      <formula>Y207&gt;Y206</formula>
    </cfRule>
  </conditionalFormatting>
  <conditionalFormatting sqref="Q208">
    <cfRule type="expression" dxfId="516" priority="790">
      <formula>Q209&gt;Q208</formula>
    </cfRule>
  </conditionalFormatting>
  <conditionalFormatting sqref="Q208">
    <cfRule type="expression" dxfId="515" priority="789">
      <formula>Q209&gt;Q208</formula>
    </cfRule>
  </conditionalFormatting>
  <conditionalFormatting sqref="S208">
    <cfRule type="expression" dxfId="514" priority="788">
      <formula>S209&gt;S208</formula>
    </cfRule>
  </conditionalFormatting>
  <conditionalFormatting sqref="S208">
    <cfRule type="expression" dxfId="513" priority="787">
      <formula>S209&gt;S208</formula>
    </cfRule>
  </conditionalFormatting>
  <conditionalFormatting sqref="U208">
    <cfRule type="expression" dxfId="512" priority="786">
      <formula>U209&gt;U208</formula>
    </cfRule>
  </conditionalFormatting>
  <conditionalFormatting sqref="U208">
    <cfRule type="expression" dxfId="511" priority="785">
      <formula>U209&gt;U208</formula>
    </cfRule>
  </conditionalFormatting>
  <conditionalFormatting sqref="W208">
    <cfRule type="expression" dxfId="510" priority="784">
      <formula>W209&gt;W208</formula>
    </cfRule>
  </conditionalFormatting>
  <conditionalFormatting sqref="W208">
    <cfRule type="expression" dxfId="509" priority="783">
      <formula>W209&gt;W208</formula>
    </cfRule>
  </conditionalFormatting>
  <conditionalFormatting sqref="Y208">
    <cfRule type="expression" dxfId="508" priority="782">
      <formula>Y209&gt;Y208</formula>
    </cfRule>
  </conditionalFormatting>
  <conditionalFormatting sqref="Y208">
    <cfRule type="expression" dxfId="507" priority="781">
      <formula>Y209&gt;Y208</formula>
    </cfRule>
  </conditionalFormatting>
  <conditionalFormatting sqref="K209">
    <cfRule type="expression" dxfId="506" priority="780">
      <formula>K235&gt;K209</formula>
    </cfRule>
  </conditionalFormatting>
  <conditionalFormatting sqref="K209">
    <cfRule type="expression" dxfId="505" priority="779">
      <formula>K209&gt;K208</formula>
    </cfRule>
  </conditionalFormatting>
  <conditionalFormatting sqref="K210">
    <cfRule type="expression" dxfId="504" priority="771">
      <formula>K211&gt;K210</formula>
    </cfRule>
  </conditionalFormatting>
  <conditionalFormatting sqref="M210">
    <cfRule type="expression" dxfId="503" priority="767">
      <formula>M211&gt;M210</formula>
    </cfRule>
  </conditionalFormatting>
  <conditionalFormatting sqref="O210">
    <cfRule type="expression" dxfId="502" priority="763">
      <formula>O211&gt;O210</formula>
    </cfRule>
  </conditionalFormatting>
  <conditionalFormatting sqref="Q210">
    <cfRule type="expression" dxfId="501" priority="759">
      <formula>Q211&gt;Q210</formula>
    </cfRule>
  </conditionalFormatting>
  <conditionalFormatting sqref="S210">
    <cfRule type="expression" dxfId="500" priority="755">
      <formula>S211&gt;S210</formula>
    </cfRule>
  </conditionalFormatting>
  <conditionalFormatting sqref="U210">
    <cfRule type="expression" dxfId="499" priority="751">
      <formula>U211&gt;U210</formula>
    </cfRule>
  </conditionalFormatting>
  <conditionalFormatting sqref="W210">
    <cfRule type="expression" dxfId="498" priority="747">
      <formula>W211&gt;W210</formula>
    </cfRule>
  </conditionalFormatting>
  <conditionalFormatting sqref="Y210">
    <cfRule type="expression" dxfId="497" priority="743">
      <formula>Y211&gt;Y210</formula>
    </cfRule>
  </conditionalFormatting>
  <conditionalFormatting sqref="K212">
    <cfRule type="expression" dxfId="496" priority="739">
      <formula>K213&gt;K212</formula>
    </cfRule>
  </conditionalFormatting>
  <conditionalFormatting sqref="M212">
    <cfRule type="expression" dxfId="495" priority="735">
      <formula>M213&gt;M212</formula>
    </cfRule>
  </conditionalFormatting>
  <conditionalFormatting sqref="O212">
    <cfRule type="expression" dxfId="494" priority="731">
      <formula>O213&gt;O212</formula>
    </cfRule>
  </conditionalFormatting>
  <conditionalFormatting sqref="Q212">
    <cfRule type="expression" dxfId="493" priority="727">
      <formula>Q213&gt;Q212</formula>
    </cfRule>
  </conditionalFormatting>
  <conditionalFormatting sqref="Q213">
    <cfRule type="expression" dxfId="492" priority="725">
      <formula>Q213&gt;Q212</formula>
    </cfRule>
  </conditionalFormatting>
  <conditionalFormatting sqref="AC210">
    <cfRule type="notContainsBlanks" dxfId="491" priority="708">
      <formula>LEN(TRIM(AC210))&gt;0</formula>
    </cfRule>
  </conditionalFormatting>
  <conditionalFormatting sqref="AC212">
    <cfRule type="notContainsBlanks" dxfId="490" priority="707">
      <formula>LEN(TRIM(AC212))&gt;0</formula>
    </cfRule>
  </conditionalFormatting>
  <conditionalFormatting sqref="D216:E217">
    <cfRule type="cellIs" dxfId="489" priority="706" operator="equal">
      <formula>0</formula>
    </cfRule>
  </conditionalFormatting>
  <conditionalFormatting sqref="D218:E218">
    <cfRule type="expression" dxfId="488" priority="688">
      <formula>D221&gt;D218</formula>
    </cfRule>
    <cfRule type="cellIs" dxfId="487" priority="703" operator="equal">
      <formula>0</formula>
    </cfRule>
  </conditionalFormatting>
  <conditionalFormatting sqref="D219:E220">
    <cfRule type="cellIs" dxfId="486" priority="702" operator="equal">
      <formula>0</formula>
    </cfRule>
  </conditionalFormatting>
  <conditionalFormatting sqref="D221:E221">
    <cfRule type="expression" dxfId="485" priority="689">
      <formula>D221&gt;D218</formula>
    </cfRule>
    <cfRule type="cellIs" dxfId="484" priority="699" operator="equal">
      <formula>0</formula>
    </cfRule>
  </conditionalFormatting>
  <conditionalFormatting sqref="D224:E224">
    <cfRule type="expression" dxfId="483" priority="105">
      <formula>D222&lt;&gt;D245</formula>
    </cfRule>
    <cfRule type="cellIs" dxfId="482" priority="696" operator="equal">
      <formula>0</formula>
    </cfRule>
  </conditionalFormatting>
  <conditionalFormatting sqref="D216:E217">
    <cfRule type="expression" dxfId="481" priority="694">
      <formula>D219&gt;D216</formula>
    </cfRule>
  </conditionalFormatting>
  <conditionalFormatting sqref="D219:E220">
    <cfRule type="expression" dxfId="480" priority="693">
      <formula>D219&gt;D216</formula>
    </cfRule>
  </conditionalFormatting>
  <conditionalFormatting sqref="D222:E223">
    <cfRule type="cellIs" dxfId="479" priority="692" operator="equal">
      <formula>0</formula>
    </cfRule>
  </conditionalFormatting>
  <conditionalFormatting sqref="D222:E223">
    <cfRule type="expression" dxfId="478" priority="691">
      <formula>D222&gt;D219</formula>
    </cfRule>
  </conditionalFormatting>
  <conditionalFormatting sqref="AE219:AE221">
    <cfRule type="notContainsBlanks" dxfId="477" priority="1541">
      <formula>LEN(TRIM(AE219))&gt;0</formula>
    </cfRule>
  </conditionalFormatting>
  <conditionalFormatting sqref="D222:E223">
    <cfRule type="expression" dxfId="476" priority="687">
      <formula>D219&gt;D222</formula>
    </cfRule>
  </conditionalFormatting>
  <conditionalFormatting sqref="D219:E220">
    <cfRule type="expression" dxfId="475" priority="686">
      <formula>D219&gt;D222</formula>
    </cfRule>
  </conditionalFormatting>
  <conditionalFormatting sqref="K228">
    <cfRule type="expression" dxfId="474" priority="685">
      <formula>K228&gt;K195</formula>
    </cfRule>
  </conditionalFormatting>
  <conditionalFormatting sqref="M228">
    <cfRule type="expression" dxfId="473" priority="684">
      <formula>M228&gt;M195</formula>
    </cfRule>
  </conditionalFormatting>
  <conditionalFormatting sqref="O228">
    <cfRule type="expression" dxfId="472" priority="683">
      <formula>O228&gt;O195</formula>
    </cfRule>
  </conditionalFormatting>
  <conditionalFormatting sqref="Q228">
    <cfRule type="expression" dxfId="471" priority="682">
      <formula>Q228&gt;Q195</formula>
    </cfRule>
  </conditionalFormatting>
  <conditionalFormatting sqref="S228">
    <cfRule type="expression" dxfId="470" priority="681">
      <formula>S228&gt;S195</formula>
    </cfRule>
  </conditionalFormatting>
  <conditionalFormatting sqref="U228">
    <cfRule type="expression" dxfId="469" priority="680">
      <formula>U228&gt;U195</formula>
    </cfRule>
  </conditionalFormatting>
  <conditionalFormatting sqref="W228">
    <cfRule type="expression" dxfId="468" priority="679">
      <formula>W228&gt;W195</formula>
    </cfRule>
  </conditionalFormatting>
  <conditionalFormatting sqref="Y228">
    <cfRule type="expression" dxfId="467" priority="678">
      <formula>Y228&gt;Y195</formula>
    </cfRule>
  </conditionalFormatting>
  <conditionalFormatting sqref="K231">
    <cfRule type="expression" dxfId="466" priority="663">
      <formula>K231&lt;&gt;K201</formula>
    </cfRule>
  </conditionalFormatting>
  <conditionalFormatting sqref="M201">
    <cfRule type="expression" dxfId="465" priority="660">
      <formula>M231&lt;&gt;M201</formula>
    </cfRule>
    <cfRule type="expression" dxfId="464" priority="661">
      <formula>M201&gt;M200</formula>
    </cfRule>
  </conditionalFormatting>
  <conditionalFormatting sqref="O201">
    <cfRule type="expression" dxfId="463" priority="658">
      <formula>O231&lt;&gt;O201</formula>
    </cfRule>
    <cfRule type="expression" dxfId="462" priority="659">
      <formula>O201&gt;O200</formula>
    </cfRule>
  </conditionalFormatting>
  <conditionalFormatting sqref="Q201">
    <cfRule type="expression" dxfId="461" priority="656">
      <formula>Q231&lt;&gt;Q201</formula>
    </cfRule>
    <cfRule type="expression" dxfId="460" priority="657">
      <formula>Q201&gt;Q200</formula>
    </cfRule>
  </conditionalFormatting>
  <conditionalFormatting sqref="S201">
    <cfRule type="expression" dxfId="459" priority="654">
      <formula>S231&lt;&gt;S201</formula>
    </cfRule>
    <cfRule type="expression" dxfId="458" priority="655">
      <formula>S201&gt;S200</formula>
    </cfRule>
  </conditionalFormatting>
  <conditionalFormatting sqref="U201">
    <cfRule type="expression" dxfId="457" priority="652">
      <formula>U231&lt;&gt;U201</formula>
    </cfRule>
    <cfRule type="expression" dxfId="456" priority="653">
      <formula>U201&gt;U200</formula>
    </cfRule>
  </conditionalFormatting>
  <conditionalFormatting sqref="W201">
    <cfRule type="expression" dxfId="455" priority="650">
      <formula>W231&lt;&gt;W201</formula>
    </cfRule>
    <cfRule type="expression" dxfId="454" priority="651">
      <formula>W201&gt;W200</formula>
    </cfRule>
  </conditionalFormatting>
  <conditionalFormatting sqref="Y201">
    <cfRule type="expression" dxfId="453" priority="648">
      <formula>Y231&lt;&gt;Y201</formula>
    </cfRule>
    <cfRule type="expression" dxfId="452" priority="649">
      <formula>Y201&gt;Y200</formula>
    </cfRule>
  </conditionalFormatting>
  <conditionalFormatting sqref="M231">
    <cfRule type="cellIs" dxfId="451" priority="647" operator="equal">
      <formula>0</formula>
    </cfRule>
  </conditionalFormatting>
  <conditionalFormatting sqref="M231">
    <cfRule type="expression" dxfId="450" priority="646">
      <formula>M231&lt;&gt;M201</formula>
    </cfRule>
  </conditionalFormatting>
  <conditionalFormatting sqref="O231">
    <cfRule type="cellIs" dxfId="449" priority="645" operator="equal">
      <formula>0</formula>
    </cfRule>
  </conditionalFormatting>
  <conditionalFormatting sqref="O231">
    <cfRule type="expression" dxfId="448" priority="644">
      <formula>O231&lt;&gt;O201</formula>
    </cfRule>
  </conditionalFormatting>
  <conditionalFormatting sqref="Q231">
    <cfRule type="cellIs" dxfId="447" priority="643" operator="equal">
      <formula>0</formula>
    </cfRule>
  </conditionalFormatting>
  <conditionalFormatting sqref="Q231">
    <cfRule type="expression" dxfId="446" priority="642">
      <formula>Q231&lt;&gt;Q201</formula>
    </cfRule>
  </conditionalFormatting>
  <conditionalFormatting sqref="S231">
    <cfRule type="cellIs" dxfId="445" priority="641" operator="equal">
      <formula>0</formula>
    </cfRule>
  </conditionalFormatting>
  <conditionalFormatting sqref="S231">
    <cfRule type="expression" dxfId="444" priority="640">
      <formula>S231&lt;&gt;S201</formula>
    </cfRule>
  </conditionalFormatting>
  <conditionalFormatting sqref="U231">
    <cfRule type="cellIs" dxfId="443" priority="639" operator="equal">
      <formula>0</formula>
    </cfRule>
  </conditionalFormatting>
  <conditionalFormatting sqref="U231">
    <cfRule type="expression" dxfId="442" priority="638">
      <formula>U231&lt;&gt;U201</formula>
    </cfRule>
  </conditionalFormatting>
  <conditionalFormatting sqref="W231">
    <cfRule type="cellIs" dxfId="441" priority="637" operator="equal">
      <formula>0</formula>
    </cfRule>
  </conditionalFormatting>
  <conditionalFormatting sqref="W231">
    <cfRule type="expression" dxfId="440" priority="636">
      <formula>W231&lt;&gt;W201</formula>
    </cfRule>
  </conditionalFormatting>
  <conditionalFormatting sqref="Y231">
    <cfRule type="cellIs" dxfId="439" priority="635" operator="equal">
      <formula>0</formula>
    </cfRule>
  </conditionalFormatting>
  <conditionalFormatting sqref="Y231">
    <cfRule type="expression" dxfId="438" priority="634">
      <formula>Y231&lt;&gt;Y201</formula>
    </cfRule>
  </conditionalFormatting>
  <conditionalFormatting sqref="K232">
    <cfRule type="expression" dxfId="437" priority="633">
      <formula>K232&lt;&gt;K203</formula>
    </cfRule>
  </conditionalFormatting>
  <conditionalFormatting sqref="M202">
    <cfRule type="expression" dxfId="436" priority="631">
      <formula>M203&gt;M202</formula>
    </cfRule>
  </conditionalFormatting>
  <conditionalFormatting sqref="O202">
    <cfRule type="expression" dxfId="435" priority="629">
      <formula>O203&gt;O202</formula>
    </cfRule>
  </conditionalFormatting>
  <conditionalFormatting sqref="Q202">
    <cfRule type="expression" dxfId="434" priority="627">
      <formula>Q203&gt;Q202</formula>
    </cfRule>
  </conditionalFormatting>
  <conditionalFormatting sqref="S202">
    <cfRule type="expression" dxfId="433" priority="625">
      <formula>S203&gt;S202</formula>
    </cfRule>
  </conditionalFormatting>
  <conditionalFormatting sqref="U202">
    <cfRule type="expression" dxfId="432" priority="623">
      <formula>U203&gt;U202</formula>
    </cfRule>
  </conditionalFormatting>
  <conditionalFormatting sqref="W202">
    <cfRule type="expression" dxfId="431" priority="621">
      <formula>W203&gt;W202</formula>
    </cfRule>
  </conditionalFormatting>
  <conditionalFormatting sqref="Y202">
    <cfRule type="expression" dxfId="430" priority="619">
      <formula>Y203&gt;Y202</formula>
    </cfRule>
  </conditionalFormatting>
  <conditionalFormatting sqref="M232">
    <cfRule type="cellIs" dxfId="429" priority="617" operator="equal">
      <formula>0</formula>
    </cfRule>
  </conditionalFormatting>
  <conditionalFormatting sqref="M232">
    <cfRule type="expression" dxfId="428" priority="616">
      <formula>M232&lt;&gt;M203</formula>
    </cfRule>
  </conditionalFormatting>
  <conditionalFormatting sqref="O232">
    <cfRule type="cellIs" dxfId="427" priority="615" operator="equal">
      <formula>0</formula>
    </cfRule>
  </conditionalFormatting>
  <conditionalFormatting sqref="O232">
    <cfRule type="expression" dxfId="426" priority="614">
      <formula>O232&lt;&gt;O203</formula>
    </cfRule>
  </conditionalFormatting>
  <conditionalFormatting sqref="Q232">
    <cfRule type="cellIs" dxfId="425" priority="613" operator="equal">
      <formula>0</formula>
    </cfRule>
  </conditionalFormatting>
  <conditionalFormatting sqref="Q232">
    <cfRule type="expression" dxfId="424" priority="612">
      <formula>Q232&lt;&gt;Q203</formula>
    </cfRule>
  </conditionalFormatting>
  <conditionalFormatting sqref="S232">
    <cfRule type="cellIs" dxfId="423" priority="611" operator="equal">
      <formula>0</formula>
    </cfRule>
  </conditionalFormatting>
  <conditionalFormatting sqref="S232">
    <cfRule type="expression" dxfId="422" priority="610">
      <formula>S232&lt;&gt;S203</formula>
    </cfRule>
  </conditionalFormatting>
  <conditionalFormatting sqref="U232">
    <cfRule type="cellIs" dxfId="421" priority="609" operator="equal">
      <formula>0</formula>
    </cfRule>
  </conditionalFormatting>
  <conditionalFormatting sqref="U232">
    <cfRule type="expression" dxfId="420" priority="608">
      <formula>U232&lt;&gt;U203</formula>
    </cfRule>
  </conditionalFormatting>
  <conditionalFormatting sqref="W232">
    <cfRule type="cellIs" dxfId="419" priority="607" operator="equal">
      <formula>0</formula>
    </cfRule>
  </conditionalFormatting>
  <conditionalFormatting sqref="W232">
    <cfRule type="expression" dxfId="418" priority="606">
      <formula>W232&lt;&gt;W203</formula>
    </cfRule>
  </conditionalFormatting>
  <conditionalFormatting sqref="Y232">
    <cfRule type="cellIs" dxfId="417" priority="605" operator="equal">
      <formula>0</formula>
    </cfRule>
  </conditionalFormatting>
  <conditionalFormatting sqref="Y232">
    <cfRule type="expression" dxfId="416" priority="604">
      <formula>Y232&lt;&gt;Y203</formula>
    </cfRule>
  </conditionalFormatting>
  <conditionalFormatting sqref="M203">
    <cfRule type="expression" dxfId="415" priority="601">
      <formula>M232&lt;&gt;M203</formula>
    </cfRule>
    <cfRule type="expression" dxfId="414" priority="602">
      <formula>M203&gt;M202</formula>
    </cfRule>
  </conditionalFormatting>
  <conditionalFormatting sqref="O203">
    <cfRule type="expression" dxfId="413" priority="599">
      <formula>O232&lt;&gt;O203</formula>
    </cfRule>
    <cfRule type="expression" dxfId="412" priority="600">
      <formula>O203&gt;O202</formula>
    </cfRule>
  </conditionalFormatting>
  <conditionalFormatting sqref="Q203">
    <cfRule type="expression" dxfId="411" priority="597">
      <formula>Q232&lt;&gt;Q203</formula>
    </cfRule>
    <cfRule type="expression" dxfId="410" priority="598">
      <formula>Q203&gt;Q202</formula>
    </cfRule>
  </conditionalFormatting>
  <conditionalFormatting sqref="S203">
    <cfRule type="expression" dxfId="409" priority="595">
      <formula>S232&lt;&gt;S203</formula>
    </cfRule>
    <cfRule type="expression" dxfId="408" priority="596">
      <formula>S203&gt;S202</formula>
    </cfRule>
  </conditionalFormatting>
  <conditionalFormatting sqref="U203">
    <cfRule type="expression" dxfId="407" priority="593">
      <formula>U232&lt;&gt;U203</formula>
    </cfRule>
    <cfRule type="expression" dxfId="406" priority="594">
      <formula>U203&gt;U202</formula>
    </cfRule>
  </conditionalFormatting>
  <conditionalFormatting sqref="W203">
    <cfRule type="expression" dxfId="405" priority="591">
      <formula>W232&lt;&gt;W203</formula>
    </cfRule>
    <cfRule type="expression" dxfId="404" priority="592">
      <formula>W203&gt;W202</formula>
    </cfRule>
  </conditionalFormatting>
  <conditionalFormatting sqref="Y203">
    <cfRule type="expression" dxfId="403" priority="589">
      <formula>Y232&lt;&gt;Y203</formula>
    </cfRule>
    <cfRule type="expression" dxfId="402" priority="590">
      <formula>Y203&gt;Y202</formula>
    </cfRule>
  </conditionalFormatting>
  <conditionalFormatting sqref="O236">
    <cfRule type="expression" dxfId="401" priority="588">
      <formula>O236&gt;O211</formula>
    </cfRule>
  </conditionalFormatting>
  <conditionalFormatting sqref="Q236">
    <cfRule type="expression" dxfId="400" priority="587">
      <formula>Q236&gt;Q211</formula>
    </cfRule>
  </conditionalFormatting>
  <conditionalFormatting sqref="S236">
    <cfRule type="expression" dxfId="399" priority="586">
      <formula>S236&gt;S211</formula>
    </cfRule>
  </conditionalFormatting>
  <conditionalFormatting sqref="U236">
    <cfRule type="expression" dxfId="398" priority="585">
      <formula>U236&gt;U211</formula>
    </cfRule>
  </conditionalFormatting>
  <conditionalFormatting sqref="W236">
    <cfRule type="expression" dxfId="397" priority="584">
      <formula>W236&gt;W211</formula>
    </cfRule>
  </conditionalFormatting>
  <conditionalFormatting sqref="Y236">
    <cfRule type="expression" dxfId="396" priority="583">
      <formula>Y236&gt;Y211</formula>
    </cfRule>
  </conditionalFormatting>
  <conditionalFormatting sqref="M236">
    <cfRule type="expression" dxfId="395" priority="582">
      <formula>M236&gt;M211</formula>
    </cfRule>
  </conditionalFormatting>
  <conditionalFormatting sqref="K236">
    <cfRule type="expression" dxfId="394" priority="581">
      <formula>K236&gt;K211</formula>
    </cfRule>
  </conditionalFormatting>
  <conditionalFormatting sqref="K211 M211 O211 Q211 S211 U211 W211 Y211">
    <cfRule type="expression" dxfId="393" priority="576">
      <formula>K236&gt;K211</formula>
    </cfRule>
  </conditionalFormatting>
  <conditionalFormatting sqref="K211 M211 O211 Q211 S211 U211 W211 Y211">
    <cfRule type="expression" dxfId="392" priority="577">
      <formula>K211&gt;K210</formula>
    </cfRule>
  </conditionalFormatting>
  <conditionalFormatting sqref="K237">
    <cfRule type="expression" dxfId="391" priority="543">
      <formula>K237&gt;K213</formula>
    </cfRule>
  </conditionalFormatting>
  <conditionalFormatting sqref="Q213">
    <cfRule type="expression" dxfId="390" priority="530">
      <formula>Q237&gt;Q213</formula>
    </cfRule>
  </conditionalFormatting>
  <conditionalFormatting sqref="Q213">
    <cfRule type="expression" dxfId="389" priority="531">
      <formula>Q213&gt;Q212</formula>
    </cfRule>
  </conditionalFormatting>
  <conditionalFormatting sqref="M237">
    <cfRule type="expression" dxfId="388" priority="513">
      <formula>M237&gt;M213</formula>
    </cfRule>
  </conditionalFormatting>
  <conditionalFormatting sqref="O237">
    <cfRule type="expression" dxfId="387" priority="512">
      <formula>O237&gt;O213</formula>
    </cfRule>
  </conditionalFormatting>
  <conditionalFormatting sqref="Q237">
    <cfRule type="expression" dxfId="386" priority="511">
      <formula>Q237&gt;Q213</formula>
    </cfRule>
  </conditionalFormatting>
  <conditionalFormatting sqref="S237">
    <cfRule type="expression" dxfId="385" priority="510">
      <formula>S237&gt;S213</formula>
    </cfRule>
  </conditionalFormatting>
  <conditionalFormatting sqref="U237">
    <cfRule type="expression" dxfId="384" priority="509">
      <formula>U237&gt;U213</formula>
    </cfRule>
  </conditionalFormatting>
  <conditionalFormatting sqref="W237">
    <cfRule type="expression" dxfId="383" priority="508">
      <formula>W237&gt;W213</formula>
    </cfRule>
  </conditionalFormatting>
  <conditionalFormatting sqref="Y237">
    <cfRule type="expression" dxfId="382" priority="507">
      <formula>Y237&gt;Y213</formula>
    </cfRule>
  </conditionalFormatting>
  <conditionalFormatting sqref="D245:AA245">
    <cfRule type="expression" dxfId="381" priority="506">
      <formula>D245&gt;D255</formula>
    </cfRule>
  </conditionalFormatting>
  <conditionalFormatting sqref="D255:AB255">
    <cfRule type="expression" dxfId="380" priority="505">
      <formula>D245&gt;D255</formula>
    </cfRule>
  </conditionalFormatting>
  <conditionalFormatting sqref="D246:AA251">
    <cfRule type="expression" dxfId="379" priority="504">
      <formula>D246&gt;D256</formula>
    </cfRule>
  </conditionalFormatting>
  <conditionalFormatting sqref="D256:AA261">
    <cfRule type="expression" dxfId="378" priority="503">
      <formula>D246&gt;D256</formula>
    </cfRule>
  </conditionalFormatting>
  <conditionalFormatting sqref="D254:AA254">
    <cfRule type="expression" dxfId="377" priority="502">
      <formula>D254&gt;D255</formula>
    </cfRule>
  </conditionalFormatting>
  <conditionalFormatting sqref="AC254">
    <cfRule type="notContainsBlanks" dxfId="376" priority="500">
      <formula>LEN(TRIM(AC254))&gt;0</formula>
    </cfRule>
  </conditionalFormatting>
  <conditionalFormatting sqref="J268:AA268">
    <cfRule type="expression" dxfId="375" priority="499">
      <formula>J268&lt;&gt;J255</formula>
    </cfRule>
  </conditionalFormatting>
  <conditionalFormatting sqref="D255:AB255">
    <cfRule type="expression" dxfId="374" priority="498">
      <formula>D268&lt;&gt;D255</formula>
    </cfRule>
  </conditionalFormatting>
  <conditionalFormatting sqref="K255:AA255">
    <cfRule type="expression" dxfId="373" priority="497">
      <formula>K238&gt;K255</formula>
    </cfRule>
  </conditionalFormatting>
  <conditionalFormatting sqref="D275:AA275">
    <cfRule type="expression" dxfId="372" priority="495">
      <formula>D270&gt;D275</formula>
    </cfRule>
  </conditionalFormatting>
  <conditionalFormatting sqref="D275:AA275">
    <cfRule type="expression" dxfId="371" priority="493">
      <formula>D271&gt;D275</formula>
    </cfRule>
  </conditionalFormatting>
  <conditionalFormatting sqref="D275:AA275">
    <cfRule type="cellIs" dxfId="370" priority="492" operator="equal">
      <formula>0</formula>
    </cfRule>
  </conditionalFormatting>
  <conditionalFormatting sqref="D280:AA280">
    <cfRule type="expression" dxfId="369" priority="491">
      <formula>D280&gt;SUM(D276:D278)</formula>
    </cfRule>
  </conditionalFormatting>
  <conditionalFormatting sqref="D279:AA279">
    <cfRule type="cellIs" dxfId="368" priority="490" operator="equal">
      <formula>0</formula>
    </cfRule>
  </conditionalFormatting>
  <conditionalFormatting sqref="D279:AA279">
    <cfRule type="expression" dxfId="367" priority="489">
      <formula>E280&gt;(E276+E277+E278)</formula>
    </cfRule>
  </conditionalFormatting>
  <conditionalFormatting sqref="AC279">
    <cfRule type="notContainsBlanks" dxfId="366" priority="488">
      <formula>LEN(TRIM(AC279))&gt;0</formula>
    </cfRule>
  </conditionalFormatting>
  <conditionalFormatting sqref="D275:AA275">
    <cfRule type="expression" dxfId="365" priority="486">
      <formula>D279&gt;D275</formula>
    </cfRule>
  </conditionalFormatting>
  <conditionalFormatting sqref="AC280">
    <cfRule type="notContainsBlanks" dxfId="364" priority="485">
      <formula>LEN(TRIM(AC280))&gt;0</formula>
    </cfRule>
  </conditionalFormatting>
  <conditionalFormatting sqref="D283:AA283">
    <cfRule type="expression" dxfId="363" priority="484">
      <formula>D283&gt;D275</formula>
    </cfRule>
  </conditionalFormatting>
  <conditionalFormatting sqref="D275:AA275">
    <cfRule type="expression" dxfId="362" priority="483">
      <formula>D283&gt;D275</formula>
    </cfRule>
  </conditionalFormatting>
  <conditionalFormatting sqref="AC283">
    <cfRule type="notContainsBlanks" dxfId="361" priority="482">
      <formula>LEN(TRIM(AC283))&gt;0</formula>
    </cfRule>
  </conditionalFormatting>
  <conditionalFormatting sqref="AC283">
    <cfRule type="notContainsBlanks" dxfId="360" priority="481">
      <formula>LEN(TRIM(AC283))&gt;0</formula>
    </cfRule>
  </conditionalFormatting>
  <conditionalFormatting sqref="D255:AA255">
    <cfRule type="expression" dxfId="359" priority="478">
      <formula>D275&gt;D255</formula>
    </cfRule>
  </conditionalFormatting>
  <conditionalFormatting sqref="AC270">
    <cfRule type="notContainsBlanks" dxfId="358" priority="477">
      <formula>LEN(TRIM(AC270))&gt;0</formula>
    </cfRule>
  </conditionalFormatting>
  <conditionalFormatting sqref="D255:AA255">
    <cfRule type="expression" dxfId="357" priority="476">
      <formula>SUM(D101:D102)&gt;D255</formula>
    </cfRule>
  </conditionalFormatting>
  <conditionalFormatting sqref="K229">
    <cfRule type="expression" dxfId="356" priority="473">
      <formula>K229&gt;K245 &amp; EXACT($I$3,"1") &amp; EXACT($E$3,"1")</formula>
    </cfRule>
  </conditionalFormatting>
  <conditionalFormatting sqref="D285:AA285">
    <cfRule type="expression" dxfId="355" priority="471">
      <formula>D286&gt;D285</formula>
    </cfRule>
  </conditionalFormatting>
  <conditionalFormatting sqref="D307:AA313">
    <cfRule type="expression" dxfId="354" priority="470">
      <formula>D307&gt;D$301</formula>
    </cfRule>
  </conditionalFormatting>
  <conditionalFormatting sqref="D301:AA301">
    <cfRule type="expression" dxfId="353" priority="469">
      <formula>D307&gt;D$301</formula>
    </cfRule>
  </conditionalFormatting>
  <conditionalFormatting sqref="F318:AA318">
    <cfRule type="expression" dxfId="352" priority="468">
      <formula>F318&gt;F315</formula>
    </cfRule>
  </conditionalFormatting>
  <conditionalFormatting sqref="D315:AA315">
    <cfRule type="expression" dxfId="351" priority="467">
      <formula>D318&gt;D315</formula>
    </cfRule>
  </conditionalFormatting>
  <conditionalFormatting sqref="AD315">
    <cfRule type="notContainsBlanks" dxfId="350" priority="466">
      <formula>LEN(TRIM(AD315))&gt;0</formula>
    </cfRule>
  </conditionalFormatting>
  <conditionalFormatting sqref="F320:AA320">
    <cfRule type="expression" dxfId="349" priority="465">
      <formula>F320&gt;F318</formula>
    </cfRule>
  </conditionalFormatting>
  <conditionalFormatting sqref="F318:AA318">
    <cfRule type="expression" dxfId="348" priority="464">
      <formula>F320&gt;F318</formula>
    </cfRule>
  </conditionalFormatting>
  <conditionalFormatting sqref="F323:AA323">
    <cfRule type="expression" dxfId="347" priority="463">
      <formula>F323&lt;&gt;F316</formula>
    </cfRule>
  </conditionalFormatting>
  <conditionalFormatting sqref="D316:AA316">
    <cfRule type="expression" dxfId="346" priority="462">
      <formula>D323&lt;&gt;D316</formula>
    </cfRule>
  </conditionalFormatting>
  <conditionalFormatting sqref="F322:AA322">
    <cfRule type="expression" dxfId="345" priority="461">
      <formula>F322&gt;F320</formula>
    </cfRule>
  </conditionalFormatting>
  <conditionalFormatting sqref="F320:AA320">
    <cfRule type="expression" dxfId="344" priority="460">
      <formula>F322&gt;F320</formula>
    </cfRule>
  </conditionalFormatting>
  <conditionalFormatting sqref="AC315">
    <cfRule type="notContainsBlanks" dxfId="343" priority="458">
      <formula>LEN(TRIM(AC315))&gt;0</formula>
    </cfRule>
  </conditionalFormatting>
  <conditionalFormatting sqref="AC318">
    <cfRule type="notContainsBlanks" dxfId="342" priority="457">
      <formula>LEN(TRIM(AC318))&gt;0</formula>
    </cfRule>
  </conditionalFormatting>
  <conditionalFormatting sqref="AC319">
    <cfRule type="notContainsBlanks" dxfId="341" priority="456">
      <formula>LEN(TRIM(AC319))&gt;0</formula>
    </cfRule>
  </conditionalFormatting>
  <conditionalFormatting sqref="F319:AA319">
    <cfRule type="expression" dxfId="340" priority="455">
      <formula>F319&gt;F315</formula>
    </cfRule>
  </conditionalFormatting>
  <conditionalFormatting sqref="F317:AB317">
    <cfRule type="cellIs" dxfId="339" priority="454" operator="lessThan">
      <formula>0</formula>
    </cfRule>
  </conditionalFormatting>
  <conditionalFormatting sqref="D315:AA315">
    <cfRule type="expression" dxfId="338" priority="453">
      <formula>D319&gt;D315</formula>
    </cfRule>
  </conditionalFormatting>
  <conditionalFormatting sqref="AC320">
    <cfRule type="notContainsBlanks" dxfId="337" priority="452">
      <formula>LEN(TRIM(AC320))&gt;0</formula>
    </cfRule>
  </conditionalFormatting>
  <conditionalFormatting sqref="AE322">
    <cfRule type="notContainsBlanks" dxfId="336" priority="1562">
      <formula>LEN(TRIM(AE322))&gt;0</formula>
    </cfRule>
  </conditionalFormatting>
  <conditionalFormatting sqref="AF315">
    <cfRule type="notContainsBlanks" dxfId="335" priority="450">
      <formula>LEN(TRIM(AF315))&gt;0</formula>
    </cfRule>
  </conditionalFormatting>
  <conditionalFormatting sqref="AC322">
    <cfRule type="notContainsBlanks" dxfId="334" priority="449">
      <formula>LEN(TRIM(AC322))&gt;0</formula>
    </cfRule>
  </conditionalFormatting>
  <conditionalFormatting sqref="AC324">
    <cfRule type="notContainsBlanks" dxfId="333" priority="448">
      <formula>LEN(TRIM(AC324))&gt;0</formula>
    </cfRule>
  </conditionalFormatting>
  <conditionalFormatting sqref="AC323">
    <cfRule type="notContainsBlanks" dxfId="332" priority="447">
      <formula>LEN(TRIM(AC323))&gt;0</formula>
    </cfRule>
  </conditionalFormatting>
  <conditionalFormatting sqref="J80:AA85">
    <cfRule type="expression" dxfId="331" priority="446">
      <formula>J69&gt;J80</formula>
    </cfRule>
  </conditionalFormatting>
  <conditionalFormatting sqref="J69:AA74">
    <cfRule type="expression" dxfId="330" priority="445">
      <formula>J69&gt;J80</formula>
    </cfRule>
  </conditionalFormatting>
  <conditionalFormatting sqref="F318:AA318">
    <cfRule type="expression" dxfId="329" priority="424">
      <formula>F318&lt;F317</formula>
    </cfRule>
  </conditionalFormatting>
  <conditionalFormatting sqref="F317:AA317">
    <cfRule type="expression" dxfId="328" priority="423">
      <formula>F318&lt;F317</formula>
    </cfRule>
  </conditionalFormatting>
  <conditionalFormatting sqref="F322:AA322">
    <cfRule type="expression" dxfId="327" priority="422">
      <formula>F320&gt;F322</formula>
    </cfRule>
  </conditionalFormatting>
  <conditionalFormatting sqref="F320:AA320">
    <cfRule type="expression" dxfId="326" priority="421">
      <formula>F320&gt;F322</formula>
    </cfRule>
  </conditionalFormatting>
  <conditionalFormatting sqref="D291:AA291">
    <cfRule type="expression" dxfId="325" priority="420">
      <formula>D291&gt;D286</formula>
    </cfRule>
  </conditionalFormatting>
  <conditionalFormatting sqref="D286:AA286">
    <cfRule type="expression" dxfId="324" priority="419">
      <formula>D291&gt;D286</formula>
    </cfRule>
  </conditionalFormatting>
  <conditionalFormatting sqref="D290:AA290">
    <cfRule type="expression" dxfId="323" priority="417">
      <formula>D290&gt;SUM(D289,D288,D287)</formula>
    </cfRule>
  </conditionalFormatting>
  <conditionalFormatting sqref="D289:AA289">
    <cfRule type="expression" dxfId="322" priority="416">
      <formula>D290&gt;SUM(D289,D288,D287)</formula>
    </cfRule>
  </conditionalFormatting>
  <conditionalFormatting sqref="D288:AA288">
    <cfRule type="expression" dxfId="321" priority="415">
      <formula>D290&gt;SUM(D289,D288,D287)</formula>
    </cfRule>
  </conditionalFormatting>
  <conditionalFormatting sqref="D287:AA287">
    <cfRule type="expression" dxfId="320" priority="414">
      <formula>D290&gt;SUM(D289,D288,D287)</formula>
    </cfRule>
  </conditionalFormatting>
  <conditionalFormatting sqref="D271:AA271">
    <cfRule type="expression" dxfId="319" priority="413">
      <formula>D282&gt;D271</formula>
    </cfRule>
  </conditionalFormatting>
  <conditionalFormatting sqref="D282:AA282">
    <cfRule type="expression" dxfId="318" priority="412">
      <formula>D282&gt;D271</formula>
    </cfRule>
  </conditionalFormatting>
  <conditionalFormatting sqref="K206">
    <cfRule type="expression" dxfId="317" priority="411">
      <formula>K207&gt;K206</formula>
    </cfRule>
  </conditionalFormatting>
  <conditionalFormatting sqref="K234">
    <cfRule type="expression" dxfId="316" priority="410">
      <formula>K234&gt;K207</formula>
    </cfRule>
  </conditionalFormatting>
  <conditionalFormatting sqref="M234">
    <cfRule type="expression" dxfId="315" priority="409">
      <formula>M234&gt;M207</formula>
    </cfRule>
  </conditionalFormatting>
  <conditionalFormatting sqref="O234">
    <cfRule type="expression" dxfId="314" priority="408">
      <formula>O234&gt;O207</formula>
    </cfRule>
  </conditionalFormatting>
  <conditionalFormatting sqref="Q234">
    <cfRule type="expression" dxfId="313" priority="407">
      <formula>Q234&gt;Q207</formula>
    </cfRule>
  </conditionalFormatting>
  <conditionalFormatting sqref="S234">
    <cfRule type="expression" dxfId="312" priority="406">
      <formula>S234&gt;S207</formula>
    </cfRule>
  </conditionalFormatting>
  <conditionalFormatting sqref="U234">
    <cfRule type="expression" dxfId="311" priority="405">
      <formula>U234&gt;U207</formula>
    </cfRule>
  </conditionalFormatting>
  <conditionalFormatting sqref="W234">
    <cfRule type="expression" dxfId="310" priority="404">
      <formula>W234&gt;W207</formula>
    </cfRule>
  </conditionalFormatting>
  <conditionalFormatting sqref="Y234">
    <cfRule type="expression" dxfId="309" priority="403">
      <formula>Y234&gt;Y207</formula>
    </cfRule>
  </conditionalFormatting>
  <conditionalFormatting sqref="D18:AB18">
    <cfRule type="cellIs" dxfId="308" priority="402" operator="equal">
      <formula>0</formula>
    </cfRule>
  </conditionalFormatting>
  <conditionalFormatting sqref="AC11">
    <cfRule type="notContainsBlanks" dxfId="307" priority="401">
      <formula>LEN(TRIM(AC11))&gt;0</formula>
    </cfRule>
  </conditionalFormatting>
  <conditionalFormatting sqref="AC12">
    <cfRule type="notContainsBlanks" dxfId="306" priority="400">
      <formula>LEN(TRIM(AC12))&gt;0</formula>
    </cfRule>
  </conditionalFormatting>
  <conditionalFormatting sqref="AC16">
    <cfRule type="notContainsBlanks" dxfId="305" priority="398">
      <formula>LEN(TRIM(AC16))&gt;0</formula>
    </cfRule>
  </conditionalFormatting>
  <conditionalFormatting sqref="AC15">
    <cfRule type="notContainsBlanks" dxfId="304" priority="397">
      <formula>LEN(TRIM(AC15))&gt;0</formula>
    </cfRule>
  </conditionalFormatting>
  <conditionalFormatting sqref="D14:AA14">
    <cfRule type="cellIs" dxfId="303" priority="381" operator="equal">
      <formula>0</formula>
    </cfRule>
  </conditionalFormatting>
  <conditionalFormatting sqref="AC14">
    <cfRule type="notContainsBlanks" dxfId="302" priority="380">
      <formula>LEN(TRIM(AC14))&gt;0</formula>
    </cfRule>
  </conditionalFormatting>
  <conditionalFormatting sqref="D14:AA14">
    <cfRule type="expression" dxfId="301" priority="379">
      <formula>D49&gt;D14</formula>
    </cfRule>
  </conditionalFormatting>
  <conditionalFormatting sqref="D49:AA49">
    <cfRule type="expression" dxfId="300" priority="378">
      <formula>D49&gt;D14</formula>
    </cfRule>
  </conditionalFormatting>
  <conditionalFormatting sqref="M126">
    <cfRule type="expression" dxfId="299" priority="343">
      <formula>(M129+M128+M127)&gt;M126</formula>
    </cfRule>
    <cfRule type="cellIs" dxfId="298" priority="360" operator="equal">
      <formula>0</formula>
    </cfRule>
  </conditionalFormatting>
  <conditionalFormatting sqref="M127">
    <cfRule type="expression" dxfId="297" priority="342">
      <formula>(M129+M128+M127)&gt;M126</formula>
    </cfRule>
  </conditionalFormatting>
  <conditionalFormatting sqref="M128">
    <cfRule type="expression" dxfId="296" priority="341">
      <formula>(M129+M128+M127)&gt;M126</formula>
    </cfRule>
  </conditionalFormatting>
  <conditionalFormatting sqref="M129">
    <cfRule type="expression" dxfId="295" priority="340">
      <formula>(M129+M128+M127)&gt;M126</formula>
    </cfRule>
  </conditionalFormatting>
  <conditionalFormatting sqref="O126">
    <cfRule type="expression" dxfId="294" priority="338">
      <formula>(O129+O128+O127)&gt;O126</formula>
    </cfRule>
    <cfRule type="cellIs" dxfId="293" priority="339" operator="equal">
      <formula>0</formula>
    </cfRule>
  </conditionalFormatting>
  <conditionalFormatting sqref="O127">
    <cfRule type="expression" dxfId="292" priority="337">
      <formula>(O129+O128+O127)&gt;O126</formula>
    </cfRule>
  </conditionalFormatting>
  <conditionalFormatting sqref="O128">
    <cfRule type="expression" dxfId="291" priority="336">
      <formula>(O129+O128+O127)&gt;O126</formula>
    </cfRule>
  </conditionalFormatting>
  <conditionalFormatting sqref="O129">
    <cfRule type="expression" dxfId="290" priority="335">
      <formula>(O129+O128+O127)&gt;O126</formula>
    </cfRule>
  </conditionalFormatting>
  <conditionalFormatting sqref="Q126">
    <cfRule type="expression" dxfId="289" priority="333">
      <formula>(Q129+Q128+Q127)&gt;Q126</formula>
    </cfRule>
    <cfRule type="cellIs" dxfId="288" priority="334" operator="equal">
      <formula>0</formula>
    </cfRule>
  </conditionalFormatting>
  <conditionalFormatting sqref="Q127">
    <cfRule type="expression" dxfId="287" priority="332">
      <formula>(Q129+Q128+Q127)&gt;Q126</formula>
    </cfRule>
  </conditionalFormatting>
  <conditionalFormatting sqref="Q128">
    <cfRule type="expression" dxfId="286" priority="331">
      <formula>(Q129+Q128+Q127)&gt;Q126</formula>
    </cfRule>
  </conditionalFormatting>
  <conditionalFormatting sqref="Q129">
    <cfRule type="expression" dxfId="285" priority="330">
      <formula>(Q129+Q128+Q127)&gt;Q126</formula>
    </cfRule>
  </conditionalFormatting>
  <conditionalFormatting sqref="S126">
    <cfRule type="expression" dxfId="284" priority="328">
      <formula>(S129+S128+S127)&gt;S126</formula>
    </cfRule>
    <cfRule type="cellIs" dxfId="283" priority="329" operator="equal">
      <formula>0</formula>
    </cfRule>
  </conditionalFormatting>
  <conditionalFormatting sqref="S127">
    <cfRule type="expression" dxfId="282" priority="327">
      <formula>(S129+S128+S127)&gt;S126</formula>
    </cfRule>
  </conditionalFormatting>
  <conditionalFormatting sqref="S128">
    <cfRule type="expression" dxfId="281" priority="326">
      <formula>(S129+S128+S127)&gt;S126</formula>
    </cfRule>
  </conditionalFormatting>
  <conditionalFormatting sqref="S129">
    <cfRule type="expression" dxfId="280" priority="325">
      <formula>(S129+S128+S127)&gt;S126</formula>
    </cfRule>
  </conditionalFormatting>
  <conditionalFormatting sqref="U126">
    <cfRule type="expression" dxfId="279" priority="323">
      <formula>(U129+U128+U127)&gt;U126</formula>
    </cfRule>
    <cfRule type="cellIs" dxfId="278" priority="324" operator="equal">
      <formula>0</formula>
    </cfRule>
  </conditionalFormatting>
  <conditionalFormatting sqref="U127">
    <cfRule type="expression" dxfId="277" priority="322">
      <formula>(U129+U128+U127)&gt;U126</formula>
    </cfRule>
  </conditionalFormatting>
  <conditionalFormatting sqref="U128">
    <cfRule type="expression" dxfId="276" priority="321">
      <formula>(U129+U128+U127)&gt;U126</formula>
    </cfRule>
  </conditionalFormatting>
  <conditionalFormatting sqref="U129">
    <cfRule type="expression" dxfId="275" priority="320">
      <formula>(U129+U128+U127)&gt;U126</formula>
    </cfRule>
  </conditionalFormatting>
  <conditionalFormatting sqref="W126">
    <cfRule type="expression" dxfId="274" priority="318">
      <formula>(W129+W128+W127)&gt;W126</formula>
    </cfRule>
    <cfRule type="cellIs" dxfId="273" priority="319" operator="equal">
      <formula>0</formula>
    </cfRule>
  </conditionalFormatting>
  <conditionalFormatting sqref="W127">
    <cfRule type="expression" dxfId="272" priority="317">
      <formula>(W129+W128+W127)&gt;W126</formula>
    </cfRule>
  </conditionalFormatting>
  <conditionalFormatting sqref="W128">
    <cfRule type="expression" dxfId="271" priority="316">
      <formula>(W129+W128+W127)&gt;W126</formula>
    </cfRule>
  </conditionalFormatting>
  <conditionalFormatting sqref="W129">
    <cfRule type="expression" dxfId="270" priority="315">
      <formula>(W129+W128+W127)&gt;W126</formula>
    </cfRule>
  </conditionalFormatting>
  <conditionalFormatting sqref="Y126">
    <cfRule type="expression" dxfId="269" priority="313">
      <formula>(Y129+Y128+Y127)&gt;Y126</formula>
    </cfRule>
    <cfRule type="cellIs" dxfId="268" priority="314" operator="equal">
      <formula>0</formula>
    </cfRule>
  </conditionalFormatting>
  <conditionalFormatting sqref="Y127">
    <cfRule type="expression" dxfId="267" priority="312">
      <formula>(Y129+Y128+Y127)&gt;Y126</formula>
    </cfRule>
  </conditionalFormatting>
  <conditionalFormatting sqref="Y128">
    <cfRule type="expression" dxfId="266" priority="311">
      <formula>(Y129+Y128+Y127)&gt;Y126</formula>
    </cfRule>
  </conditionalFormatting>
  <conditionalFormatting sqref="Y129">
    <cfRule type="expression" dxfId="265" priority="310">
      <formula>(Y129+Y128+Y127)&gt;Y126</formula>
    </cfRule>
  </conditionalFormatting>
  <conditionalFormatting sqref="AA126">
    <cfRule type="expression" dxfId="264" priority="308">
      <formula>(AA129+AA128+AA127)&gt;AA126</formula>
    </cfRule>
    <cfRule type="cellIs" dxfId="263" priority="309" operator="equal">
      <formula>0</formula>
    </cfRule>
  </conditionalFormatting>
  <conditionalFormatting sqref="AA127">
    <cfRule type="expression" dxfId="262" priority="307">
      <formula>(AA129+AA128+AA127)&gt;AA126</formula>
    </cfRule>
  </conditionalFormatting>
  <conditionalFormatting sqref="AA128">
    <cfRule type="expression" dxfId="261" priority="306">
      <formula>(AA129+AA128+AA127)&gt;AA126</formula>
    </cfRule>
  </conditionalFormatting>
  <conditionalFormatting sqref="AA129">
    <cfRule type="expression" dxfId="260" priority="305">
      <formula>(AA129+AA128+AA127)&gt;AA126</formula>
    </cfRule>
  </conditionalFormatting>
  <conditionalFormatting sqref="M119">
    <cfRule type="expression" dxfId="259" priority="302">
      <formula>(M122+M121+M120)&gt;M119</formula>
    </cfRule>
    <cfRule type="cellIs" dxfId="258" priority="303" operator="equal">
      <formula>0</formula>
    </cfRule>
  </conditionalFormatting>
  <conditionalFormatting sqref="M120">
    <cfRule type="expression" dxfId="257" priority="301">
      <formula>(M122+M121+M120)&gt;M119</formula>
    </cfRule>
  </conditionalFormatting>
  <conditionalFormatting sqref="M121">
    <cfRule type="expression" dxfId="256" priority="300">
      <formula>(M122+M121+M120)&gt;M119</formula>
    </cfRule>
  </conditionalFormatting>
  <conditionalFormatting sqref="M122">
    <cfRule type="expression" dxfId="255" priority="299">
      <formula>(M122+M121+M120)&gt;M119</formula>
    </cfRule>
  </conditionalFormatting>
  <conditionalFormatting sqref="O119">
    <cfRule type="expression" dxfId="254" priority="297">
      <formula>(O122+O121+O120)&gt;O119</formula>
    </cfRule>
    <cfRule type="cellIs" dxfId="253" priority="298" operator="equal">
      <formula>0</formula>
    </cfRule>
  </conditionalFormatting>
  <conditionalFormatting sqref="O120">
    <cfRule type="expression" dxfId="252" priority="296">
      <formula>(O122+O121+O120)&gt;O119</formula>
    </cfRule>
  </conditionalFormatting>
  <conditionalFormatting sqref="O121">
    <cfRule type="expression" dxfId="251" priority="295">
      <formula>(O122+O121+O120)&gt;O119</formula>
    </cfRule>
  </conditionalFormatting>
  <conditionalFormatting sqref="O122">
    <cfRule type="expression" dxfId="250" priority="294">
      <formula>(O122+O121+O120)&gt;O119</formula>
    </cfRule>
  </conditionalFormatting>
  <conditionalFormatting sqref="Q119">
    <cfRule type="expression" dxfId="249" priority="292">
      <formula>(Q122+Q121+Q120)&gt;Q119</formula>
    </cfRule>
    <cfRule type="cellIs" dxfId="248" priority="293" operator="equal">
      <formula>0</formula>
    </cfRule>
  </conditionalFormatting>
  <conditionalFormatting sqref="Q120">
    <cfRule type="expression" dxfId="247" priority="291">
      <formula>(Q122+Q121+Q120)&gt;Q119</formula>
    </cfRule>
  </conditionalFormatting>
  <conditionalFormatting sqref="Q121">
    <cfRule type="expression" dxfId="246" priority="290">
      <formula>(Q122+Q121+Q120)&gt;Q119</formula>
    </cfRule>
  </conditionalFormatting>
  <conditionalFormatting sqref="Q122">
    <cfRule type="expression" dxfId="245" priority="289">
      <formula>(Q122+Q121+Q120)&gt;Q119</formula>
    </cfRule>
  </conditionalFormatting>
  <conditionalFormatting sqref="S119">
    <cfRule type="expression" dxfId="244" priority="287">
      <formula>(S122+S121+S120)&gt;S119</formula>
    </cfRule>
    <cfRule type="cellIs" dxfId="243" priority="288" operator="equal">
      <formula>0</formula>
    </cfRule>
  </conditionalFormatting>
  <conditionalFormatting sqref="S120">
    <cfRule type="expression" dxfId="242" priority="286">
      <formula>(S122+S121+S120)&gt;S119</formula>
    </cfRule>
  </conditionalFormatting>
  <conditionalFormatting sqref="S121">
    <cfRule type="expression" dxfId="241" priority="285">
      <formula>(S122+S121+S120)&gt;S119</formula>
    </cfRule>
  </conditionalFormatting>
  <conditionalFormatting sqref="S122">
    <cfRule type="expression" dxfId="240" priority="284">
      <formula>(S122+S121+S120)&gt;S119</formula>
    </cfRule>
  </conditionalFormatting>
  <conditionalFormatting sqref="U119">
    <cfRule type="expression" dxfId="239" priority="282">
      <formula>(U122+U121+U120)&gt;U119</formula>
    </cfRule>
    <cfRule type="cellIs" dxfId="238" priority="283" operator="equal">
      <formula>0</formula>
    </cfRule>
  </conditionalFormatting>
  <conditionalFormatting sqref="U120">
    <cfRule type="expression" dxfId="237" priority="281">
      <formula>(U122+U121+U120)&gt;U119</formula>
    </cfRule>
  </conditionalFormatting>
  <conditionalFormatting sqref="U121">
    <cfRule type="expression" dxfId="236" priority="280">
      <formula>(U122+U121+U120)&gt;U119</formula>
    </cfRule>
  </conditionalFormatting>
  <conditionalFormatting sqref="U122">
    <cfRule type="expression" dxfId="235" priority="279">
      <formula>(U122+U121+U120)&gt;U119</formula>
    </cfRule>
  </conditionalFormatting>
  <conditionalFormatting sqref="W119">
    <cfRule type="expression" dxfId="234" priority="277">
      <formula>(W122+W121+W120)&gt;W119</formula>
    </cfRule>
    <cfRule type="cellIs" dxfId="233" priority="278" operator="equal">
      <formula>0</formula>
    </cfRule>
  </conditionalFormatting>
  <conditionalFormatting sqref="W120">
    <cfRule type="expression" dxfId="232" priority="276">
      <formula>(W122+W121+W120)&gt;W119</formula>
    </cfRule>
  </conditionalFormatting>
  <conditionalFormatting sqref="W121">
    <cfRule type="expression" dxfId="231" priority="275">
      <formula>(W122+W121+W120)&gt;W119</formula>
    </cfRule>
  </conditionalFormatting>
  <conditionalFormatting sqref="W122">
    <cfRule type="expression" dxfId="230" priority="274">
      <formula>(W122+W121+W120)&gt;W119</formula>
    </cfRule>
  </conditionalFormatting>
  <conditionalFormatting sqref="Y119">
    <cfRule type="expression" dxfId="229" priority="272">
      <formula>(Y122+Y121+Y120)&gt;Y119</formula>
    </cfRule>
    <cfRule type="cellIs" dxfId="228" priority="273" operator="equal">
      <formula>0</formula>
    </cfRule>
  </conditionalFormatting>
  <conditionalFormatting sqref="Y120">
    <cfRule type="expression" dxfId="227" priority="271">
      <formula>(Y122+Y121+Y120)&gt;Y119</formula>
    </cfRule>
  </conditionalFormatting>
  <conditionalFormatting sqref="Y121">
    <cfRule type="expression" dxfId="226" priority="270">
      <formula>(Y122+Y121+Y120)&gt;Y119</formula>
    </cfRule>
  </conditionalFormatting>
  <conditionalFormatting sqref="Y122">
    <cfRule type="expression" dxfId="225" priority="269">
      <formula>(Y122+Y121+Y120)&gt;Y119</formula>
    </cfRule>
  </conditionalFormatting>
  <conditionalFormatting sqref="AA119">
    <cfRule type="expression" dxfId="224" priority="267">
      <formula>(AA122+AA121+AA120)&gt;AA119</formula>
    </cfRule>
    <cfRule type="cellIs" dxfId="223" priority="268" operator="equal">
      <formula>0</formula>
    </cfRule>
  </conditionalFormatting>
  <conditionalFormatting sqref="AA120">
    <cfRule type="expression" dxfId="222" priority="266">
      <formula>(AA122+AA121+AA120)&gt;AA119</formula>
    </cfRule>
  </conditionalFormatting>
  <conditionalFormatting sqref="AA121">
    <cfRule type="expression" dxfId="221" priority="265">
      <formula>(AA122+AA121+AA120)&gt;AA119</formula>
    </cfRule>
  </conditionalFormatting>
  <conditionalFormatting sqref="AA122">
    <cfRule type="expression" dxfId="220" priority="264">
      <formula>(AA122+AA121+AA120)&gt;AA119</formula>
    </cfRule>
  </conditionalFormatting>
  <conditionalFormatting sqref="M133">
    <cfRule type="expression" dxfId="219" priority="262">
      <formula>(M136+M135+M134)&gt;M133</formula>
    </cfRule>
    <cfRule type="cellIs" dxfId="218" priority="263" operator="equal">
      <formula>0</formula>
    </cfRule>
  </conditionalFormatting>
  <conditionalFormatting sqref="M134">
    <cfRule type="expression" dxfId="217" priority="261">
      <formula>(M136+M135+M134)&gt;M133</formula>
    </cfRule>
  </conditionalFormatting>
  <conditionalFormatting sqref="M135">
    <cfRule type="expression" dxfId="216" priority="260">
      <formula>(M136+M135+M134)&gt;M133</formula>
    </cfRule>
  </conditionalFormatting>
  <conditionalFormatting sqref="M136">
    <cfRule type="expression" dxfId="215" priority="259">
      <formula>(M136+M135+M134)&gt;M133</formula>
    </cfRule>
  </conditionalFormatting>
  <conditionalFormatting sqref="O133">
    <cfRule type="expression" dxfId="214" priority="257">
      <formula>(O136+O135+O134)&gt;O133</formula>
    </cfRule>
    <cfRule type="cellIs" dxfId="213" priority="258" operator="equal">
      <formula>0</formula>
    </cfRule>
  </conditionalFormatting>
  <conditionalFormatting sqref="O134">
    <cfRule type="expression" dxfId="212" priority="256">
      <formula>(O136+O135+O134)&gt;O133</formula>
    </cfRule>
  </conditionalFormatting>
  <conditionalFormatting sqref="O135">
    <cfRule type="expression" dxfId="211" priority="255">
      <formula>(O136+O135+O134)&gt;O133</formula>
    </cfRule>
  </conditionalFormatting>
  <conditionalFormatting sqref="O136">
    <cfRule type="expression" dxfId="210" priority="254">
      <formula>(O136+O135+O134)&gt;O133</formula>
    </cfRule>
  </conditionalFormatting>
  <conditionalFormatting sqref="Q133">
    <cfRule type="expression" dxfId="209" priority="252">
      <formula>(Q136+Q135+Q134)&gt;Q133</formula>
    </cfRule>
    <cfRule type="cellIs" dxfId="208" priority="253" operator="equal">
      <formula>0</formula>
    </cfRule>
  </conditionalFormatting>
  <conditionalFormatting sqref="Q134">
    <cfRule type="expression" dxfId="207" priority="251">
      <formula>(Q136+Q135+Q134)&gt;Q133</formula>
    </cfRule>
  </conditionalFormatting>
  <conditionalFormatting sqref="Q135">
    <cfRule type="expression" dxfId="206" priority="250">
      <formula>(Q136+Q135+Q134)&gt;Q133</formula>
    </cfRule>
  </conditionalFormatting>
  <conditionalFormatting sqref="Q136">
    <cfRule type="expression" dxfId="205" priority="249">
      <formula>(Q136+Q135+Q134)&gt;Q133</formula>
    </cfRule>
  </conditionalFormatting>
  <conditionalFormatting sqref="S133">
    <cfRule type="expression" dxfId="204" priority="247">
      <formula>(S136+S135+S134)&gt;S133</formula>
    </cfRule>
    <cfRule type="cellIs" dxfId="203" priority="248" operator="equal">
      <formula>0</formula>
    </cfRule>
  </conditionalFormatting>
  <conditionalFormatting sqref="S134">
    <cfRule type="expression" dxfId="202" priority="246">
      <formula>(S136+S135+S134)&gt;S133</formula>
    </cfRule>
  </conditionalFormatting>
  <conditionalFormatting sqref="S135">
    <cfRule type="expression" dxfId="201" priority="245">
      <formula>(S136+S135+S134)&gt;S133</formula>
    </cfRule>
  </conditionalFormatting>
  <conditionalFormatting sqref="S136">
    <cfRule type="expression" dxfId="200" priority="244">
      <formula>(S136+S135+S134)&gt;S133</formula>
    </cfRule>
  </conditionalFormatting>
  <conditionalFormatting sqref="U133">
    <cfRule type="expression" dxfId="199" priority="242">
      <formula>(U136+U135+U134)&gt;U133</formula>
    </cfRule>
    <cfRule type="cellIs" dxfId="198" priority="243" operator="equal">
      <formula>0</formula>
    </cfRule>
  </conditionalFormatting>
  <conditionalFormatting sqref="U134">
    <cfRule type="expression" dxfId="197" priority="241">
      <formula>(U136+U135+U134)&gt;U133</formula>
    </cfRule>
  </conditionalFormatting>
  <conditionalFormatting sqref="U135">
    <cfRule type="expression" dxfId="196" priority="240">
      <formula>(U136+U135+U134)&gt;U133</formula>
    </cfRule>
  </conditionalFormatting>
  <conditionalFormatting sqref="U136">
    <cfRule type="expression" dxfId="195" priority="239">
      <formula>(U136+U135+U134)&gt;U133</formula>
    </cfRule>
  </conditionalFormatting>
  <conditionalFormatting sqref="W133">
    <cfRule type="expression" dxfId="194" priority="237">
      <formula>(W136+W135+W134)&gt;W133</formula>
    </cfRule>
    <cfRule type="cellIs" dxfId="193" priority="238" operator="equal">
      <formula>0</formula>
    </cfRule>
  </conditionalFormatting>
  <conditionalFormatting sqref="W134">
    <cfRule type="expression" dxfId="192" priority="236">
      <formula>(W136+W135+W134)&gt;W133</formula>
    </cfRule>
  </conditionalFormatting>
  <conditionalFormatting sqref="W135">
    <cfRule type="expression" dxfId="191" priority="235">
      <formula>(W136+W135+W134)&gt;W133</formula>
    </cfRule>
  </conditionalFormatting>
  <conditionalFormatting sqref="W136">
    <cfRule type="expression" dxfId="190" priority="234">
      <formula>(W136+W135+W134)&gt;W133</formula>
    </cfRule>
  </conditionalFormatting>
  <conditionalFormatting sqref="Y133">
    <cfRule type="expression" dxfId="189" priority="232">
      <formula>(Y136+Y135+Y134)&gt;Y133</formula>
    </cfRule>
    <cfRule type="cellIs" dxfId="188" priority="233" operator="equal">
      <formula>0</formula>
    </cfRule>
  </conditionalFormatting>
  <conditionalFormatting sqref="Y134">
    <cfRule type="expression" dxfId="187" priority="231">
      <formula>(Y136+Y135+Y134)&gt;Y133</formula>
    </cfRule>
  </conditionalFormatting>
  <conditionalFormatting sqref="Y135">
    <cfRule type="expression" dxfId="186" priority="230">
      <formula>(Y136+Y135+Y134)&gt;Y133</formula>
    </cfRule>
  </conditionalFormatting>
  <conditionalFormatting sqref="Y136">
    <cfRule type="expression" dxfId="185" priority="229">
      <formula>(Y136+Y135+Y134)&gt;Y133</formula>
    </cfRule>
  </conditionalFormatting>
  <conditionalFormatting sqref="AA133">
    <cfRule type="expression" dxfId="184" priority="227">
      <formula>(AA136+AA135+AA134)&gt;AA133</formula>
    </cfRule>
    <cfRule type="cellIs" dxfId="183" priority="228" operator="equal">
      <formula>0</formula>
    </cfRule>
  </conditionalFormatting>
  <conditionalFormatting sqref="AA134">
    <cfRule type="expression" dxfId="182" priority="226">
      <formula>(AA136+AA135+AA134)&gt;AA133</formula>
    </cfRule>
  </conditionalFormatting>
  <conditionalFormatting sqref="AA135">
    <cfRule type="expression" dxfId="181" priority="225">
      <formula>(AA136+AA135+AA134)&gt;AA133</formula>
    </cfRule>
  </conditionalFormatting>
  <conditionalFormatting sqref="AA136">
    <cfRule type="expression" dxfId="180" priority="224">
      <formula>(AA136+AA135+AA134)&gt;AA133</formula>
    </cfRule>
  </conditionalFormatting>
  <conditionalFormatting sqref="AE149:AF149">
    <cfRule type="notContainsBlanks" dxfId="179" priority="220">
      <formula>LEN(TRIM(AE149))&gt;0</formula>
    </cfRule>
  </conditionalFormatting>
  <conditionalFormatting sqref="AB150:AB175">
    <cfRule type="cellIs" dxfId="178" priority="218" operator="equal">
      <formula>0</formula>
    </cfRule>
  </conditionalFormatting>
  <conditionalFormatting sqref="AE150:AF157">
    <cfRule type="notContainsBlanks" dxfId="177" priority="216">
      <formula>LEN(TRIM(AE150))&gt;0</formula>
    </cfRule>
  </conditionalFormatting>
  <conditionalFormatting sqref="AE158:AF158">
    <cfRule type="notContainsBlanks" dxfId="176" priority="207">
      <formula>LEN(TRIM(AE158))&gt;0</formula>
    </cfRule>
  </conditionalFormatting>
  <conditionalFormatting sqref="AE159:AF166">
    <cfRule type="notContainsBlanks" dxfId="175" priority="203">
      <formula>LEN(TRIM(AE159))&gt;0</formula>
    </cfRule>
  </conditionalFormatting>
  <conditionalFormatting sqref="AE167:AF167">
    <cfRule type="notContainsBlanks" dxfId="174" priority="194">
      <formula>LEN(TRIM(AE167))&gt;0</formula>
    </cfRule>
  </conditionalFormatting>
  <conditionalFormatting sqref="AE168:AF175">
    <cfRule type="notContainsBlanks" dxfId="173" priority="190">
      <formula>LEN(TRIM(AE168))&gt;0</formula>
    </cfRule>
  </conditionalFormatting>
  <conditionalFormatting sqref="D101:AA101">
    <cfRule type="expression" dxfId="172" priority="1644">
      <formula>SUM(D101:D102)&gt;D255</formula>
    </cfRule>
  </conditionalFormatting>
  <conditionalFormatting sqref="D102:E102">
    <cfRule type="expression" dxfId="171" priority="1645">
      <formula>SUM(D101:D102)&gt;D255</formula>
    </cfRule>
  </conditionalFormatting>
  <conditionalFormatting sqref="D142:AA142">
    <cfRule type="cellIs" dxfId="170" priority="183" operator="equal">
      <formula>0</formula>
    </cfRule>
  </conditionalFormatting>
  <conditionalFormatting sqref="D176:AB176 D177:AA177 AB178">
    <cfRule type="cellIs" dxfId="169" priority="182" operator="equal">
      <formula>0</formula>
    </cfRule>
  </conditionalFormatting>
  <conditionalFormatting sqref="D180:AA180">
    <cfRule type="expression" dxfId="168" priority="181">
      <formula>D180&gt;D176</formula>
    </cfRule>
  </conditionalFormatting>
  <conditionalFormatting sqref="D176:AA176">
    <cfRule type="expression" dxfId="167" priority="180">
      <formula>D180&gt;D176</formula>
    </cfRule>
  </conditionalFormatting>
  <conditionalFormatting sqref="AB149">
    <cfRule type="cellIs" dxfId="166" priority="179" operator="equal">
      <formula>0</formula>
    </cfRule>
  </conditionalFormatting>
  <conditionalFormatting sqref="AB12:AB13">
    <cfRule type="cellIs" dxfId="165" priority="177" operator="equal">
      <formula>0</formula>
    </cfRule>
  </conditionalFormatting>
  <conditionalFormatting sqref="AB14">
    <cfRule type="cellIs" dxfId="164" priority="176" operator="equal">
      <formula>0</formula>
    </cfRule>
  </conditionalFormatting>
  <conditionalFormatting sqref="AB15:AB17">
    <cfRule type="cellIs" dxfId="163" priority="175" operator="equal">
      <formula>0</formula>
    </cfRule>
  </conditionalFormatting>
  <conditionalFormatting sqref="D141:AA141">
    <cfRule type="expression" dxfId="162" priority="173">
      <formula>D141&gt;D140</formula>
    </cfRule>
  </conditionalFormatting>
  <conditionalFormatting sqref="D140:AA140">
    <cfRule type="expression" dxfId="161" priority="172">
      <formula>D141&gt;D140</formula>
    </cfRule>
  </conditionalFormatting>
  <conditionalFormatting sqref="D142:AA142">
    <cfRule type="expression" dxfId="160" priority="171">
      <formula>D142&gt;D141</formula>
    </cfRule>
  </conditionalFormatting>
  <conditionalFormatting sqref="D141:AA141">
    <cfRule type="expression" dxfId="159" priority="170">
      <formula>D142&gt;D141</formula>
    </cfRule>
  </conditionalFormatting>
  <conditionalFormatting sqref="D177:AA177">
    <cfRule type="expression" dxfId="158" priority="169">
      <formula>D177&gt;D176</formula>
    </cfRule>
  </conditionalFormatting>
  <conditionalFormatting sqref="D176:AA176">
    <cfRule type="expression" dxfId="157" priority="168">
      <formula>D177&gt;D176</formula>
    </cfRule>
  </conditionalFormatting>
  <conditionalFormatting sqref="AC143">
    <cfRule type="notContainsBlanks" dxfId="156" priority="167">
      <formula>LEN(TRIM(AC143))&gt;0</formula>
    </cfRule>
  </conditionalFormatting>
  <conditionalFormatting sqref="AD149">
    <cfRule type="notContainsBlanks" dxfId="155" priority="166">
      <formula>LEN(TRIM(AD149))&gt;0</formula>
    </cfRule>
  </conditionalFormatting>
  <conditionalFormatting sqref="AD158">
    <cfRule type="notContainsBlanks" dxfId="154" priority="165">
      <formula>LEN(TRIM(AD158))&gt;0</formula>
    </cfRule>
  </conditionalFormatting>
  <conditionalFormatting sqref="AD167">
    <cfRule type="notContainsBlanks" dxfId="153" priority="164">
      <formula>LEN(TRIM(AD167))&gt;0</formula>
    </cfRule>
  </conditionalFormatting>
  <conditionalFormatting sqref="D144:AA144">
    <cfRule type="expression" dxfId="152" priority="163">
      <formula>D144&gt;D143</formula>
    </cfRule>
  </conditionalFormatting>
  <conditionalFormatting sqref="D143:AA143">
    <cfRule type="expression" dxfId="151" priority="162">
      <formula>D144&gt;D143</formula>
    </cfRule>
  </conditionalFormatting>
  <conditionalFormatting sqref="AC140">
    <cfRule type="notContainsBlanks" dxfId="150" priority="161">
      <formula>LEN(TRIM(AC140))&gt;0</formula>
    </cfRule>
  </conditionalFormatting>
  <conditionalFormatting sqref="AC145">
    <cfRule type="notContainsBlanks" dxfId="149" priority="160">
      <formula>LEN(TRIM(AC145))&gt;0</formula>
    </cfRule>
  </conditionalFormatting>
  <conditionalFormatting sqref="D146:AA146">
    <cfRule type="expression" dxfId="148" priority="159">
      <formula>D146&gt;D145</formula>
    </cfRule>
  </conditionalFormatting>
  <conditionalFormatting sqref="D145:AA145">
    <cfRule type="expression" dxfId="147" priority="158">
      <formula>D146&gt;D145</formula>
    </cfRule>
  </conditionalFormatting>
  <conditionalFormatting sqref="AC150:AC151 AC153 AC155:AC157">
    <cfRule type="notContainsBlanks" dxfId="146" priority="157">
      <formula>LEN(TRIM(AC150))&gt;0</formula>
    </cfRule>
  </conditionalFormatting>
  <conditionalFormatting sqref="AC152">
    <cfRule type="notContainsBlanks" dxfId="145" priority="156">
      <formula>LEN(TRIM(AC152))&gt;0</formula>
    </cfRule>
  </conditionalFormatting>
  <conditionalFormatting sqref="AC149">
    <cfRule type="notContainsBlanks" dxfId="144" priority="155">
      <formula>LEN(TRIM(AC149))&gt;0</formula>
    </cfRule>
  </conditionalFormatting>
  <conditionalFormatting sqref="AC154">
    <cfRule type="notContainsBlanks" dxfId="143" priority="154">
      <formula>LEN(TRIM(AC154))&gt;0</formula>
    </cfRule>
  </conditionalFormatting>
  <conditionalFormatting sqref="AC159:AC160 AC162 AC164:AC166">
    <cfRule type="notContainsBlanks" dxfId="142" priority="153">
      <formula>LEN(TRIM(AC159))&gt;0</formula>
    </cfRule>
  </conditionalFormatting>
  <conditionalFormatting sqref="AC161">
    <cfRule type="notContainsBlanks" dxfId="141" priority="152">
      <formula>LEN(TRIM(AC161))&gt;0</formula>
    </cfRule>
  </conditionalFormatting>
  <conditionalFormatting sqref="AC158">
    <cfRule type="notContainsBlanks" dxfId="140" priority="151">
      <formula>LEN(TRIM(AC158))&gt;0</formula>
    </cfRule>
  </conditionalFormatting>
  <conditionalFormatting sqref="AC163">
    <cfRule type="notContainsBlanks" dxfId="139" priority="150">
      <formula>LEN(TRIM(AC163))&gt;0</formula>
    </cfRule>
  </conditionalFormatting>
  <conditionalFormatting sqref="AC168:AC169 AC171 AC173:AC175">
    <cfRule type="notContainsBlanks" dxfId="138" priority="149">
      <formula>LEN(TRIM(AC168))&gt;0</formula>
    </cfRule>
  </conditionalFormatting>
  <conditionalFormatting sqref="AC170">
    <cfRule type="notContainsBlanks" dxfId="137" priority="148">
      <formula>LEN(TRIM(AC170))&gt;0</formula>
    </cfRule>
  </conditionalFormatting>
  <conditionalFormatting sqref="AC167">
    <cfRule type="notContainsBlanks" dxfId="136" priority="147">
      <formula>LEN(TRIM(AC167))&gt;0</formula>
    </cfRule>
  </conditionalFormatting>
  <conditionalFormatting sqref="AC172">
    <cfRule type="notContainsBlanks" dxfId="135" priority="146">
      <formula>LEN(TRIM(AC172))&gt;0</formula>
    </cfRule>
  </conditionalFormatting>
  <conditionalFormatting sqref="D149:AA149">
    <cfRule type="cellIs" dxfId="134" priority="145" operator="equal">
      <formula>0</formula>
    </cfRule>
  </conditionalFormatting>
  <conditionalFormatting sqref="D151:AA151">
    <cfRule type="cellIs" dxfId="133" priority="144" operator="equal">
      <formula>0</formula>
    </cfRule>
  </conditionalFormatting>
  <conditionalFormatting sqref="D150:AA150">
    <cfRule type="expression" dxfId="132" priority="143">
      <formula>D150&gt;D149</formula>
    </cfRule>
  </conditionalFormatting>
  <conditionalFormatting sqref="D149:AA149">
    <cfRule type="expression" dxfId="131" priority="142">
      <formula>D150&gt;D149</formula>
    </cfRule>
  </conditionalFormatting>
  <conditionalFormatting sqref="D151:AA151">
    <cfRule type="expression" dxfId="130" priority="141">
      <formula>D151&gt;D150</formula>
    </cfRule>
  </conditionalFormatting>
  <conditionalFormatting sqref="D150:AA150">
    <cfRule type="expression" dxfId="129" priority="140">
      <formula>D151&gt;D150</formula>
    </cfRule>
  </conditionalFormatting>
  <conditionalFormatting sqref="D153:AA153">
    <cfRule type="expression" dxfId="128" priority="139">
      <formula>D153&gt;D152</formula>
    </cfRule>
  </conditionalFormatting>
  <conditionalFormatting sqref="D152:AA152">
    <cfRule type="expression" dxfId="127" priority="138">
      <formula>D153&gt;D152</formula>
    </cfRule>
  </conditionalFormatting>
  <conditionalFormatting sqref="D155:AA155">
    <cfRule type="expression" dxfId="126" priority="137">
      <formula>D155&gt;D154</formula>
    </cfRule>
  </conditionalFormatting>
  <conditionalFormatting sqref="D154:AA154">
    <cfRule type="expression" dxfId="125" priority="136">
      <formula>D155&gt;D154</formula>
    </cfRule>
  </conditionalFormatting>
  <conditionalFormatting sqref="D160:AA160">
    <cfRule type="cellIs" dxfId="124" priority="134" operator="equal">
      <formula>0</formula>
    </cfRule>
  </conditionalFormatting>
  <conditionalFormatting sqref="D159:AA159">
    <cfRule type="expression" dxfId="123" priority="133">
      <formula>D159&gt;D158</formula>
    </cfRule>
  </conditionalFormatting>
  <conditionalFormatting sqref="D158:AA158">
    <cfRule type="expression" dxfId="122" priority="132">
      <formula>D159&gt;D158</formula>
    </cfRule>
  </conditionalFormatting>
  <conditionalFormatting sqref="D160:AA160">
    <cfRule type="expression" dxfId="121" priority="131">
      <formula>D160&gt;D159</formula>
    </cfRule>
  </conditionalFormatting>
  <conditionalFormatting sqref="D159:AA159">
    <cfRule type="expression" dxfId="120" priority="130">
      <formula>D160&gt;D159</formula>
    </cfRule>
  </conditionalFormatting>
  <conditionalFormatting sqref="D162:AA162">
    <cfRule type="expression" dxfId="119" priority="129">
      <formula>D162&gt;D161</formula>
    </cfRule>
  </conditionalFormatting>
  <conditionalFormatting sqref="D161:AA161">
    <cfRule type="expression" dxfId="118" priority="128">
      <formula>D162&gt;D161</formula>
    </cfRule>
  </conditionalFormatting>
  <conditionalFormatting sqref="D164:AA164">
    <cfRule type="expression" dxfId="117" priority="127">
      <formula>D164&gt;D163</formula>
    </cfRule>
  </conditionalFormatting>
  <conditionalFormatting sqref="D163:AA163">
    <cfRule type="expression" dxfId="116" priority="126">
      <formula>D164&gt;D163</formula>
    </cfRule>
  </conditionalFormatting>
  <conditionalFormatting sqref="D167:AA167">
    <cfRule type="cellIs" dxfId="115" priority="125" operator="equal">
      <formula>0</formula>
    </cfRule>
  </conditionalFormatting>
  <conditionalFormatting sqref="D169:AA169">
    <cfRule type="cellIs" dxfId="114" priority="124" operator="equal">
      <formula>0</formula>
    </cfRule>
  </conditionalFormatting>
  <conditionalFormatting sqref="D168:AA168">
    <cfRule type="expression" dxfId="113" priority="123">
      <formula>D168&gt;D167</formula>
    </cfRule>
  </conditionalFormatting>
  <conditionalFormatting sqref="D167:AA167">
    <cfRule type="expression" dxfId="112" priority="122">
      <formula>D168&gt;D167</formula>
    </cfRule>
  </conditionalFormatting>
  <conditionalFormatting sqref="D169:AA169">
    <cfRule type="expression" dxfId="111" priority="121">
      <formula>D169&gt;D168</formula>
    </cfRule>
  </conditionalFormatting>
  <conditionalFormatting sqref="D168:AA168">
    <cfRule type="expression" dxfId="110" priority="120">
      <formula>D169&gt;D168</formula>
    </cfRule>
  </conditionalFormatting>
  <conditionalFormatting sqref="D171:AA171">
    <cfRule type="expression" dxfId="109" priority="119">
      <formula>D171&gt;D170</formula>
    </cfRule>
  </conditionalFormatting>
  <conditionalFormatting sqref="D170:AA170">
    <cfRule type="expression" dxfId="108" priority="118">
      <formula>D171&gt;D170</formula>
    </cfRule>
  </conditionalFormatting>
  <conditionalFormatting sqref="D173:AA173">
    <cfRule type="expression" dxfId="107" priority="117">
      <formula>D173&gt;D172</formula>
    </cfRule>
  </conditionalFormatting>
  <conditionalFormatting sqref="D172:AA172">
    <cfRule type="expression" dxfId="106" priority="116">
      <formula>D173&gt;D172</formula>
    </cfRule>
  </conditionalFormatting>
  <conditionalFormatting sqref="K184 M184 O184 Q184 S184 U184 W184 Y184 AA184">
    <cfRule type="expression" dxfId="105" priority="115">
      <formula>K184&gt;K183</formula>
    </cfRule>
  </conditionalFormatting>
  <conditionalFormatting sqref="D186:AA186">
    <cfRule type="expression" dxfId="104" priority="114">
      <formula>D186&gt;D185</formula>
    </cfRule>
  </conditionalFormatting>
  <conditionalFormatting sqref="K183 M183 O183 Q183 S183 U183 W183 Y183 AA183">
    <cfRule type="expression" dxfId="103" priority="113">
      <formula>K183&gt;K176</formula>
    </cfRule>
  </conditionalFormatting>
  <conditionalFormatting sqref="D176:AA176">
    <cfRule type="expression" dxfId="102" priority="112">
      <formula>D183&gt;D176</formula>
    </cfRule>
  </conditionalFormatting>
  <conditionalFormatting sqref="D279:AA279">
    <cfRule type="expression" dxfId="101" priority="111">
      <formula>D279&gt;D275</formula>
    </cfRule>
  </conditionalFormatting>
  <conditionalFormatting sqref="AD270:AD283">
    <cfRule type="notContainsBlanks" dxfId="100" priority="110">
      <formula>LEN(TRIM(AD270))&gt;0</formula>
    </cfRule>
  </conditionalFormatting>
  <conditionalFormatting sqref="D283:AA283">
    <cfRule type="expression" dxfId="99" priority="109">
      <formula>D283&gt;D280</formula>
    </cfRule>
  </conditionalFormatting>
  <conditionalFormatting sqref="D280:AA280">
    <cfRule type="expression" dxfId="98" priority="108">
      <formula>D283&gt;D280</formula>
    </cfRule>
  </conditionalFormatting>
  <conditionalFormatting sqref="AD216:AD224">
    <cfRule type="notContainsBlanks" dxfId="97" priority="107">
      <formula>LEN(TRIM(AD216))&gt;0</formula>
    </cfRule>
  </conditionalFormatting>
  <conditionalFormatting sqref="D245:AA245">
    <cfRule type="expression" dxfId="96" priority="104">
      <formula>D222&lt;&gt;D245</formula>
    </cfRule>
  </conditionalFormatting>
  <conditionalFormatting sqref="AF216:AF224">
    <cfRule type="notContainsBlanks" dxfId="95" priority="103">
      <formula>LEN(TRIM(AF216))&gt;0</formula>
    </cfRule>
  </conditionalFormatting>
  <conditionalFormatting sqref="AB8">
    <cfRule type="expression" dxfId="94" priority="101">
      <formula>AB9&gt;AB8</formula>
    </cfRule>
  </conditionalFormatting>
  <conditionalFormatting sqref="AB11">
    <cfRule type="cellIs" dxfId="93" priority="98" operator="equal">
      <formula>0</formula>
    </cfRule>
  </conditionalFormatting>
  <conditionalFormatting sqref="AB8 AB11">
    <cfRule type="cellIs" dxfId="92" priority="96" operator="equal">
      <formula>0</formula>
    </cfRule>
  </conditionalFormatting>
  <conditionalFormatting sqref="D178:AA179">
    <cfRule type="cellIs" dxfId="91" priority="94" operator="equal">
      <formula>0</formula>
    </cfRule>
  </conditionalFormatting>
  <conditionalFormatting sqref="D178:AA178">
    <cfRule type="expression" dxfId="90" priority="93">
      <formula>D182&gt;D178</formula>
    </cfRule>
  </conditionalFormatting>
  <conditionalFormatting sqref="D179:AA179">
    <cfRule type="expression" dxfId="89" priority="92">
      <formula>D179&gt;D178</formula>
    </cfRule>
  </conditionalFormatting>
  <conditionalFormatting sqref="D178:AA178">
    <cfRule type="expression" dxfId="88" priority="91">
      <formula>D179&gt;D178</formula>
    </cfRule>
  </conditionalFormatting>
  <conditionalFormatting sqref="D178:AA178">
    <cfRule type="expression" dxfId="87" priority="90">
      <formula>D185&gt;D178</formula>
    </cfRule>
  </conditionalFormatting>
  <conditionalFormatting sqref="S212">
    <cfRule type="expression" dxfId="86" priority="89">
      <formula>S213&gt;S212</formula>
    </cfRule>
  </conditionalFormatting>
  <conditionalFormatting sqref="U212">
    <cfRule type="expression" dxfId="85" priority="88">
      <formula>U213&gt;U212</formula>
    </cfRule>
  </conditionalFormatting>
  <conditionalFormatting sqref="W212">
    <cfRule type="expression" dxfId="84" priority="87">
      <formula>W213&gt;W212</formula>
    </cfRule>
  </conditionalFormatting>
  <conditionalFormatting sqref="Y212">
    <cfRule type="expression" dxfId="83" priority="86">
      <formula>Y213&gt;Y212</formula>
    </cfRule>
  </conditionalFormatting>
  <conditionalFormatting sqref="O213">
    <cfRule type="expression" dxfId="82" priority="85">
      <formula>O213&gt;O212</formula>
    </cfRule>
  </conditionalFormatting>
  <conditionalFormatting sqref="O213">
    <cfRule type="expression" dxfId="81" priority="83">
      <formula>O237&gt;O213</formula>
    </cfRule>
  </conditionalFormatting>
  <conditionalFormatting sqref="O213">
    <cfRule type="expression" dxfId="80" priority="84">
      <formula>O213&gt;O212</formula>
    </cfRule>
  </conditionalFormatting>
  <conditionalFormatting sqref="M213">
    <cfRule type="expression" dxfId="79" priority="82">
      <formula>M213&gt;M212</formula>
    </cfRule>
  </conditionalFormatting>
  <conditionalFormatting sqref="M213">
    <cfRule type="expression" dxfId="78" priority="80">
      <formula>M237&gt;M213</formula>
    </cfRule>
  </conditionalFormatting>
  <conditionalFormatting sqref="M213">
    <cfRule type="expression" dxfId="77" priority="81">
      <formula>M213&gt;M212</formula>
    </cfRule>
  </conditionalFormatting>
  <conditionalFormatting sqref="K213">
    <cfRule type="expression" dxfId="76" priority="79">
      <formula>K213&gt;K212</formula>
    </cfRule>
  </conditionalFormatting>
  <conditionalFormatting sqref="K213">
    <cfRule type="expression" dxfId="75" priority="77">
      <formula>K237&gt;K213</formula>
    </cfRule>
  </conditionalFormatting>
  <conditionalFormatting sqref="K213">
    <cfRule type="expression" dxfId="74" priority="78">
      <formula>K213&gt;K212</formula>
    </cfRule>
  </conditionalFormatting>
  <conditionalFormatting sqref="S213">
    <cfRule type="expression" dxfId="73" priority="76">
      <formula>S213&gt;S212</formula>
    </cfRule>
  </conditionalFormatting>
  <conditionalFormatting sqref="S213">
    <cfRule type="expression" dxfId="72" priority="74">
      <formula>S237&gt;S213</formula>
    </cfRule>
  </conditionalFormatting>
  <conditionalFormatting sqref="S213">
    <cfRule type="expression" dxfId="71" priority="75">
      <formula>S213&gt;S212</formula>
    </cfRule>
  </conditionalFormatting>
  <conditionalFormatting sqref="U213">
    <cfRule type="expression" dxfId="70" priority="73">
      <formula>U213&gt;U212</formula>
    </cfRule>
  </conditionalFormatting>
  <conditionalFormatting sqref="U213">
    <cfRule type="expression" dxfId="69" priority="71">
      <formula>U237&gt;U213</formula>
    </cfRule>
  </conditionalFormatting>
  <conditionalFormatting sqref="U213">
    <cfRule type="expression" dxfId="68" priority="72">
      <formula>U213&gt;U212</formula>
    </cfRule>
  </conditionalFormatting>
  <conditionalFormatting sqref="W213">
    <cfRule type="expression" dxfId="67" priority="70">
      <formula>W213&gt;W212</formula>
    </cfRule>
  </conditionalFormatting>
  <conditionalFormatting sqref="W213">
    <cfRule type="expression" dxfId="66" priority="68">
      <formula>W237&gt;W213</formula>
    </cfRule>
  </conditionalFormatting>
  <conditionalFormatting sqref="W213">
    <cfRule type="expression" dxfId="65" priority="69">
      <formula>W213&gt;W212</formula>
    </cfRule>
  </conditionalFormatting>
  <conditionalFormatting sqref="Y213">
    <cfRule type="expression" dxfId="64" priority="67">
      <formula>Y213&gt;Y212</formula>
    </cfRule>
  </conditionalFormatting>
  <conditionalFormatting sqref="Y213">
    <cfRule type="expression" dxfId="63" priority="65">
      <formula>Y237&gt;Y213</formula>
    </cfRule>
  </conditionalFormatting>
  <conditionalFormatting sqref="Y213">
    <cfRule type="expression" dxfId="62" priority="66">
      <formula>Y213&gt;Y212</formula>
    </cfRule>
  </conditionalFormatting>
  <conditionalFormatting sqref="D279:AA279">
    <cfRule type="expression" dxfId="61" priority="64">
      <formula>D279&gt;D272</formula>
    </cfRule>
  </conditionalFormatting>
  <conditionalFormatting sqref="D272:AA272">
    <cfRule type="expression" dxfId="60" priority="63">
      <formula>D279&gt;D272</formula>
    </cfRule>
  </conditionalFormatting>
  <conditionalFormatting sqref="AF270:AF283">
    <cfRule type="notContainsBlanks" dxfId="59" priority="62">
      <formula>LEN(TRIM(AF270))&gt;0</formula>
    </cfRule>
  </conditionalFormatting>
  <conditionalFormatting sqref="D270:AA270">
    <cfRule type="expression" dxfId="58" priority="61">
      <formula>D270&gt;D281</formula>
    </cfRule>
  </conditionalFormatting>
  <conditionalFormatting sqref="D281:AA281">
    <cfRule type="expression" dxfId="57" priority="60">
      <formula>D270&gt;D281</formula>
    </cfRule>
  </conditionalFormatting>
  <conditionalFormatting sqref="D271:AA271">
    <cfRule type="expression" dxfId="56" priority="59">
      <formula>D271&gt;D282</formula>
    </cfRule>
  </conditionalFormatting>
  <conditionalFormatting sqref="D282:AA282">
    <cfRule type="expression" dxfId="55" priority="58">
      <formula>D271&gt;D282</formula>
    </cfRule>
  </conditionalFormatting>
  <conditionalFormatting sqref="K241">
    <cfRule type="expression" dxfId="54" priority="57">
      <formula>K241&gt;K211+K209</formula>
    </cfRule>
  </conditionalFormatting>
  <conditionalFormatting sqref="M241">
    <cfRule type="expression" dxfId="53" priority="56">
      <formula>M241&gt;M211+M209</formula>
    </cfRule>
  </conditionalFormatting>
  <conditionalFormatting sqref="O241">
    <cfRule type="expression" dxfId="52" priority="55">
      <formula>O241&gt;O211+O209</formula>
    </cfRule>
  </conditionalFormatting>
  <conditionalFormatting sqref="Q241">
    <cfRule type="expression" dxfId="51" priority="54">
      <formula>Q241&gt;Q211+Q209</formula>
    </cfRule>
  </conditionalFormatting>
  <conditionalFormatting sqref="S241">
    <cfRule type="expression" dxfId="50" priority="53">
      <formula>S241&gt;S211+S209</formula>
    </cfRule>
  </conditionalFormatting>
  <conditionalFormatting sqref="U241">
    <cfRule type="expression" dxfId="49" priority="52">
      <formula>U241&gt;U211+U209</formula>
    </cfRule>
  </conditionalFormatting>
  <conditionalFormatting sqref="W241">
    <cfRule type="expression" dxfId="48" priority="51">
      <formula>W241&gt;W211+W209</formula>
    </cfRule>
  </conditionalFormatting>
  <conditionalFormatting sqref="Y241">
    <cfRule type="expression" dxfId="47" priority="50">
      <formula>Y241&gt;Y211+Y209</formula>
    </cfRule>
  </conditionalFormatting>
  <conditionalFormatting sqref="K211">
    <cfRule type="expression" dxfId="46" priority="49">
      <formula>K241&gt;K211+K209</formula>
    </cfRule>
  </conditionalFormatting>
  <conditionalFormatting sqref="M211">
    <cfRule type="expression" dxfId="45" priority="48">
      <formula>M241&gt;M211+M209</formula>
    </cfRule>
  </conditionalFormatting>
  <conditionalFormatting sqref="O211">
    <cfRule type="expression" dxfId="44" priority="47">
      <formula>O241&gt;O211+O209</formula>
    </cfRule>
  </conditionalFormatting>
  <conditionalFormatting sqref="Q211">
    <cfRule type="expression" dxfId="43" priority="46">
      <formula>Q241&gt;Q211+Q209</formula>
    </cfRule>
  </conditionalFormatting>
  <conditionalFormatting sqref="S211">
    <cfRule type="expression" dxfId="42" priority="45">
      <formula>S241&gt;S211+S209</formula>
    </cfRule>
  </conditionalFormatting>
  <conditionalFormatting sqref="U211">
    <cfRule type="expression" dxfId="41" priority="44">
      <formula>U241&gt;U211+U209</formula>
    </cfRule>
  </conditionalFormatting>
  <conditionalFormatting sqref="W211">
    <cfRule type="expression" dxfId="40" priority="43">
      <formula>W241&gt;W211+W209</formula>
    </cfRule>
  </conditionalFormatting>
  <conditionalFormatting sqref="Y211">
    <cfRule type="expression" dxfId="39" priority="42">
      <formula>Y241&gt;Y211+Y209</formula>
    </cfRule>
  </conditionalFormatting>
  <conditionalFormatting sqref="M209">
    <cfRule type="expression" dxfId="38" priority="37">
      <formula>M241&gt;M211+M209</formula>
    </cfRule>
    <cfRule type="expression" dxfId="37" priority="40">
      <formula>M235&gt;M209</formula>
    </cfRule>
  </conditionalFormatting>
  <conditionalFormatting sqref="M209">
    <cfRule type="expression" dxfId="36" priority="39">
      <formula>M235&gt;M209</formula>
    </cfRule>
  </conditionalFormatting>
  <conditionalFormatting sqref="M209">
    <cfRule type="expression" dxfId="35" priority="38">
      <formula>M209&gt;M208</formula>
    </cfRule>
  </conditionalFormatting>
  <conditionalFormatting sqref="O209">
    <cfRule type="expression" dxfId="34" priority="33">
      <formula>O241&gt;O211+O209</formula>
    </cfRule>
    <cfRule type="expression" dxfId="33" priority="36">
      <formula>O235&gt;O209</formula>
    </cfRule>
  </conditionalFormatting>
  <conditionalFormatting sqref="O209">
    <cfRule type="expression" dxfId="32" priority="35">
      <formula>O235&gt;O209</formula>
    </cfRule>
  </conditionalFormatting>
  <conditionalFormatting sqref="O209">
    <cfRule type="expression" dxfId="31" priority="34">
      <formula>O209&gt;O208</formula>
    </cfRule>
  </conditionalFormatting>
  <conditionalFormatting sqref="Q209">
    <cfRule type="expression" dxfId="30" priority="29">
      <formula>Q241&gt;Q211+Q209</formula>
    </cfRule>
    <cfRule type="expression" dxfId="29" priority="32">
      <formula>Q235&gt;Q209</formula>
    </cfRule>
  </conditionalFormatting>
  <conditionalFormatting sqref="Q209">
    <cfRule type="expression" dxfId="28" priority="31">
      <formula>Q235&gt;Q209</formula>
    </cfRule>
  </conditionalFormatting>
  <conditionalFormatting sqref="Q209">
    <cfRule type="expression" dxfId="27" priority="30">
      <formula>Q209&gt;Q208</formula>
    </cfRule>
  </conditionalFormatting>
  <conditionalFormatting sqref="S209">
    <cfRule type="expression" dxfId="26" priority="25">
      <formula>S241&gt;S211+S209</formula>
    </cfRule>
    <cfRule type="expression" dxfId="25" priority="28">
      <formula>S235&gt;S209</formula>
    </cfRule>
  </conditionalFormatting>
  <conditionalFormatting sqref="S209">
    <cfRule type="expression" dxfId="24" priority="27">
      <formula>S235&gt;S209</formula>
    </cfRule>
  </conditionalFormatting>
  <conditionalFormatting sqref="S209">
    <cfRule type="expression" dxfId="23" priority="26">
      <formula>S209&gt;S208</formula>
    </cfRule>
  </conditionalFormatting>
  <conditionalFormatting sqref="U209">
    <cfRule type="expression" dxfId="22" priority="21">
      <formula>U241&gt;U211+U209</formula>
    </cfRule>
    <cfRule type="expression" dxfId="21" priority="24">
      <formula>U235&gt;U209</formula>
    </cfRule>
  </conditionalFormatting>
  <conditionalFormatting sqref="U209">
    <cfRule type="expression" dxfId="20" priority="23">
      <formula>U235&gt;U209</formula>
    </cfRule>
  </conditionalFormatting>
  <conditionalFormatting sqref="U209">
    <cfRule type="expression" dxfId="19" priority="22">
      <formula>U209&gt;U208</formula>
    </cfRule>
  </conditionalFormatting>
  <conditionalFormatting sqref="W209">
    <cfRule type="expression" dxfId="18" priority="17">
      <formula>W241&gt;W211+W209</formula>
    </cfRule>
    <cfRule type="expression" dxfId="17" priority="20">
      <formula>W235&gt;W209</formula>
    </cfRule>
  </conditionalFormatting>
  <conditionalFormatting sqref="W209">
    <cfRule type="expression" dxfId="16" priority="19">
      <formula>W235&gt;W209</formula>
    </cfRule>
  </conditionalFormatting>
  <conditionalFormatting sqref="W209">
    <cfRule type="expression" dxfId="15" priority="18">
      <formula>W209&gt;W208</formula>
    </cfRule>
  </conditionalFormatting>
  <conditionalFormatting sqref="Y209">
    <cfRule type="expression" dxfId="14" priority="13">
      <formula>Y241&gt;Y211+Y209</formula>
    </cfRule>
    <cfRule type="expression" dxfId="13" priority="16">
      <formula>Y235&gt;Y209</formula>
    </cfRule>
  </conditionalFormatting>
  <conditionalFormatting sqref="Y209">
    <cfRule type="expression" dxfId="12" priority="15">
      <formula>Y235&gt;Y209</formula>
    </cfRule>
  </conditionalFormatting>
  <conditionalFormatting sqref="Y209">
    <cfRule type="expression" dxfId="11" priority="14">
      <formula>Y209&gt;Y208</formula>
    </cfRule>
  </conditionalFormatting>
  <conditionalFormatting sqref="J55:AA55">
    <cfRule type="cellIs" dxfId="10" priority="12" operator="equal">
      <formula>0</formula>
    </cfRule>
  </conditionalFormatting>
  <conditionalFormatting sqref="AB10">
    <cfRule type="cellIs" dxfId="9" priority="11" operator="equal">
      <formula>0</formula>
    </cfRule>
  </conditionalFormatting>
  <conditionalFormatting sqref="AB9">
    <cfRule type="cellIs" dxfId="8" priority="10" operator="equal">
      <formula>0</formula>
    </cfRule>
  </conditionalFormatting>
  <conditionalFormatting sqref="AB326">
    <cfRule type="cellIs" dxfId="7" priority="8" operator="equal">
      <formula>0</formula>
    </cfRule>
  </conditionalFormatting>
  <conditionalFormatting sqref="J326:AA326">
    <cfRule type="expression" dxfId="6" priority="7">
      <formula>J326&gt;J324</formula>
    </cfRule>
  </conditionalFormatting>
  <conditionalFormatting sqref="AE326">
    <cfRule type="notContainsBlanks" dxfId="5" priority="9">
      <formula>LEN(TRIM(AE326))&gt;0</formula>
    </cfRule>
  </conditionalFormatting>
  <conditionalFormatting sqref="AC326">
    <cfRule type="notContainsBlanks" dxfId="4" priority="6">
      <formula>LEN(TRIM(AC326))&gt;0</formula>
    </cfRule>
  </conditionalFormatting>
  <conditionalFormatting sqref="J326:AA326">
    <cfRule type="expression" dxfId="3" priority="5">
      <formula>J324&gt;J326</formula>
    </cfRule>
  </conditionalFormatting>
  <conditionalFormatting sqref="J59:AA59">
    <cfRule type="expression" dxfId="2" priority="3">
      <formula>J60&gt;J59</formula>
    </cfRule>
  </conditionalFormatting>
  <conditionalFormatting sqref="D253:AA253">
    <cfRule type="expression" dxfId="1" priority="2">
      <formula>D253&gt;D245</formula>
    </cfRule>
  </conditionalFormatting>
  <conditionalFormatting sqref="D245:AA245">
    <cfRule type="expression" dxfId="0" priority="1">
      <formula>D253&gt;D245</formula>
    </cfRule>
  </conditionalFormatting>
  <dataValidations count="2">
    <dataValidation type="whole" allowBlank="1" showInputMessage="1" showErrorMessage="1" errorTitle="Non-Numeric or abnormal value" error="Enter Numbers only between 0 and 99999" sqref="E307:AA313 AB8 E256:AA283 D64:AA97 D116:AA136 AB96:AB97 E284:AB284 E306:AB306 D301:D313 D22:AA48 E255:AB255 D101:AA112 E301:AA305 E150:AA190 AB18 AB140 D140:D190 E140:AA148 E149:AB149 D228:AA241 E285:AA291 D194:AA224 D54:AA60 AB11 AB178 D326:AA326 E245:AA254 D315:AA324 D245:D291 D8:AA18" xr:uid="{B89F7BEB-D895-441B-9690-CF40DBC25312}">
      <formula1>0</formula1>
      <formula2>99999</formula2>
    </dataValidation>
    <dataValidation type="whole" allowBlank="1" showInputMessage="1" showErrorMessage="1" errorTitle="Numeric Characters Error" error="Enter Numeric Characters only between range 0 and 2000" sqref="D295:AA300" xr:uid="{C74A0B64-B31F-4F3B-A9D9-EAC9A80CECBF}">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38 J243 J293 J226 J192"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Feb</vt:lpstr>
      <vt:lpstr>Feb!Print_Area</vt:lpstr>
      <vt:lpstr>InstructionsForm1A!Print_Area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2020-12-02T06:44:37Z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